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Programming\web_apps\excel web app3\"/>
    </mc:Choice>
  </mc:AlternateContent>
  <xr:revisionPtr revIDLastSave="0" documentId="13_ncr:1_{47527E0E-4A86-4386-AA02-39FE0C297EA4}" xr6:coauthVersionLast="45" xr6:coauthVersionMax="47" xr10:uidLastSave="{00000000-0000-0000-0000-000000000000}"/>
  <bookViews>
    <workbookView xWindow="-108" yWindow="-108" windowWidth="23256" windowHeight="12576" tabRatio="598" activeTab="3" xr2:uid="{00000000-000D-0000-FFFF-FFFF00000000}"/>
  </bookViews>
  <sheets>
    <sheet name="حياه كريمة -ابوحمص " sheetId="71" r:id="rId1"/>
    <sheet name="عمالة ومعدات ابوحمص" sheetId="63" r:id="rId2"/>
    <sheet name="محطة خرسانة -ابوحمص" sheetId="69" r:id="rId3"/>
    <sheet name="بشاير الخير 4 -رشيد" sheetId="73" r:id="rId4"/>
    <sheet name="بورتو جولف مارينا - العلمين" sheetId="50" r:id="rId5"/>
    <sheet name="مبنى التحريات - زيزينيا " sheetId="68" r:id="rId6"/>
    <sheet name="ترعة الحمام" sheetId="54" r:id="rId7"/>
    <sheet name="عام" sheetId="61" r:id="rId8"/>
    <sheet name="المنطقة الشمالية" sheetId="55" r:id="rId9"/>
    <sheet name="مقر الشركة الجديد" sheetId="60" r:id="rId10"/>
  </sheets>
  <definedNames>
    <definedName name="_xlnm._FilterDatabase" localSheetId="8" hidden="1">'المنطقة الشمالية'!$A$4:$O$52</definedName>
    <definedName name="_xlnm._FilterDatabase" localSheetId="3" hidden="1">'بشاير الخير 4 -رشيد'!$A$5:$P$1597</definedName>
    <definedName name="_xlnm._FilterDatabase" localSheetId="4" hidden="1">'بورتو جولف مارينا - العلمين'!$A$4:$P$130</definedName>
    <definedName name="_xlnm._FilterDatabase" localSheetId="6" hidden="1">'ترعة الحمام'!$A$4:$O$4</definedName>
    <definedName name="_xlnm._FilterDatabase" localSheetId="0" hidden="1">'حياه كريمة -ابوحمص '!$A$5:$N$2202</definedName>
    <definedName name="_xlnm._FilterDatabase" localSheetId="7" hidden="1">عام!$A$4:$O$14</definedName>
    <definedName name="_xlnm._FilterDatabase" localSheetId="1" hidden="1">'عمالة ومعدات ابوحمص'!$A$4:$Q$193</definedName>
    <definedName name="_xlnm._FilterDatabase" localSheetId="5" hidden="1">'مبنى التحريات - زيزينيا '!$A$4:$Q$45</definedName>
    <definedName name="_xlnm._FilterDatabase" localSheetId="2" hidden="1">'محطة خرسانة -ابوحمص'!$A$5:$N$77</definedName>
    <definedName name="_xlnm._FilterDatabase" localSheetId="9" hidden="1">'مقر الشركة الجديد'!$A$4:$Q$4</definedName>
    <definedName name="_xlnm.Print_Area" localSheetId="8">'المنطقة الشمالية'!$A$1:$O$129</definedName>
    <definedName name="_xlnm.Print_Area" localSheetId="3">'بشاير الخير 4 -رشيد'!$A$1:$P$1599</definedName>
    <definedName name="_xlnm.Print_Area" localSheetId="4">'بورتو جولف مارينا - العلمين'!$A$1:$P$130</definedName>
    <definedName name="_xlnm.Print_Area" localSheetId="6">'ترعة الحمام'!$A$1:$O$102</definedName>
    <definedName name="_xlnm.Print_Area" localSheetId="0">'حياه كريمة -ابوحمص '!$A$1:$N$2209</definedName>
    <definedName name="_xlnm.Print_Area" localSheetId="7">عام!$A$1:$O$96</definedName>
    <definedName name="_xlnm.Print_Area" localSheetId="1">'عمالة ومعدات ابوحمص'!$A$1:$Q$198</definedName>
    <definedName name="_xlnm.Print_Area" localSheetId="5">'مبنى التحريات - زيزينيا '!$A$1:$Q$101</definedName>
    <definedName name="_xlnm.Print_Area" localSheetId="2">'محطة خرسانة -ابوحمص'!$A$1:$Q$97</definedName>
    <definedName name="_xlnm.Print_Area" localSheetId="9">'مقر الشركة الجديد'!$A$1:$Q$111</definedName>
    <definedName name="_xlnm.Print_Titles" localSheetId="3">'بشاير الخير 4 -رشيد'!$1:$5</definedName>
    <definedName name="_xlnm.Print_Titles" localSheetId="4">'بورتو جولف مارينا - العلمين'!$1:$4</definedName>
    <definedName name="_xlnm.Print_Titles" localSheetId="0">'حياه كريمة -ابوحمص '!$1:$5</definedName>
    <definedName name="_xlnm.Print_Titles" localSheetId="1">'عمالة ومعدات ابوحمص'!$1:$4</definedName>
    <definedName name="_xlnm.Print_Titles" localSheetId="2">'محطة خرسانة -ابوحمص'!$1:$5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73" l="1"/>
  <c r="AC185" i="63"/>
  <c r="AC184" i="63"/>
  <c r="AC183" i="63"/>
  <c r="AA184" i="63"/>
  <c r="J20" i="69"/>
  <c r="M188" i="63" l="1"/>
  <c r="K1577" i="73" l="1"/>
  <c r="I1577" i="73"/>
  <c r="J84" i="69"/>
  <c r="K167" i="71" l="1"/>
  <c r="I167" i="71"/>
  <c r="G167" i="71"/>
  <c r="R976" i="73" l="1"/>
  <c r="K39" i="69"/>
  <c r="I39" i="69"/>
  <c r="G39" i="69"/>
  <c r="K37" i="69"/>
  <c r="I37" i="69"/>
  <c r="G37" i="69"/>
  <c r="K38" i="69"/>
  <c r="I38" i="69"/>
  <c r="G38" i="69"/>
  <c r="K30" i="69" l="1"/>
  <c r="I30" i="69"/>
  <c r="G30" i="69"/>
  <c r="N84" i="69" l="1"/>
  <c r="I84" i="69"/>
  <c r="G84" i="69"/>
  <c r="K75" i="69"/>
  <c r="K353" i="71"/>
  <c r="I353" i="71"/>
  <c r="G353" i="71"/>
  <c r="K367" i="71"/>
  <c r="I367" i="71"/>
  <c r="G367" i="71"/>
  <c r="K358" i="71"/>
  <c r="I358" i="71"/>
  <c r="G358" i="71"/>
  <c r="P1595" i="73"/>
  <c r="K1595" i="73"/>
  <c r="I1595" i="73"/>
  <c r="P1594" i="73"/>
  <c r="K1594" i="73"/>
  <c r="I1594" i="73"/>
  <c r="N83" i="69" l="1"/>
  <c r="I7" i="73" l="1"/>
  <c r="K28" i="69" l="1"/>
  <c r="I28" i="69"/>
  <c r="G28" i="69"/>
  <c r="K29" i="69"/>
  <c r="I29" i="69"/>
  <c r="G29" i="69"/>
  <c r="N82" i="69"/>
  <c r="I82" i="69"/>
  <c r="K1393" i="71"/>
  <c r="I1393" i="71"/>
  <c r="G1393" i="71"/>
  <c r="M1549" i="73" l="1"/>
  <c r="K1549" i="73"/>
  <c r="I1549" i="73"/>
  <c r="K1352" i="71"/>
  <c r="I1352" i="71"/>
  <c r="G1352" i="71"/>
  <c r="K1317" i="71" l="1"/>
  <c r="I1317" i="71"/>
  <c r="G1317" i="71"/>
  <c r="K1316" i="71"/>
  <c r="I1316" i="71"/>
  <c r="G1316" i="71"/>
  <c r="K1411" i="73"/>
  <c r="K24" i="69" l="1"/>
  <c r="I24" i="69"/>
  <c r="G24" i="69"/>
  <c r="K23" i="69"/>
  <c r="I23" i="69"/>
  <c r="G23" i="69"/>
  <c r="K2202" i="71"/>
  <c r="I2202" i="71"/>
  <c r="G2202" i="71"/>
  <c r="K1572" i="71"/>
  <c r="I1572" i="71"/>
  <c r="G1572" i="71"/>
  <c r="K2173" i="71" l="1"/>
  <c r="I2173" i="71"/>
  <c r="G2173" i="71"/>
  <c r="K2174" i="71"/>
  <c r="I2174" i="71"/>
  <c r="G2174" i="71"/>
  <c r="K2200" i="71"/>
  <c r="I2200" i="71"/>
  <c r="G2200" i="71"/>
  <c r="K2199" i="71"/>
  <c r="I2199" i="71"/>
  <c r="G2199" i="71"/>
  <c r="M1574" i="73"/>
  <c r="K1574" i="73"/>
  <c r="I1574" i="73"/>
  <c r="K26" i="69" l="1"/>
  <c r="I26" i="69"/>
  <c r="G26" i="69"/>
  <c r="K1581" i="73" l="1"/>
  <c r="I1581" i="73"/>
  <c r="K1579" i="73" l="1"/>
  <c r="I1579" i="73"/>
  <c r="P1596" i="73" l="1"/>
  <c r="K1596" i="73"/>
  <c r="I1596" i="73"/>
  <c r="K2194" i="71" l="1"/>
  <c r="I2194" i="71"/>
  <c r="G2194" i="71"/>
  <c r="K2190" i="71"/>
  <c r="I2190" i="71"/>
  <c r="G2190" i="71"/>
  <c r="K2196" i="71"/>
  <c r="I2196" i="71"/>
  <c r="G2196" i="71"/>
  <c r="K2195" i="71"/>
  <c r="I2195" i="71"/>
  <c r="G2195" i="71"/>
  <c r="K2193" i="71"/>
  <c r="I2193" i="71"/>
  <c r="G2193" i="71"/>
  <c r="K2197" i="71"/>
  <c r="I2197" i="71"/>
  <c r="G2197" i="71"/>
  <c r="P1593" i="73"/>
  <c r="K1593" i="73"/>
  <c r="I1593" i="73"/>
  <c r="K35" i="69"/>
  <c r="I35" i="69"/>
  <c r="G35" i="69"/>
  <c r="P1961" i="71" l="1"/>
  <c r="L5" i="50"/>
  <c r="P1592" i="73" l="1"/>
  <c r="K1592" i="73"/>
  <c r="I1592" i="73"/>
  <c r="P1591" i="73"/>
  <c r="K1591" i="73"/>
  <c r="I1591" i="73"/>
  <c r="P1590" i="73"/>
  <c r="K1590" i="73"/>
  <c r="I1590" i="73"/>
  <c r="K1580" i="73"/>
  <c r="I1580" i="73"/>
  <c r="I1582" i="73" l="1"/>
  <c r="K1578" i="73"/>
  <c r="I1578" i="73"/>
  <c r="K1582" i="73" l="1"/>
  <c r="K1570" i="73" l="1"/>
  <c r="I1453" i="73" l="1"/>
  <c r="K1453" i="73"/>
  <c r="M1453" i="73"/>
  <c r="L6" i="61" l="1"/>
  <c r="J6" i="61"/>
  <c r="K1572" i="73" l="1"/>
  <c r="K1571" i="73"/>
  <c r="P1569" i="73" l="1"/>
  <c r="P1584" i="73" l="1"/>
  <c r="P1585" i="73"/>
  <c r="P1586" i="73"/>
  <c r="P1587" i="73"/>
  <c r="P1588" i="73"/>
  <c r="P1589" i="73"/>
  <c r="P1597" i="73"/>
  <c r="P1583" i="73"/>
  <c r="N81" i="69"/>
  <c r="K1573" i="73"/>
  <c r="I81" i="69"/>
  <c r="K7" i="69"/>
  <c r="I7" i="69"/>
  <c r="G7" i="69"/>
  <c r="N1599" i="73"/>
  <c r="N3" i="73" s="1"/>
  <c r="L1599" i="73"/>
  <c r="L3" i="73" s="1"/>
  <c r="J1599" i="73"/>
  <c r="J3" i="73" s="1"/>
  <c r="K1597" i="73"/>
  <c r="I1597" i="73"/>
  <c r="K1589" i="73"/>
  <c r="I1589" i="73"/>
  <c r="K1588" i="73"/>
  <c r="I1588" i="73"/>
  <c r="K1587" i="73"/>
  <c r="I1587" i="73"/>
  <c r="K1586" i="73"/>
  <c r="I1586" i="73"/>
  <c r="K1585" i="73"/>
  <c r="I1585" i="73"/>
  <c r="K1584" i="73"/>
  <c r="I1584" i="73"/>
  <c r="K1583" i="73"/>
  <c r="I1583" i="73"/>
  <c r="M1576" i="73"/>
  <c r="K1576" i="73"/>
  <c r="I1576" i="73"/>
  <c r="M1575" i="73"/>
  <c r="K1575" i="73"/>
  <c r="I1575" i="73"/>
  <c r="K1569" i="73"/>
  <c r="M1566" i="73"/>
  <c r="K1566" i="73"/>
  <c r="I1566" i="73"/>
  <c r="M1565" i="73"/>
  <c r="K1565" i="73"/>
  <c r="I1565" i="73"/>
  <c r="M1564" i="73"/>
  <c r="K1564" i="73"/>
  <c r="I1564" i="73"/>
  <c r="M1563" i="73"/>
  <c r="K1563" i="73"/>
  <c r="I1563" i="73"/>
  <c r="M1562" i="73"/>
  <c r="K1562" i="73"/>
  <c r="I1562" i="73"/>
  <c r="M1561" i="73"/>
  <c r="K1561" i="73"/>
  <c r="I1561" i="73"/>
  <c r="M1560" i="73"/>
  <c r="K1560" i="73"/>
  <c r="I1560" i="73"/>
  <c r="M1559" i="73"/>
  <c r="K1559" i="73"/>
  <c r="I1559" i="73"/>
  <c r="M1558" i="73"/>
  <c r="K1558" i="73"/>
  <c r="I1558" i="73"/>
  <c r="M1557" i="73"/>
  <c r="K1557" i="73"/>
  <c r="I1557" i="73"/>
  <c r="M1556" i="73"/>
  <c r="K1556" i="73"/>
  <c r="I1556" i="73"/>
  <c r="M1555" i="73"/>
  <c r="K1555" i="73"/>
  <c r="I1555" i="73"/>
  <c r="M1554" i="73"/>
  <c r="K1554" i="73"/>
  <c r="I1554" i="73"/>
  <c r="M1553" i="73"/>
  <c r="K1553" i="73"/>
  <c r="I1553" i="73"/>
  <c r="M1552" i="73"/>
  <c r="K1552" i="73"/>
  <c r="I1552" i="73"/>
  <c r="M1551" i="73"/>
  <c r="K1551" i="73"/>
  <c r="I1551" i="73"/>
  <c r="M1550" i="73"/>
  <c r="K1550" i="73"/>
  <c r="I1550" i="73"/>
  <c r="M1548" i="73"/>
  <c r="K1548" i="73"/>
  <c r="I1548" i="73"/>
  <c r="M1547" i="73"/>
  <c r="K1547" i="73"/>
  <c r="I1547" i="73"/>
  <c r="M1546" i="73"/>
  <c r="K1546" i="73"/>
  <c r="I1546" i="73"/>
  <c r="M1545" i="73"/>
  <c r="K1545" i="73"/>
  <c r="I1545" i="73"/>
  <c r="M1544" i="73"/>
  <c r="K1544" i="73"/>
  <c r="I1544" i="73"/>
  <c r="M1543" i="73"/>
  <c r="K1543" i="73"/>
  <c r="I1543" i="73"/>
  <c r="M1542" i="73"/>
  <c r="K1542" i="73"/>
  <c r="I1542" i="73"/>
  <c r="M1541" i="73"/>
  <c r="K1541" i="73"/>
  <c r="I1541" i="73"/>
  <c r="M1540" i="73"/>
  <c r="K1540" i="73"/>
  <c r="I1540" i="73"/>
  <c r="M1539" i="73"/>
  <c r="K1539" i="73"/>
  <c r="I1539" i="73"/>
  <c r="M1538" i="73"/>
  <c r="K1538" i="73"/>
  <c r="I1538" i="73"/>
  <c r="M1537" i="73"/>
  <c r="K1537" i="73"/>
  <c r="I1537" i="73"/>
  <c r="M1536" i="73"/>
  <c r="K1536" i="73"/>
  <c r="I1536" i="73"/>
  <c r="M1535" i="73"/>
  <c r="K1535" i="73"/>
  <c r="I1535" i="73"/>
  <c r="M1534" i="73"/>
  <c r="K1534" i="73"/>
  <c r="I1534" i="73"/>
  <c r="M1533" i="73"/>
  <c r="K1533" i="73"/>
  <c r="I1533" i="73"/>
  <c r="M1532" i="73"/>
  <c r="K1532" i="73"/>
  <c r="I1532" i="73"/>
  <c r="M1531" i="73"/>
  <c r="K1531" i="73"/>
  <c r="I1531" i="73"/>
  <c r="M1530" i="73"/>
  <c r="K1530" i="73"/>
  <c r="I1530" i="73"/>
  <c r="M1529" i="73"/>
  <c r="K1529" i="73"/>
  <c r="I1529" i="73"/>
  <c r="M1528" i="73"/>
  <c r="K1528" i="73"/>
  <c r="I1528" i="73"/>
  <c r="M1527" i="73"/>
  <c r="K1527" i="73"/>
  <c r="I1527" i="73"/>
  <c r="M1526" i="73"/>
  <c r="K1526" i="73"/>
  <c r="I1526" i="73"/>
  <c r="M1525" i="73"/>
  <c r="K1525" i="73"/>
  <c r="I1525" i="73"/>
  <c r="K1524" i="73"/>
  <c r="I1524" i="73"/>
  <c r="M1523" i="73"/>
  <c r="K1523" i="73"/>
  <c r="I1523" i="73"/>
  <c r="M1522" i="73"/>
  <c r="K1522" i="73"/>
  <c r="I1522" i="73"/>
  <c r="M1521" i="73"/>
  <c r="K1521" i="73"/>
  <c r="I1521" i="73"/>
  <c r="M1520" i="73"/>
  <c r="K1520" i="73"/>
  <c r="I1520" i="73"/>
  <c r="M1519" i="73"/>
  <c r="K1519" i="73"/>
  <c r="I1519" i="73"/>
  <c r="M1518" i="73"/>
  <c r="K1518" i="73"/>
  <c r="I1518" i="73"/>
  <c r="M1517" i="73"/>
  <c r="K1517" i="73"/>
  <c r="I1517" i="73"/>
  <c r="M1516" i="73"/>
  <c r="K1516" i="73"/>
  <c r="I1516" i="73"/>
  <c r="M1515" i="73"/>
  <c r="K1515" i="73"/>
  <c r="I1515" i="73"/>
  <c r="M1514" i="73"/>
  <c r="K1514" i="73"/>
  <c r="I1514" i="73"/>
  <c r="M1513" i="73"/>
  <c r="K1513" i="73"/>
  <c r="I1513" i="73"/>
  <c r="M1512" i="73"/>
  <c r="K1512" i="73"/>
  <c r="I1512" i="73"/>
  <c r="M1511" i="73"/>
  <c r="K1511" i="73"/>
  <c r="I1511" i="73"/>
  <c r="M1510" i="73"/>
  <c r="K1510" i="73"/>
  <c r="I1510" i="73"/>
  <c r="M1509" i="73"/>
  <c r="K1509" i="73"/>
  <c r="I1509" i="73"/>
  <c r="M1508" i="73"/>
  <c r="K1508" i="73"/>
  <c r="I1508" i="73"/>
  <c r="M1507" i="73"/>
  <c r="K1507" i="73"/>
  <c r="I1507" i="73"/>
  <c r="O1506" i="73"/>
  <c r="I1506" i="73" s="1"/>
  <c r="K1506" i="73"/>
  <c r="M1505" i="73"/>
  <c r="K1505" i="73"/>
  <c r="I1505" i="73"/>
  <c r="O1504" i="73"/>
  <c r="M1504" i="73" s="1"/>
  <c r="K1504" i="73"/>
  <c r="M1503" i="73"/>
  <c r="K1503" i="73"/>
  <c r="I1503" i="73"/>
  <c r="M1502" i="73"/>
  <c r="K1502" i="73"/>
  <c r="I1502" i="73"/>
  <c r="M1501" i="73"/>
  <c r="K1501" i="73"/>
  <c r="I1501" i="73"/>
  <c r="M1500" i="73"/>
  <c r="K1500" i="73"/>
  <c r="I1500" i="73"/>
  <c r="M1499" i="73"/>
  <c r="K1499" i="73"/>
  <c r="I1499" i="73"/>
  <c r="M1498" i="73"/>
  <c r="K1498" i="73"/>
  <c r="I1498" i="73"/>
  <c r="M1497" i="73"/>
  <c r="K1497" i="73"/>
  <c r="I1497" i="73"/>
  <c r="M1496" i="73"/>
  <c r="K1496" i="73"/>
  <c r="I1496" i="73"/>
  <c r="M1495" i="73"/>
  <c r="K1495" i="73"/>
  <c r="I1495" i="73"/>
  <c r="M1494" i="73"/>
  <c r="K1494" i="73"/>
  <c r="I1494" i="73"/>
  <c r="M1493" i="73"/>
  <c r="K1493" i="73"/>
  <c r="I1493" i="73"/>
  <c r="M1492" i="73"/>
  <c r="K1492" i="73"/>
  <c r="I1492" i="73"/>
  <c r="M1491" i="73"/>
  <c r="K1491" i="73"/>
  <c r="I1491" i="73"/>
  <c r="M1490" i="73"/>
  <c r="K1490" i="73"/>
  <c r="I1490" i="73"/>
  <c r="M1489" i="73"/>
  <c r="K1489" i="73"/>
  <c r="I1489" i="73"/>
  <c r="M1488" i="73"/>
  <c r="K1488" i="73"/>
  <c r="I1488" i="73"/>
  <c r="M1487" i="73"/>
  <c r="K1487" i="73"/>
  <c r="I1487" i="73"/>
  <c r="M1486" i="73"/>
  <c r="K1486" i="73"/>
  <c r="I1486" i="73"/>
  <c r="M1485" i="73"/>
  <c r="K1485" i="73"/>
  <c r="I1485" i="73"/>
  <c r="M1484" i="73"/>
  <c r="K1484" i="73"/>
  <c r="I1484" i="73"/>
  <c r="M1483" i="73"/>
  <c r="K1483" i="73"/>
  <c r="I1483" i="73"/>
  <c r="M1482" i="73"/>
  <c r="K1482" i="73"/>
  <c r="I1482" i="73"/>
  <c r="M1481" i="73"/>
  <c r="K1481" i="73"/>
  <c r="I1481" i="73"/>
  <c r="M1480" i="73"/>
  <c r="K1480" i="73"/>
  <c r="I1480" i="73"/>
  <c r="M1479" i="73"/>
  <c r="K1479" i="73"/>
  <c r="I1479" i="73"/>
  <c r="M1478" i="73"/>
  <c r="K1478" i="73"/>
  <c r="I1478" i="73"/>
  <c r="M1477" i="73"/>
  <c r="K1477" i="73"/>
  <c r="I1477" i="73"/>
  <c r="M1476" i="73"/>
  <c r="K1476" i="73"/>
  <c r="I1476" i="73"/>
  <c r="M1475" i="73"/>
  <c r="K1475" i="73"/>
  <c r="I1475" i="73"/>
  <c r="M1474" i="73"/>
  <c r="K1474" i="73"/>
  <c r="I1474" i="73"/>
  <c r="M1473" i="73"/>
  <c r="K1473" i="73"/>
  <c r="I1473" i="73"/>
  <c r="M1472" i="73"/>
  <c r="K1472" i="73"/>
  <c r="I1472" i="73"/>
  <c r="M1471" i="73"/>
  <c r="K1471" i="73"/>
  <c r="I1471" i="73"/>
  <c r="M1470" i="73"/>
  <c r="K1470" i="73"/>
  <c r="I1470" i="73"/>
  <c r="M1469" i="73"/>
  <c r="K1469" i="73"/>
  <c r="I1469" i="73"/>
  <c r="M1468" i="73"/>
  <c r="K1468" i="73"/>
  <c r="I1468" i="73"/>
  <c r="M1467" i="73"/>
  <c r="K1467" i="73"/>
  <c r="I1467" i="73"/>
  <c r="M1466" i="73"/>
  <c r="K1466" i="73"/>
  <c r="I1466" i="73"/>
  <c r="M1465" i="73"/>
  <c r="K1465" i="73"/>
  <c r="I1465" i="73"/>
  <c r="M1464" i="73"/>
  <c r="K1464" i="73"/>
  <c r="I1464" i="73"/>
  <c r="M1463" i="73"/>
  <c r="K1463" i="73"/>
  <c r="I1463" i="73"/>
  <c r="M1462" i="73"/>
  <c r="K1462" i="73"/>
  <c r="I1462" i="73"/>
  <c r="M1461" i="73"/>
  <c r="K1461" i="73"/>
  <c r="I1461" i="73"/>
  <c r="M1460" i="73"/>
  <c r="K1460" i="73"/>
  <c r="I1460" i="73"/>
  <c r="M1459" i="73"/>
  <c r="K1459" i="73"/>
  <c r="I1459" i="73"/>
  <c r="M1458" i="73"/>
  <c r="K1458" i="73"/>
  <c r="I1458" i="73"/>
  <c r="M1457" i="73"/>
  <c r="K1457" i="73"/>
  <c r="I1457" i="73"/>
  <c r="M1456" i="73"/>
  <c r="K1456" i="73"/>
  <c r="I1456" i="73"/>
  <c r="M1455" i="73"/>
  <c r="K1455" i="73"/>
  <c r="I1455" i="73"/>
  <c r="M1454" i="73"/>
  <c r="K1454" i="73"/>
  <c r="I1454" i="73"/>
  <c r="M1452" i="73"/>
  <c r="K1452" i="73"/>
  <c r="I1452" i="73"/>
  <c r="M1451" i="73"/>
  <c r="K1451" i="73"/>
  <c r="I1451" i="73"/>
  <c r="M1450" i="73"/>
  <c r="K1450" i="73"/>
  <c r="I1450" i="73"/>
  <c r="M1449" i="73"/>
  <c r="K1449" i="73"/>
  <c r="I1449" i="73"/>
  <c r="M1448" i="73"/>
  <c r="K1448" i="73"/>
  <c r="I1448" i="73"/>
  <c r="M1447" i="73"/>
  <c r="K1447" i="73"/>
  <c r="I1447" i="73"/>
  <c r="M1446" i="73"/>
  <c r="K1446" i="73"/>
  <c r="I1446" i="73"/>
  <c r="M1445" i="73"/>
  <c r="K1445" i="73"/>
  <c r="I1445" i="73"/>
  <c r="M1444" i="73"/>
  <c r="K1444" i="73"/>
  <c r="I1444" i="73"/>
  <c r="M1443" i="73"/>
  <c r="K1443" i="73"/>
  <c r="I1443" i="73"/>
  <c r="M1442" i="73"/>
  <c r="K1442" i="73"/>
  <c r="I1442" i="73"/>
  <c r="M1441" i="73"/>
  <c r="K1441" i="73"/>
  <c r="I1441" i="73"/>
  <c r="M1440" i="73"/>
  <c r="K1440" i="73"/>
  <c r="I1440" i="73"/>
  <c r="M1439" i="73"/>
  <c r="K1439" i="73"/>
  <c r="I1439" i="73"/>
  <c r="M1438" i="73"/>
  <c r="K1438" i="73"/>
  <c r="I1438" i="73"/>
  <c r="M1437" i="73"/>
  <c r="K1437" i="73"/>
  <c r="I1437" i="73"/>
  <c r="M1436" i="73"/>
  <c r="K1436" i="73"/>
  <c r="I1436" i="73"/>
  <c r="M1435" i="73"/>
  <c r="K1435" i="73"/>
  <c r="I1435" i="73"/>
  <c r="M1434" i="73"/>
  <c r="K1434" i="73"/>
  <c r="I1434" i="73"/>
  <c r="M1433" i="73"/>
  <c r="K1433" i="73"/>
  <c r="I1433" i="73"/>
  <c r="M1432" i="73"/>
  <c r="K1432" i="73"/>
  <c r="I1432" i="73"/>
  <c r="M1431" i="73"/>
  <c r="K1431" i="73"/>
  <c r="I1431" i="73"/>
  <c r="M1430" i="73"/>
  <c r="K1430" i="73"/>
  <c r="I1430" i="73"/>
  <c r="M1429" i="73"/>
  <c r="K1429" i="73"/>
  <c r="I1429" i="73"/>
  <c r="M1428" i="73"/>
  <c r="K1428" i="73"/>
  <c r="I1428" i="73"/>
  <c r="M1427" i="73"/>
  <c r="K1427" i="73"/>
  <c r="I1427" i="73"/>
  <c r="M1426" i="73"/>
  <c r="K1426" i="73"/>
  <c r="I1426" i="73"/>
  <c r="M1425" i="73"/>
  <c r="K1425" i="73"/>
  <c r="I1425" i="73"/>
  <c r="M1424" i="73"/>
  <c r="K1424" i="73"/>
  <c r="I1424" i="73"/>
  <c r="M1423" i="73"/>
  <c r="K1423" i="73"/>
  <c r="I1423" i="73"/>
  <c r="M1422" i="73"/>
  <c r="K1422" i="73"/>
  <c r="I1422" i="73"/>
  <c r="M1421" i="73"/>
  <c r="K1421" i="73"/>
  <c r="I1421" i="73"/>
  <c r="M1420" i="73"/>
  <c r="K1420" i="73"/>
  <c r="I1420" i="73"/>
  <c r="M1419" i="73"/>
  <c r="K1419" i="73"/>
  <c r="I1419" i="73"/>
  <c r="M1418" i="73"/>
  <c r="K1418" i="73"/>
  <c r="I1418" i="73"/>
  <c r="M1417" i="73"/>
  <c r="K1417" i="73"/>
  <c r="I1417" i="73"/>
  <c r="M1416" i="73"/>
  <c r="K1416" i="73"/>
  <c r="I1416" i="73"/>
  <c r="M1415" i="73"/>
  <c r="K1415" i="73"/>
  <c r="I1415" i="73"/>
  <c r="M1414" i="73"/>
  <c r="K1414" i="73"/>
  <c r="I1414" i="73"/>
  <c r="M1413" i="73"/>
  <c r="K1413" i="73"/>
  <c r="I1413" i="73"/>
  <c r="M1412" i="73"/>
  <c r="K1412" i="73"/>
  <c r="I1412" i="73"/>
  <c r="M1410" i="73"/>
  <c r="K1410" i="73"/>
  <c r="I1410" i="73"/>
  <c r="M1409" i="73"/>
  <c r="K1409" i="73"/>
  <c r="I1409" i="73"/>
  <c r="M1408" i="73"/>
  <c r="K1408" i="73"/>
  <c r="I1408" i="73"/>
  <c r="M1407" i="73"/>
  <c r="K1407" i="73"/>
  <c r="I1407" i="73"/>
  <c r="M1406" i="73"/>
  <c r="K1406" i="73"/>
  <c r="I1406" i="73"/>
  <c r="M1405" i="73"/>
  <c r="K1405" i="73"/>
  <c r="I1405" i="73"/>
  <c r="M1404" i="73"/>
  <c r="K1404" i="73"/>
  <c r="I1404" i="73"/>
  <c r="M1403" i="73"/>
  <c r="K1403" i="73"/>
  <c r="I1403" i="73"/>
  <c r="M1402" i="73"/>
  <c r="K1402" i="73"/>
  <c r="I1402" i="73"/>
  <c r="M1401" i="73"/>
  <c r="K1401" i="73"/>
  <c r="I1401" i="73"/>
  <c r="M1400" i="73"/>
  <c r="K1400" i="73"/>
  <c r="I1400" i="73"/>
  <c r="M1399" i="73"/>
  <c r="K1399" i="73"/>
  <c r="I1399" i="73"/>
  <c r="M1398" i="73"/>
  <c r="K1398" i="73"/>
  <c r="I1398" i="73"/>
  <c r="M1397" i="73"/>
  <c r="K1397" i="73"/>
  <c r="I1397" i="73"/>
  <c r="M1396" i="73"/>
  <c r="K1396" i="73"/>
  <c r="I1396" i="73"/>
  <c r="M1395" i="73"/>
  <c r="K1395" i="73"/>
  <c r="I1395" i="73"/>
  <c r="M1394" i="73"/>
  <c r="K1394" i="73"/>
  <c r="I1394" i="73"/>
  <c r="M1393" i="73"/>
  <c r="K1393" i="73"/>
  <c r="I1393" i="73"/>
  <c r="M1392" i="73"/>
  <c r="K1392" i="73"/>
  <c r="I1392" i="73"/>
  <c r="M1391" i="73"/>
  <c r="K1391" i="73"/>
  <c r="I1391" i="73"/>
  <c r="M1390" i="73"/>
  <c r="K1390" i="73"/>
  <c r="I1390" i="73"/>
  <c r="M1389" i="73"/>
  <c r="K1389" i="73"/>
  <c r="I1389" i="73"/>
  <c r="M1388" i="73"/>
  <c r="K1388" i="73"/>
  <c r="I1388" i="73"/>
  <c r="M1387" i="73"/>
  <c r="K1387" i="73"/>
  <c r="I1387" i="73"/>
  <c r="M1386" i="73"/>
  <c r="K1386" i="73"/>
  <c r="I1386" i="73"/>
  <c r="M1385" i="73"/>
  <c r="K1385" i="73"/>
  <c r="I1385" i="73"/>
  <c r="M1384" i="73"/>
  <c r="K1384" i="73"/>
  <c r="I1384" i="73"/>
  <c r="M1383" i="73"/>
  <c r="K1383" i="73"/>
  <c r="I1383" i="73"/>
  <c r="M1382" i="73"/>
  <c r="K1382" i="73"/>
  <c r="I1382" i="73"/>
  <c r="M1381" i="73"/>
  <c r="K1381" i="73"/>
  <c r="I1381" i="73"/>
  <c r="M1380" i="73"/>
  <c r="K1380" i="73"/>
  <c r="I1380" i="73"/>
  <c r="M1379" i="73"/>
  <c r="K1379" i="73"/>
  <c r="I1379" i="73"/>
  <c r="M1378" i="73"/>
  <c r="K1378" i="73"/>
  <c r="I1378" i="73"/>
  <c r="M1377" i="73"/>
  <c r="K1377" i="73"/>
  <c r="I1377" i="73"/>
  <c r="M1376" i="73"/>
  <c r="K1376" i="73"/>
  <c r="I1376" i="73"/>
  <c r="M1375" i="73"/>
  <c r="K1375" i="73"/>
  <c r="I1375" i="73"/>
  <c r="M1374" i="73"/>
  <c r="K1374" i="73"/>
  <c r="I1374" i="73"/>
  <c r="M1373" i="73"/>
  <c r="K1373" i="73"/>
  <c r="I1373" i="73"/>
  <c r="M1372" i="73"/>
  <c r="K1372" i="73"/>
  <c r="I1372" i="73"/>
  <c r="M1371" i="73"/>
  <c r="K1371" i="73"/>
  <c r="I1371" i="73"/>
  <c r="M1370" i="73"/>
  <c r="K1370" i="73"/>
  <c r="I1370" i="73"/>
  <c r="M1369" i="73"/>
  <c r="K1369" i="73"/>
  <c r="I1369" i="73"/>
  <c r="M1368" i="73"/>
  <c r="K1368" i="73"/>
  <c r="I1368" i="73"/>
  <c r="M1367" i="73"/>
  <c r="K1367" i="73"/>
  <c r="I1367" i="73"/>
  <c r="M1366" i="73"/>
  <c r="K1366" i="73"/>
  <c r="I1366" i="73"/>
  <c r="M1365" i="73"/>
  <c r="K1365" i="73"/>
  <c r="I1365" i="73"/>
  <c r="M1364" i="73"/>
  <c r="K1364" i="73"/>
  <c r="I1364" i="73"/>
  <c r="M1363" i="73"/>
  <c r="K1363" i="73"/>
  <c r="I1363" i="73"/>
  <c r="M1362" i="73"/>
  <c r="K1362" i="73"/>
  <c r="I1362" i="73"/>
  <c r="M1361" i="73"/>
  <c r="K1361" i="73"/>
  <c r="I1361" i="73"/>
  <c r="M1360" i="73"/>
  <c r="K1360" i="73"/>
  <c r="I1360" i="73"/>
  <c r="M1359" i="73"/>
  <c r="K1359" i="73"/>
  <c r="I1359" i="73"/>
  <c r="M1358" i="73"/>
  <c r="K1358" i="73"/>
  <c r="I1358" i="73"/>
  <c r="M1357" i="73"/>
  <c r="K1357" i="73"/>
  <c r="I1357" i="73"/>
  <c r="M1356" i="73"/>
  <c r="K1356" i="73"/>
  <c r="I1356" i="73"/>
  <c r="M1355" i="73"/>
  <c r="K1355" i="73"/>
  <c r="I1355" i="73"/>
  <c r="M1354" i="73"/>
  <c r="K1354" i="73"/>
  <c r="I1354" i="73"/>
  <c r="M1353" i="73"/>
  <c r="K1353" i="73"/>
  <c r="I1353" i="73"/>
  <c r="M1352" i="73"/>
  <c r="K1352" i="73"/>
  <c r="I1352" i="73"/>
  <c r="M1351" i="73"/>
  <c r="K1351" i="73"/>
  <c r="I1351" i="73"/>
  <c r="M1350" i="73"/>
  <c r="K1350" i="73"/>
  <c r="I1350" i="73"/>
  <c r="M1349" i="73"/>
  <c r="K1349" i="73"/>
  <c r="I1349" i="73"/>
  <c r="M1348" i="73"/>
  <c r="K1348" i="73"/>
  <c r="I1348" i="73"/>
  <c r="M1347" i="73"/>
  <c r="K1347" i="73"/>
  <c r="I1347" i="73"/>
  <c r="M1346" i="73"/>
  <c r="K1346" i="73"/>
  <c r="I1346" i="73"/>
  <c r="M1345" i="73"/>
  <c r="K1345" i="73"/>
  <c r="I1345" i="73"/>
  <c r="M1344" i="73"/>
  <c r="K1344" i="73"/>
  <c r="I1344" i="73"/>
  <c r="M1343" i="73"/>
  <c r="K1343" i="73"/>
  <c r="I1343" i="73"/>
  <c r="M1342" i="73"/>
  <c r="K1342" i="73"/>
  <c r="I1342" i="73"/>
  <c r="M1341" i="73"/>
  <c r="K1341" i="73"/>
  <c r="I1341" i="73"/>
  <c r="M1340" i="73"/>
  <c r="K1340" i="73"/>
  <c r="I1340" i="73"/>
  <c r="M1339" i="73"/>
  <c r="K1339" i="73"/>
  <c r="I1339" i="73"/>
  <c r="M1338" i="73"/>
  <c r="K1338" i="73"/>
  <c r="I1338" i="73"/>
  <c r="M1337" i="73"/>
  <c r="K1337" i="73"/>
  <c r="I1337" i="73"/>
  <c r="M1336" i="73"/>
  <c r="K1336" i="73"/>
  <c r="I1336" i="73"/>
  <c r="M1335" i="73"/>
  <c r="K1335" i="73"/>
  <c r="I1335" i="73"/>
  <c r="M1334" i="73"/>
  <c r="K1334" i="73"/>
  <c r="I1334" i="73"/>
  <c r="M1333" i="73"/>
  <c r="K1333" i="73"/>
  <c r="I1333" i="73"/>
  <c r="M1332" i="73"/>
  <c r="K1332" i="73"/>
  <c r="I1332" i="73"/>
  <c r="M1331" i="73"/>
  <c r="K1331" i="73"/>
  <c r="I1331" i="73"/>
  <c r="M1330" i="73"/>
  <c r="K1330" i="73"/>
  <c r="I1330" i="73"/>
  <c r="M1329" i="73"/>
  <c r="K1329" i="73"/>
  <c r="I1329" i="73"/>
  <c r="M1328" i="73"/>
  <c r="K1328" i="73"/>
  <c r="I1328" i="73"/>
  <c r="M1327" i="73"/>
  <c r="K1327" i="73"/>
  <c r="I1327" i="73"/>
  <c r="M1326" i="73"/>
  <c r="K1326" i="73"/>
  <c r="I1326" i="73"/>
  <c r="M1325" i="73"/>
  <c r="K1325" i="73"/>
  <c r="I1325" i="73"/>
  <c r="M1324" i="73"/>
  <c r="K1324" i="73"/>
  <c r="I1324" i="73"/>
  <c r="M1323" i="73"/>
  <c r="K1323" i="73"/>
  <c r="I1323" i="73"/>
  <c r="M1322" i="73"/>
  <c r="K1322" i="73"/>
  <c r="I1322" i="73"/>
  <c r="M1321" i="73"/>
  <c r="K1321" i="73"/>
  <c r="I1321" i="73"/>
  <c r="M1320" i="73"/>
  <c r="K1320" i="73"/>
  <c r="I1320" i="73"/>
  <c r="M1319" i="73"/>
  <c r="K1319" i="73"/>
  <c r="I1319" i="73"/>
  <c r="M1318" i="73"/>
  <c r="K1318" i="73"/>
  <c r="I1318" i="73"/>
  <c r="M1317" i="73"/>
  <c r="K1317" i="73"/>
  <c r="I1317" i="73"/>
  <c r="M1316" i="73"/>
  <c r="K1316" i="73"/>
  <c r="I1316" i="73"/>
  <c r="M1315" i="73"/>
  <c r="K1315" i="73"/>
  <c r="I1315" i="73"/>
  <c r="M1314" i="73"/>
  <c r="K1314" i="73"/>
  <c r="I1314" i="73"/>
  <c r="M1313" i="73"/>
  <c r="K1313" i="73"/>
  <c r="I1313" i="73"/>
  <c r="M1312" i="73"/>
  <c r="K1312" i="73"/>
  <c r="I1312" i="73"/>
  <c r="M1311" i="73"/>
  <c r="K1311" i="73"/>
  <c r="I1311" i="73"/>
  <c r="M1310" i="73"/>
  <c r="K1310" i="73"/>
  <c r="I1310" i="73"/>
  <c r="M1309" i="73"/>
  <c r="K1309" i="73"/>
  <c r="I1309" i="73"/>
  <c r="M1308" i="73"/>
  <c r="K1308" i="73"/>
  <c r="I1308" i="73"/>
  <c r="M1307" i="73"/>
  <c r="K1307" i="73"/>
  <c r="I1307" i="73"/>
  <c r="M1306" i="73"/>
  <c r="K1306" i="73"/>
  <c r="I1306" i="73"/>
  <c r="M1305" i="73"/>
  <c r="K1305" i="73"/>
  <c r="I1305" i="73"/>
  <c r="M1304" i="73"/>
  <c r="K1304" i="73"/>
  <c r="I1304" i="73"/>
  <c r="M1303" i="73"/>
  <c r="K1303" i="73"/>
  <c r="I1303" i="73"/>
  <c r="M1302" i="73"/>
  <c r="K1302" i="73"/>
  <c r="I1302" i="73"/>
  <c r="M1301" i="73"/>
  <c r="K1301" i="73"/>
  <c r="I1301" i="73"/>
  <c r="M1300" i="73"/>
  <c r="K1300" i="73"/>
  <c r="I1300" i="73"/>
  <c r="M1299" i="73"/>
  <c r="K1299" i="73"/>
  <c r="I1299" i="73"/>
  <c r="M1298" i="73"/>
  <c r="K1298" i="73"/>
  <c r="I1298" i="73"/>
  <c r="M1297" i="73"/>
  <c r="K1297" i="73"/>
  <c r="I1297" i="73"/>
  <c r="M1296" i="73"/>
  <c r="K1296" i="73"/>
  <c r="I1296" i="73"/>
  <c r="M1295" i="73"/>
  <c r="K1295" i="73"/>
  <c r="I1295" i="73"/>
  <c r="M1294" i="73"/>
  <c r="K1294" i="73"/>
  <c r="I1294" i="73"/>
  <c r="M1293" i="73"/>
  <c r="K1293" i="73"/>
  <c r="I1293" i="73"/>
  <c r="M1292" i="73"/>
  <c r="K1292" i="73"/>
  <c r="I1292" i="73"/>
  <c r="M1291" i="73"/>
  <c r="K1291" i="73"/>
  <c r="I1291" i="73"/>
  <c r="M1290" i="73"/>
  <c r="K1290" i="73"/>
  <c r="I1290" i="73"/>
  <c r="M1289" i="73"/>
  <c r="K1289" i="73"/>
  <c r="I1289" i="73"/>
  <c r="M1288" i="73"/>
  <c r="K1288" i="73"/>
  <c r="I1288" i="73"/>
  <c r="M1287" i="73"/>
  <c r="K1287" i="73"/>
  <c r="I1287" i="73"/>
  <c r="M1286" i="73"/>
  <c r="K1286" i="73"/>
  <c r="I1286" i="73"/>
  <c r="M1285" i="73"/>
  <c r="K1285" i="73"/>
  <c r="I1285" i="73"/>
  <c r="M1284" i="73"/>
  <c r="K1284" i="73"/>
  <c r="I1284" i="73"/>
  <c r="M1283" i="73"/>
  <c r="K1283" i="73"/>
  <c r="I1283" i="73"/>
  <c r="M1282" i="73"/>
  <c r="K1282" i="73"/>
  <c r="I1282" i="73"/>
  <c r="M1281" i="73"/>
  <c r="K1281" i="73"/>
  <c r="I1281" i="73"/>
  <c r="M1280" i="73"/>
  <c r="K1280" i="73"/>
  <c r="I1280" i="73"/>
  <c r="M1279" i="73"/>
  <c r="K1279" i="73"/>
  <c r="I1279" i="73"/>
  <c r="M1278" i="73"/>
  <c r="K1278" i="73"/>
  <c r="I1278" i="73"/>
  <c r="M1277" i="73"/>
  <c r="K1277" i="73"/>
  <c r="I1277" i="73"/>
  <c r="M1276" i="73"/>
  <c r="K1276" i="73"/>
  <c r="I1276" i="73"/>
  <c r="M1275" i="73"/>
  <c r="K1275" i="73"/>
  <c r="I1275" i="73"/>
  <c r="M1274" i="73"/>
  <c r="K1274" i="73"/>
  <c r="I1274" i="73"/>
  <c r="M1273" i="73"/>
  <c r="K1273" i="73"/>
  <c r="I1273" i="73"/>
  <c r="M1272" i="73"/>
  <c r="K1272" i="73"/>
  <c r="I1272" i="73"/>
  <c r="M1271" i="73"/>
  <c r="K1271" i="73"/>
  <c r="I1271" i="73"/>
  <c r="M1270" i="73"/>
  <c r="K1270" i="73"/>
  <c r="I1270" i="73"/>
  <c r="M1269" i="73"/>
  <c r="K1269" i="73"/>
  <c r="I1269" i="73"/>
  <c r="M1268" i="73"/>
  <c r="K1268" i="73"/>
  <c r="I1268" i="73"/>
  <c r="M1267" i="73"/>
  <c r="K1267" i="73"/>
  <c r="I1267" i="73"/>
  <c r="M1266" i="73"/>
  <c r="K1266" i="73"/>
  <c r="I1266" i="73"/>
  <c r="M1265" i="73"/>
  <c r="K1265" i="73"/>
  <c r="I1265" i="73"/>
  <c r="M1264" i="73"/>
  <c r="K1264" i="73"/>
  <c r="I1264" i="73"/>
  <c r="M1263" i="73"/>
  <c r="K1263" i="73"/>
  <c r="I1263" i="73"/>
  <c r="M1262" i="73"/>
  <c r="K1262" i="73"/>
  <c r="I1262" i="73"/>
  <c r="M1261" i="73"/>
  <c r="K1261" i="73"/>
  <c r="I1261" i="73"/>
  <c r="M1260" i="73"/>
  <c r="K1260" i="73"/>
  <c r="I1260" i="73"/>
  <c r="M1259" i="73"/>
  <c r="K1259" i="73"/>
  <c r="I1259" i="73"/>
  <c r="M1258" i="73"/>
  <c r="K1258" i="73"/>
  <c r="I1258" i="73"/>
  <c r="M1257" i="73"/>
  <c r="K1257" i="73"/>
  <c r="I1257" i="73"/>
  <c r="M1256" i="73"/>
  <c r="K1256" i="73"/>
  <c r="I1256" i="73"/>
  <c r="M1255" i="73"/>
  <c r="K1255" i="73"/>
  <c r="I1255" i="73"/>
  <c r="M1254" i="73"/>
  <c r="K1254" i="73"/>
  <c r="I1254" i="73"/>
  <c r="M1253" i="73"/>
  <c r="K1253" i="73"/>
  <c r="I1253" i="73"/>
  <c r="M1252" i="73"/>
  <c r="K1252" i="73"/>
  <c r="I1252" i="73"/>
  <c r="M1251" i="73"/>
  <c r="K1251" i="73"/>
  <c r="I1251" i="73"/>
  <c r="M1250" i="73"/>
  <c r="K1250" i="73"/>
  <c r="I1250" i="73"/>
  <c r="M1249" i="73"/>
  <c r="K1249" i="73"/>
  <c r="I1249" i="73"/>
  <c r="M1248" i="73"/>
  <c r="K1248" i="73"/>
  <c r="I1248" i="73"/>
  <c r="M1247" i="73"/>
  <c r="K1247" i="73"/>
  <c r="I1247" i="73"/>
  <c r="M1246" i="73"/>
  <c r="K1246" i="73"/>
  <c r="I1246" i="73"/>
  <c r="M1245" i="73"/>
  <c r="K1245" i="73"/>
  <c r="I1245" i="73"/>
  <c r="M1244" i="73"/>
  <c r="K1244" i="73"/>
  <c r="I1244" i="73"/>
  <c r="M1243" i="73"/>
  <c r="K1243" i="73"/>
  <c r="I1243" i="73"/>
  <c r="M1242" i="73"/>
  <c r="K1242" i="73"/>
  <c r="I1242" i="73"/>
  <c r="M1241" i="73"/>
  <c r="K1241" i="73"/>
  <c r="I1241" i="73"/>
  <c r="M1240" i="73"/>
  <c r="K1240" i="73"/>
  <c r="I1240" i="73"/>
  <c r="M1239" i="73"/>
  <c r="K1239" i="73"/>
  <c r="I1239" i="73"/>
  <c r="M1238" i="73"/>
  <c r="K1238" i="73"/>
  <c r="I1238" i="73"/>
  <c r="M1237" i="73"/>
  <c r="K1237" i="73"/>
  <c r="I1237" i="73"/>
  <c r="M1236" i="73"/>
  <c r="K1236" i="73"/>
  <c r="I1236" i="73"/>
  <c r="M1235" i="73"/>
  <c r="K1235" i="73"/>
  <c r="I1235" i="73"/>
  <c r="M1234" i="73"/>
  <c r="K1234" i="73"/>
  <c r="I1234" i="73"/>
  <c r="M1233" i="73"/>
  <c r="K1233" i="73"/>
  <c r="I1233" i="73"/>
  <c r="M1232" i="73"/>
  <c r="K1232" i="73"/>
  <c r="I1232" i="73"/>
  <c r="M1231" i="73"/>
  <c r="K1231" i="73"/>
  <c r="I1231" i="73"/>
  <c r="M1230" i="73"/>
  <c r="K1230" i="73"/>
  <c r="I1230" i="73"/>
  <c r="M1229" i="73"/>
  <c r="K1229" i="73"/>
  <c r="I1229" i="73"/>
  <c r="M1228" i="73"/>
  <c r="K1228" i="73"/>
  <c r="I1228" i="73"/>
  <c r="M1227" i="73"/>
  <c r="K1227" i="73"/>
  <c r="I1227" i="73"/>
  <c r="M1226" i="73"/>
  <c r="K1226" i="73"/>
  <c r="I1226" i="73"/>
  <c r="M1225" i="73"/>
  <c r="K1225" i="73"/>
  <c r="I1225" i="73"/>
  <c r="M1224" i="73"/>
  <c r="K1224" i="73"/>
  <c r="I1224" i="73"/>
  <c r="M1223" i="73"/>
  <c r="K1223" i="73"/>
  <c r="I1223" i="73"/>
  <c r="M1222" i="73"/>
  <c r="K1222" i="73"/>
  <c r="I1222" i="73"/>
  <c r="M1221" i="73"/>
  <c r="K1221" i="73"/>
  <c r="I1221" i="73"/>
  <c r="M1220" i="73"/>
  <c r="K1220" i="73"/>
  <c r="I1220" i="73"/>
  <c r="M1219" i="73"/>
  <c r="K1219" i="73"/>
  <c r="I1219" i="73"/>
  <c r="M1218" i="73"/>
  <c r="K1218" i="73"/>
  <c r="I1218" i="73"/>
  <c r="M1217" i="73"/>
  <c r="K1217" i="73"/>
  <c r="I1217" i="73"/>
  <c r="M1216" i="73"/>
  <c r="K1216" i="73"/>
  <c r="I1216" i="73"/>
  <c r="M1215" i="73"/>
  <c r="K1215" i="73"/>
  <c r="I1215" i="73"/>
  <c r="M1214" i="73"/>
  <c r="K1214" i="73"/>
  <c r="I1214" i="73"/>
  <c r="M1213" i="73"/>
  <c r="K1213" i="73"/>
  <c r="I1213" i="73"/>
  <c r="M1212" i="73"/>
  <c r="K1212" i="73"/>
  <c r="I1212" i="73"/>
  <c r="M1211" i="73"/>
  <c r="K1211" i="73"/>
  <c r="I1211" i="73"/>
  <c r="M1210" i="73"/>
  <c r="K1210" i="73"/>
  <c r="I1210" i="73"/>
  <c r="M1209" i="73"/>
  <c r="K1209" i="73"/>
  <c r="I1209" i="73"/>
  <c r="M1208" i="73"/>
  <c r="K1208" i="73"/>
  <c r="I1208" i="73"/>
  <c r="M1207" i="73"/>
  <c r="K1207" i="73"/>
  <c r="I1207" i="73"/>
  <c r="M1206" i="73"/>
  <c r="K1206" i="73"/>
  <c r="I1206" i="73"/>
  <c r="M1205" i="73"/>
  <c r="K1205" i="73"/>
  <c r="I1205" i="73"/>
  <c r="M1204" i="73"/>
  <c r="K1204" i="73"/>
  <c r="I1204" i="73"/>
  <c r="M1203" i="73"/>
  <c r="K1203" i="73"/>
  <c r="I1203" i="73"/>
  <c r="M1202" i="73"/>
  <c r="K1202" i="73"/>
  <c r="I1202" i="73"/>
  <c r="M1201" i="73"/>
  <c r="K1201" i="73"/>
  <c r="I1201" i="73"/>
  <c r="M1200" i="73"/>
  <c r="K1200" i="73"/>
  <c r="I1200" i="73"/>
  <c r="M1199" i="73"/>
  <c r="K1199" i="73"/>
  <c r="I1199" i="73"/>
  <c r="M1198" i="73"/>
  <c r="K1198" i="73"/>
  <c r="I1198" i="73"/>
  <c r="M1197" i="73"/>
  <c r="K1197" i="73"/>
  <c r="I1197" i="73"/>
  <c r="M1196" i="73"/>
  <c r="K1196" i="73"/>
  <c r="I1196" i="73"/>
  <c r="M1195" i="73"/>
  <c r="K1195" i="73"/>
  <c r="I1195" i="73"/>
  <c r="M1194" i="73"/>
  <c r="K1194" i="73"/>
  <c r="I1194" i="73"/>
  <c r="M1193" i="73"/>
  <c r="K1193" i="73"/>
  <c r="I1193" i="73"/>
  <c r="M1192" i="73"/>
  <c r="K1192" i="73"/>
  <c r="I1192" i="73"/>
  <c r="M1191" i="73"/>
  <c r="K1191" i="73"/>
  <c r="I1191" i="73"/>
  <c r="M1190" i="73"/>
  <c r="K1190" i="73"/>
  <c r="I1190" i="73"/>
  <c r="M1189" i="73"/>
  <c r="K1189" i="73"/>
  <c r="I1189" i="73"/>
  <c r="M1188" i="73"/>
  <c r="K1188" i="73"/>
  <c r="I1188" i="73"/>
  <c r="M1187" i="73"/>
  <c r="K1187" i="73"/>
  <c r="I1187" i="73"/>
  <c r="M1186" i="73"/>
  <c r="K1186" i="73"/>
  <c r="I1186" i="73"/>
  <c r="M1185" i="73"/>
  <c r="K1185" i="73"/>
  <c r="I1185" i="73"/>
  <c r="M1184" i="73"/>
  <c r="K1184" i="73"/>
  <c r="I1184" i="73"/>
  <c r="M1183" i="73"/>
  <c r="K1183" i="73"/>
  <c r="I1183" i="73"/>
  <c r="M1182" i="73"/>
  <c r="K1182" i="73"/>
  <c r="I1182" i="73"/>
  <c r="M1181" i="73"/>
  <c r="K1181" i="73"/>
  <c r="I1181" i="73"/>
  <c r="M1180" i="73"/>
  <c r="K1180" i="73"/>
  <c r="I1180" i="73"/>
  <c r="M1179" i="73"/>
  <c r="K1179" i="73"/>
  <c r="I1179" i="73"/>
  <c r="M1178" i="73"/>
  <c r="K1178" i="73"/>
  <c r="I1178" i="73"/>
  <c r="M1177" i="73"/>
  <c r="K1177" i="73"/>
  <c r="I1177" i="73"/>
  <c r="M1176" i="73"/>
  <c r="K1176" i="73"/>
  <c r="I1176" i="73"/>
  <c r="M1175" i="73"/>
  <c r="K1175" i="73"/>
  <c r="I1175" i="73"/>
  <c r="M1174" i="73"/>
  <c r="K1174" i="73"/>
  <c r="I1174" i="73"/>
  <c r="M1173" i="73"/>
  <c r="K1173" i="73"/>
  <c r="I1173" i="73"/>
  <c r="M1172" i="73"/>
  <c r="K1172" i="73"/>
  <c r="I1172" i="73"/>
  <c r="M1171" i="73"/>
  <c r="K1171" i="73"/>
  <c r="I1171" i="73"/>
  <c r="M1170" i="73"/>
  <c r="K1170" i="73"/>
  <c r="I1170" i="73"/>
  <c r="M1169" i="73"/>
  <c r="K1169" i="73"/>
  <c r="I1169" i="73"/>
  <c r="M1168" i="73"/>
  <c r="K1168" i="73"/>
  <c r="I1168" i="73"/>
  <c r="M1167" i="73"/>
  <c r="K1167" i="73"/>
  <c r="I1167" i="73"/>
  <c r="M1166" i="73"/>
  <c r="K1166" i="73"/>
  <c r="I1166" i="73"/>
  <c r="M1165" i="73"/>
  <c r="K1165" i="73"/>
  <c r="I1165" i="73"/>
  <c r="M1164" i="73"/>
  <c r="K1164" i="73"/>
  <c r="I1164" i="73"/>
  <c r="M1163" i="73"/>
  <c r="K1163" i="73"/>
  <c r="I1163" i="73"/>
  <c r="M1162" i="73"/>
  <c r="K1162" i="73"/>
  <c r="I1162" i="73"/>
  <c r="M1161" i="73"/>
  <c r="K1161" i="73"/>
  <c r="I1161" i="73"/>
  <c r="M1160" i="73"/>
  <c r="K1160" i="73"/>
  <c r="I1160" i="73"/>
  <c r="M1159" i="73"/>
  <c r="K1159" i="73"/>
  <c r="I1159" i="73"/>
  <c r="M1158" i="73"/>
  <c r="K1158" i="73"/>
  <c r="I1158" i="73"/>
  <c r="M1157" i="73"/>
  <c r="K1157" i="73"/>
  <c r="I1157" i="73"/>
  <c r="M1156" i="73"/>
  <c r="K1156" i="73"/>
  <c r="I1156" i="73"/>
  <c r="M1155" i="73"/>
  <c r="K1155" i="73"/>
  <c r="I1155" i="73"/>
  <c r="M1154" i="73"/>
  <c r="K1154" i="73"/>
  <c r="I1154" i="73"/>
  <c r="M1153" i="73"/>
  <c r="K1153" i="73"/>
  <c r="I1153" i="73"/>
  <c r="M1152" i="73"/>
  <c r="K1152" i="73"/>
  <c r="I1152" i="73"/>
  <c r="M1151" i="73"/>
  <c r="K1151" i="73"/>
  <c r="I1151" i="73"/>
  <c r="M1150" i="73"/>
  <c r="K1150" i="73"/>
  <c r="I1150" i="73"/>
  <c r="M1149" i="73"/>
  <c r="K1149" i="73"/>
  <c r="I1149" i="73"/>
  <c r="M1148" i="73"/>
  <c r="K1148" i="73"/>
  <c r="I1148" i="73"/>
  <c r="M1147" i="73"/>
  <c r="K1147" i="73"/>
  <c r="I1147" i="73"/>
  <c r="M1146" i="73"/>
  <c r="K1146" i="73"/>
  <c r="I1146" i="73"/>
  <c r="M1145" i="73"/>
  <c r="K1145" i="73"/>
  <c r="I1145" i="73"/>
  <c r="M1144" i="73"/>
  <c r="K1144" i="73"/>
  <c r="I1144" i="73"/>
  <c r="M1143" i="73"/>
  <c r="K1143" i="73"/>
  <c r="I1143" i="73"/>
  <c r="M1142" i="73"/>
  <c r="K1142" i="73"/>
  <c r="I1142" i="73"/>
  <c r="M1141" i="73"/>
  <c r="K1141" i="73"/>
  <c r="I1141" i="73"/>
  <c r="M1140" i="73"/>
  <c r="K1140" i="73"/>
  <c r="I1140" i="73"/>
  <c r="M1139" i="73"/>
  <c r="K1139" i="73"/>
  <c r="I1139" i="73"/>
  <c r="M1138" i="73"/>
  <c r="K1138" i="73"/>
  <c r="I1138" i="73"/>
  <c r="M1137" i="73"/>
  <c r="K1137" i="73"/>
  <c r="I1137" i="73"/>
  <c r="M1136" i="73"/>
  <c r="K1136" i="73"/>
  <c r="I1136" i="73"/>
  <c r="M1135" i="73"/>
  <c r="K1135" i="73"/>
  <c r="I1135" i="73"/>
  <c r="M1134" i="73"/>
  <c r="K1134" i="73"/>
  <c r="I1134" i="73"/>
  <c r="M1133" i="73"/>
  <c r="K1133" i="73"/>
  <c r="I1133" i="73"/>
  <c r="M1132" i="73"/>
  <c r="K1132" i="73"/>
  <c r="I1132" i="73"/>
  <c r="M1131" i="73"/>
  <c r="K1131" i="73"/>
  <c r="I1131" i="73"/>
  <c r="M1130" i="73"/>
  <c r="K1130" i="73"/>
  <c r="I1130" i="73"/>
  <c r="M1129" i="73"/>
  <c r="K1129" i="73"/>
  <c r="I1129" i="73"/>
  <c r="M1128" i="73"/>
  <c r="K1128" i="73"/>
  <c r="I1128" i="73"/>
  <c r="M1127" i="73"/>
  <c r="K1127" i="73"/>
  <c r="I1127" i="73"/>
  <c r="M1126" i="73"/>
  <c r="K1126" i="73"/>
  <c r="I1126" i="73"/>
  <c r="M1125" i="73"/>
  <c r="K1125" i="73"/>
  <c r="I1125" i="73"/>
  <c r="M1124" i="73"/>
  <c r="K1124" i="73"/>
  <c r="I1124" i="73"/>
  <c r="M1123" i="73"/>
  <c r="K1123" i="73"/>
  <c r="I1123" i="73"/>
  <c r="M1122" i="73"/>
  <c r="K1122" i="73"/>
  <c r="I1122" i="73"/>
  <c r="M1121" i="73"/>
  <c r="K1121" i="73"/>
  <c r="I1121" i="73"/>
  <c r="M1120" i="73"/>
  <c r="K1120" i="73"/>
  <c r="I1120" i="73"/>
  <c r="M1119" i="73"/>
  <c r="K1119" i="73"/>
  <c r="I1119" i="73"/>
  <c r="M1118" i="73"/>
  <c r="K1118" i="73"/>
  <c r="I1118" i="73"/>
  <c r="M1117" i="73"/>
  <c r="K1117" i="73"/>
  <c r="I1117" i="73"/>
  <c r="M1116" i="73"/>
  <c r="K1116" i="73"/>
  <c r="I1116" i="73"/>
  <c r="M1115" i="73"/>
  <c r="K1115" i="73"/>
  <c r="I1115" i="73"/>
  <c r="M1114" i="73"/>
  <c r="K1114" i="73"/>
  <c r="I1114" i="73"/>
  <c r="M1113" i="73"/>
  <c r="K1113" i="73"/>
  <c r="I1113" i="73"/>
  <c r="M1112" i="73"/>
  <c r="K1112" i="73"/>
  <c r="I1112" i="73"/>
  <c r="M1111" i="73"/>
  <c r="K1111" i="73"/>
  <c r="I1111" i="73"/>
  <c r="M1110" i="73"/>
  <c r="K1110" i="73"/>
  <c r="I1110" i="73"/>
  <c r="M1109" i="73"/>
  <c r="K1109" i="73"/>
  <c r="I1109" i="73"/>
  <c r="M1108" i="73"/>
  <c r="K1108" i="73"/>
  <c r="I1108" i="73"/>
  <c r="M1107" i="73"/>
  <c r="K1107" i="73"/>
  <c r="I1107" i="73"/>
  <c r="M1106" i="73"/>
  <c r="K1106" i="73"/>
  <c r="I1106" i="73"/>
  <c r="M1105" i="73"/>
  <c r="K1105" i="73"/>
  <c r="I1105" i="73"/>
  <c r="M1104" i="73"/>
  <c r="K1104" i="73"/>
  <c r="I1104" i="73"/>
  <c r="M1103" i="73"/>
  <c r="K1103" i="73"/>
  <c r="I1103" i="73"/>
  <c r="M1102" i="73"/>
  <c r="K1102" i="73"/>
  <c r="I1102" i="73"/>
  <c r="M1101" i="73"/>
  <c r="K1101" i="73"/>
  <c r="I1101" i="73"/>
  <c r="M1100" i="73"/>
  <c r="K1100" i="73"/>
  <c r="I1100" i="73"/>
  <c r="M1099" i="73"/>
  <c r="K1099" i="73"/>
  <c r="I1099" i="73"/>
  <c r="M1098" i="73"/>
  <c r="K1098" i="73"/>
  <c r="I1098" i="73"/>
  <c r="M1097" i="73"/>
  <c r="K1097" i="73"/>
  <c r="I1097" i="73"/>
  <c r="M1096" i="73"/>
  <c r="K1096" i="73"/>
  <c r="I1096" i="73"/>
  <c r="M1095" i="73"/>
  <c r="K1095" i="73"/>
  <c r="I1095" i="73"/>
  <c r="M1094" i="73"/>
  <c r="K1094" i="73"/>
  <c r="I1094" i="73"/>
  <c r="M1093" i="73"/>
  <c r="K1093" i="73"/>
  <c r="I1093" i="73"/>
  <c r="O1092" i="73"/>
  <c r="M1092" i="73" s="1"/>
  <c r="K1092" i="73"/>
  <c r="O1091" i="73"/>
  <c r="M1091" i="73" s="1"/>
  <c r="K1091" i="73"/>
  <c r="O1090" i="73"/>
  <c r="M1090" i="73" s="1"/>
  <c r="K1090" i="73"/>
  <c r="O1089" i="73"/>
  <c r="M1089" i="73" s="1"/>
  <c r="K1089" i="73"/>
  <c r="M1088" i="73"/>
  <c r="K1088" i="73"/>
  <c r="I1088" i="73"/>
  <c r="M1087" i="73"/>
  <c r="K1087" i="73"/>
  <c r="I1087" i="73"/>
  <c r="M1086" i="73"/>
  <c r="K1086" i="73"/>
  <c r="I1086" i="73"/>
  <c r="M1085" i="73"/>
  <c r="K1085" i="73"/>
  <c r="I1085" i="73"/>
  <c r="M1084" i="73"/>
  <c r="K1084" i="73"/>
  <c r="I1084" i="73"/>
  <c r="M1083" i="73"/>
  <c r="K1083" i="73"/>
  <c r="I1083" i="73"/>
  <c r="M1082" i="73"/>
  <c r="K1082" i="73"/>
  <c r="I1082" i="73"/>
  <c r="M1081" i="73"/>
  <c r="K1081" i="73"/>
  <c r="I1081" i="73"/>
  <c r="M1080" i="73"/>
  <c r="K1080" i="73"/>
  <c r="I1080" i="73"/>
  <c r="M1079" i="73"/>
  <c r="K1079" i="73"/>
  <c r="I1079" i="73"/>
  <c r="M1078" i="73"/>
  <c r="K1078" i="73"/>
  <c r="I1078" i="73"/>
  <c r="M1077" i="73"/>
  <c r="K1077" i="73"/>
  <c r="I1077" i="73"/>
  <c r="M1076" i="73"/>
  <c r="K1076" i="73"/>
  <c r="I1076" i="73"/>
  <c r="M1075" i="73"/>
  <c r="K1075" i="73"/>
  <c r="I1075" i="73"/>
  <c r="M1074" i="73"/>
  <c r="K1074" i="73"/>
  <c r="I1074" i="73"/>
  <c r="M1073" i="73"/>
  <c r="K1073" i="73"/>
  <c r="I1073" i="73"/>
  <c r="M1072" i="73"/>
  <c r="K1072" i="73"/>
  <c r="I1072" i="73"/>
  <c r="M1071" i="73"/>
  <c r="K1071" i="73"/>
  <c r="I1071" i="73"/>
  <c r="M1070" i="73"/>
  <c r="K1070" i="73"/>
  <c r="I1070" i="73"/>
  <c r="M1069" i="73"/>
  <c r="K1069" i="73"/>
  <c r="I1069" i="73"/>
  <c r="M1068" i="73"/>
  <c r="K1068" i="73"/>
  <c r="I1068" i="73"/>
  <c r="M1067" i="73"/>
  <c r="K1067" i="73"/>
  <c r="I1067" i="73"/>
  <c r="M1066" i="73"/>
  <c r="K1066" i="73"/>
  <c r="I1066" i="73"/>
  <c r="M1065" i="73"/>
  <c r="K1065" i="73"/>
  <c r="I1065" i="73"/>
  <c r="M1064" i="73"/>
  <c r="K1064" i="73"/>
  <c r="I1064" i="73"/>
  <c r="M1063" i="73"/>
  <c r="K1063" i="73"/>
  <c r="I1063" i="73"/>
  <c r="M1062" i="73"/>
  <c r="K1062" i="73"/>
  <c r="I1062" i="73"/>
  <c r="M1061" i="73"/>
  <c r="K1061" i="73"/>
  <c r="I1061" i="73"/>
  <c r="M1060" i="73"/>
  <c r="K1060" i="73"/>
  <c r="I1060" i="73"/>
  <c r="M1059" i="73"/>
  <c r="K1059" i="73"/>
  <c r="I1059" i="73"/>
  <c r="M1058" i="73"/>
  <c r="K1058" i="73"/>
  <c r="I1058" i="73"/>
  <c r="M1057" i="73"/>
  <c r="K1057" i="73"/>
  <c r="I1057" i="73"/>
  <c r="M1056" i="73"/>
  <c r="K1056" i="73"/>
  <c r="I1056" i="73"/>
  <c r="M1055" i="73"/>
  <c r="K1055" i="73"/>
  <c r="I1055" i="73"/>
  <c r="M1054" i="73"/>
  <c r="K1054" i="73"/>
  <c r="I1054" i="73"/>
  <c r="M1053" i="73"/>
  <c r="K1053" i="73"/>
  <c r="I1053" i="73"/>
  <c r="M1052" i="73"/>
  <c r="K1052" i="73"/>
  <c r="I1052" i="73"/>
  <c r="M1051" i="73"/>
  <c r="K1051" i="73"/>
  <c r="I1051" i="73"/>
  <c r="M1050" i="73"/>
  <c r="K1050" i="73"/>
  <c r="I1050" i="73"/>
  <c r="M1049" i="73"/>
  <c r="K1049" i="73"/>
  <c r="I1049" i="73"/>
  <c r="M1048" i="73"/>
  <c r="K1048" i="73"/>
  <c r="I1048" i="73"/>
  <c r="M1047" i="73"/>
  <c r="K1047" i="73"/>
  <c r="I1047" i="73"/>
  <c r="M1046" i="73"/>
  <c r="K1046" i="73"/>
  <c r="I1046" i="73"/>
  <c r="M1045" i="73"/>
  <c r="K1045" i="73"/>
  <c r="I1045" i="73"/>
  <c r="M1044" i="73"/>
  <c r="K1044" i="73"/>
  <c r="I1044" i="73"/>
  <c r="M1043" i="73"/>
  <c r="K1043" i="73"/>
  <c r="I1043" i="73"/>
  <c r="M1042" i="73"/>
  <c r="K1042" i="73"/>
  <c r="I1042" i="73"/>
  <c r="M1041" i="73"/>
  <c r="K1041" i="73"/>
  <c r="I1041" i="73"/>
  <c r="M1040" i="73"/>
  <c r="K1040" i="73"/>
  <c r="I1040" i="73"/>
  <c r="M1039" i="73"/>
  <c r="K1039" i="73"/>
  <c r="I1039" i="73"/>
  <c r="M1038" i="73"/>
  <c r="K1038" i="73"/>
  <c r="I1038" i="73"/>
  <c r="M1037" i="73"/>
  <c r="K1037" i="73"/>
  <c r="I1037" i="73"/>
  <c r="M1036" i="73"/>
  <c r="K1036" i="73"/>
  <c r="I1036" i="73"/>
  <c r="M1035" i="73"/>
  <c r="K1035" i="73"/>
  <c r="I1035" i="73"/>
  <c r="M1034" i="73"/>
  <c r="K1034" i="73"/>
  <c r="I1034" i="73"/>
  <c r="M1033" i="73"/>
  <c r="K1033" i="73"/>
  <c r="I1033" i="73"/>
  <c r="M1032" i="73"/>
  <c r="K1032" i="73"/>
  <c r="I1032" i="73"/>
  <c r="M1031" i="73"/>
  <c r="K1031" i="73"/>
  <c r="I1031" i="73"/>
  <c r="M1030" i="73"/>
  <c r="K1030" i="73"/>
  <c r="I1030" i="73"/>
  <c r="M1029" i="73"/>
  <c r="K1029" i="73"/>
  <c r="I1029" i="73"/>
  <c r="M1028" i="73"/>
  <c r="K1028" i="73"/>
  <c r="I1028" i="73"/>
  <c r="M1027" i="73"/>
  <c r="K1027" i="73"/>
  <c r="I1027" i="73"/>
  <c r="M1026" i="73"/>
  <c r="K1026" i="73"/>
  <c r="I1026" i="73"/>
  <c r="M1025" i="73"/>
  <c r="K1025" i="73"/>
  <c r="I1025" i="73"/>
  <c r="M1024" i="73"/>
  <c r="K1024" i="73"/>
  <c r="I1024" i="73"/>
  <c r="M1023" i="73"/>
  <c r="K1023" i="73"/>
  <c r="I1023" i="73"/>
  <c r="M1022" i="73"/>
  <c r="K1022" i="73"/>
  <c r="I1022" i="73"/>
  <c r="M1021" i="73"/>
  <c r="K1021" i="73"/>
  <c r="I1021" i="73"/>
  <c r="M1020" i="73"/>
  <c r="K1020" i="73"/>
  <c r="I1020" i="73"/>
  <c r="M1019" i="73"/>
  <c r="K1019" i="73"/>
  <c r="I1019" i="73"/>
  <c r="M1018" i="73"/>
  <c r="K1018" i="73"/>
  <c r="I1018" i="73"/>
  <c r="M1017" i="73"/>
  <c r="K1017" i="73"/>
  <c r="I1017" i="73"/>
  <c r="M1016" i="73"/>
  <c r="K1016" i="73"/>
  <c r="I1016" i="73"/>
  <c r="M1015" i="73"/>
  <c r="K1015" i="73"/>
  <c r="I1015" i="73"/>
  <c r="M1014" i="73"/>
  <c r="K1014" i="73"/>
  <c r="I1014" i="73"/>
  <c r="M1013" i="73"/>
  <c r="K1013" i="73"/>
  <c r="I1013" i="73"/>
  <c r="M1012" i="73"/>
  <c r="K1012" i="73"/>
  <c r="I1012" i="73"/>
  <c r="M1011" i="73"/>
  <c r="K1011" i="73"/>
  <c r="I1011" i="73"/>
  <c r="M1010" i="73"/>
  <c r="K1010" i="73"/>
  <c r="I1010" i="73"/>
  <c r="M1009" i="73"/>
  <c r="K1009" i="73"/>
  <c r="I1009" i="73"/>
  <c r="M1008" i="73"/>
  <c r="K1008" i="73"/>
  <c r="I1008" i="73"/>
  <c r="M1007" i="73"/>
  <c r="K1007" i="73"/>
  <c r="I1007" i="73"/>
  <c r="M1006" i="73"/>
  <c r="K1006" i="73"/>
  <c r="I1006" i="73"/>
  <c r="M1005" i="73"/>
  <c r="K1005" i="73"/>
  <c r="I1005" i="73"/>
  <c r="M1004" i="73"/>
  <c r="K1004" i="73"/>
  <c r="I1004" i="73"/>
  <c r="M1003" i="73"/>
  <c r="K1003" i="73"/>
  <c r="I1003" i="73"/>
  <c r="M1002" i="73"/>
  <c r="K1002" i="73"/>
  <c r="I1002" i="73"/>
  <c r="M1001" i="73"/>
  <c r="K1001" i="73"/>
  <c r="I1001" i="73"/>
  <c r="M1000" i="73"/>
  <c r="K1000" i="73"/>
  <c r="I1000" i="73"/>
  <c r="M999" i="73"/>
  <c r="K999" i="73"/>
  <c r="I999" i="73"/>
  <c r="M998" i="73"/>
  <c r="K998" i="73"/>
  <c r="I998" i="73"/>
  <c r="M997" i="73"/>
  <c r="K997" i="73"/>
  <c r="I997" i="73"/>
  <c r="M996" i="73"/>
  <c r="K996" i="73"/>
  <c r="I996" i="73"/>
  <c r="M995" i="73"/>
  <c r="K995" i="73"/>
  <c r="I995" i="73"/>
  <c r="M994" i="73"/>
  <c r="K994" i="73"/>
  <c r="I994" i="73"/>
  <c r="M993" i="73"/>
  <c r="K993" i="73"/>
  <c r="I993" i="73"/>
  <c r="M992" i="73"/>
  <c r="K992" i="73"/>
  <c r="I992" i="73"/>
  <c r="M991" i="73"/>
  <c r="K991" i="73"/>
  <c r="I991" i="73"/>
  <c r="M990" i="73"/>
  <c r="K990" i="73"/>
  <c r="I990" i="73"/>
  <c r="M989" i="73"/>
  <c r="K989" i="73"/>
  <c r="I989" i="73"/>
  <c r="M988" i="73"/>
  <c r="K988" i="73"/>
  <c r="I988" i="73"/>
  <c r="M987" i="73"/>
  <c r="K987" i="73"/>
  <c r="I987" i="73"/>
  <c r="M986" i="73"/>
  <c r="K986" i="73"/>
  <c r="I986" i="73"/>
  <c r="M985" i="73"/>
  <c r="K985" i="73"/>
  <c r="I985" i="73"/>
  <c r="M984" i="73"/>
  <c r="K984" i="73"/>
  <c r="I984" i="73"/>
  <c r="M983" i="73"/>
  <c r="K983" i="73"/>
  <c r="I983" i="73"/>
  <c r="M982" i="73"/>
  <c r="K982" i="73"/>
  <c r="I982" i="73"/>
  <c r="M981" i="73"/>
  <c r="K981" i="73"/>
  <c r="I981" i="73"/>
  <c r="M980" i="73"/>
  <c r="K980" i="73"/>
  <c r="I980" i="73"/>
  <c r="M979" i="73"/>
  <c r="K979" i="73"/>
  <c r="I979" i="73"/>
  <c r="M978" i="73"/>
  <c r="K978" i="73"/>
  <c r="I978" i="73"/>
  <c r="M977" i="73"/>
  <c r="K977" i="73"/>
  <c r="I977" i="73"/>
  <c r="M976" i="73"/>
  <c r="K976" i="73"/>
  <c r="I976" i="73"/>
  <c r="M975" i="73"/>
  <c r="K975" i="73"/>
  <c r="I975" i="73"/>
  <c r="M974" i="73"/>
  <c r="K974" i="73"/>
  <c r="I974" i="73"/>
  <c r="M973" i="73"/>
  <c r="K973" i="73"/>
  <c r="I973" i="73"/>
  <c r="M972" i="73"/>
  <c r="K972" i="73"/>
  <c r="I972" i="73"/>
  <c r="M971" i="73"/>
  <c r="K971" i="73"/>
  <c r="I971" i="73"/>
  <c r="M970" i="73"/>
  <c r="K970" i="73"/>
  <c r="I970" i="73"/>
  <c r="M969" i="73"/>
  <c r="K969" i="73"/>
  <c r="I969" i="73"/>
  <c r="M968" i="73"/>
  <c r="K968" i="73"/>
  <c r="I968" i="73"/>
  <c r="M967" i="73"/>
  <c r="K967" i="73"/>
  <c r="I967" i="73"/>
  <c r="M966" i="73"/>
  <c r="K966" i="73"/>
  <c r="I966" i="73"/>
  <c r="M965" i="73"/>
  <c r="K965" i="73"/>
  <c r="I965" i="73"/>
  <c r="M964" i="73"/>
  <c r="K964" i="73"/>
  <c r="I964" i="73"/>
  <c r="M963" i="73"/>
  <c r="K963" i="73"/>
  <c r="I963" i="73"/>
  <c r="M962" i="73"/>
  <c r="K962" i="73"/>
  <c r="I962" i="73"/>
  <c r="M961" i="73"/>
  <c r="K961" i="73"/>
  <c r="I961" i="73"/>
  <c r="M960" i="73"/>
  <c r="K960" i="73"/>
  <c r="I960" i="73"/>
  <c r="M959" i="73"/>
  <c r="K959" i="73"/>
  <c r="I959" i="73"/>
  <c r="M958" i="73"/>
  <c r="K958" i="73"/>
  <c r="I958" i="73"/>
  <c r="M957" i="73"/>
  <c r="K957" i="73"/>
  <c r="I957" i="73"/>
  <c r="M956" i="73"/>
  <c r="K956" i="73"/>
  <c r="I956" i="73"/>
  <c r="O955" i="73"/>
  <c r="M955" i="73" s="1"/>
  <c r="K955" i="73"/>
  <c r="M954" i="73"/>
  <c r="K954" i="73"/>
  <c r="I954" i="73"/>
  <c r="M953" i="73"/>
  <c r="K953" i="73"/>
  <c r="I953" i="73"/>
  <c r="M952" i="73"/>
  <c r="K952" i="73"/>
  <c r="I952" i="73"/>
  <c r="M951" i="73"/>
  <c r="K951" i="73"/>
  <c r="I951" i="73"/>
  <c r="M950" i="73"/>
  <c r="K950" i="73"/>
  <c r="I950" i="73"/>
  <c r="M949" i="73"/>
  <c r="K949" i="73"/>
  <c r="I949" i="73"/>
  <c r="M948" i="73"/>
  <c r="K948" i="73"/>
  <c r="I948" i="73"/>
  <c r="O947" i="73"/>
  <c r="M947" i="73" s="1"/>
  <c r="K947" i="73"/>
  <c r="O946" i="73"/>
  <c r="M946" i="73" s="1"/>
  <c r="K946" i="73"/>
  <c r="O945" i="73"/>
  <c r="M945" i="73" s="1"/>
  <c r="K945" i="73"/>
  <c r="K944" i="73"/>
  <c r="I944" i="73"/>
  <c r="M943" i="73"/>
  <c r="K943" i="73"/>
  <c r="I943" i="73"/>
  <c r="M942" i="73"/>
  <c r="K942" i="73"/>
  <c r="I942" i="73"/>
  <c r="M941" i="73"/>
  <c r="K941" i="73"/>
  <c r="I941" i="73"/>
  <c r="M940" i="73"/>
  <c r="K940" i="73"/>
  <c r="I940" i="73"/>
  <c r="M939" i="73"/>
  <c r="K939" i="73"/>
  <c r="I939" i="73"/>
  <c r="O938" i="73"/>
  <c r="I938" i="73" s="1"/>
  <c r="K938" i="73"/>
  <c r="O937" i="73"/>
  <c r="M937" i="73" s="1"/>
  <c r="K937" i="73"/>
  <c r="M936" i="73"/>
  <c r="K936" i="73"/>
  <c r="I936" i="73"/>
  <c r="M935" i="73"/>
  <c r="K935" i="73"/>
  <c r="I935" i="73"/>
  <c r="M934" i="73"/>
  <c r="K934" i="73"/>
  <c r="I934" i="73"/>
  <c r="M933" i="73"/>
  <c r="K933" i="73"/>
  <c r="I933" i="73"/>
  <c r="O932" i="73"/>
  <c r="M932" i="73" s="1"/>
  <c r="K932" i="73"/>
  <c r="M931" i="73"/>
  <c r="K931" i="73"/>
  <c r="I931" i="73"/>
  <c r="M930" i="73"/>
  <c r="K930" i="73"/>
  <c r="I930" i="73"/>
  <c r="M929" i="73"/>
  <c r="K929" i="73"/>
  <c r="I929" i="73"/>
  <c r="M928" i="73"/>
  <c r="K928" i="73"/>
  <c r="I928" i="73"/>
  <c r="M927" i="73"/>
  <c r="K927" i="73"/>
  <c r="I927" i="73"/>
  <c r="M926" i="73"/>
  <c r="K926" i="73"/>
  <c r="I926" i="73"/>
  <c r="M925" i="73"/>
  <c r="K925" i="73"/>
  <c r="I925" i="73"/>
  <c r="M924" i="73"/>
  <c r="K924" i="73"/>
  <c r="I924" i="73"/>
  <c r="M923" i="73"/>
  <c r="K923" i="73"/>
  <c r="I923" i="73"/>
  <c r="M922" i="73"/>
  <c r="K922" i="73"/>
  <c r="I922" i="73"/>
  <c r="M921" i="73"/>
  <c r="K921" i="73"/>
  <c r="I921" i="73"/>
  <c r="M920" i="73"/>
  <c r="K920" i="73"/>
  <c r="I920" i="73"/>
  <c r="M919" i="73"/>
  <c r="K919" i="73"/>
  <c r="I919" i="73"/>
  <c r="M918" i="73"/>
  <c r="K918" i="73"/>
  <c r="I918" i="73"/>
  <c r="M917" i="73"/>
  <c r="K917" i="73"/>
  <c r="I917" i="73"/>
  <c r="M916" i="73"/>
  <c r="K916" i="73"/>
  <c r="I916" i="73"/>
  <c r="M915" i="73"/>
  <c r="K915" i="73"/>
  <c r="I915" i="73"/>
  <c r="M914" i="73"/>
  <c r="K914" i="73"/>
  <c r="I914" i="73"/>
  <c r="M913" i="73"/>
  <c r="K913" i="73"/>
  <c r="I913" i="73"/>
  <c r="M912" i="73"/>
  <c r="K912" i="73"/>
  <c r="I912" i="73"/>
  <c r="M911" i="73"/>
  <c r="K911" i="73"/>
  <c r="I911" i="73"/>
  <c r="M910" i="73"/>
  <c r="K910" i="73"/>
  <c r="I910" i="73"/>
  <c r="M909" i="73"/>
  <c r="K909" i="73"/>
  <c r="I909" i="73"/>
  <c r="M908" i="73"/>
  <c r="K908" i="73"/>
  <c r="I908" i="73"/>
  <c r="M907" i="73"/>
  <c r="K907" i="73"/>
  <c r="I907" i="73"/>
  <c r="M906" i="73"/>
  <c r="K906" i="73"/>
  <c r="I906" i="73"/>
  <c r="M905" i="73"/>
  <c r="K905" i="73"/>
  <c r="I905" i="73"/>
  <c r="M904" i="73"/>
  <c r="K904" i="73"/>
  <c r="I904" i="73"/>
  <c r="M903" i="73"/>
  <c r="K903" i="73"/>
  <c r="I903" i="73"/>
  <c r="M902" i="73"/>
  <c r="K902" i="73"/>
  <c r="I902" i="73"/>
  <c r="M901" i="73"/>
  <c r="K901" i="73"/>
  <c r="I901" i="73"/>
  <c r="M900" i="73"/>
  <c r="K900" i="73"/>
  <c r="I900" i="73"/>
  <c r="M899" i="73"/>
  <c r="K899" i="73"/>
  <c r="I899" i="73"/>
  <c r="M898" i="73"/>
  <c r="K898" i="73"/>
  <c r="I898" i="73"/>
  <c r="M897" i="73"/>
  <c r="K897" i="73"/>
  <c r="I897" i="73"/>
  <c r="O896" i="73"/>
  <c r="I896" i="73" s="1"/>
  <c r="K896" i="73"/>
  <c r="M895" i="73"/>
  <c r="K895" i="73"/>
  <c r="I895" i="73"/>
  <c r="M894" i="73"/>
  <c r="K894" i="73"/>
  <c r="I894" i="73"/>
  <c r="M893" i="73"/>
  <c r="K893" i="73"/>
  <c r="I893" i="73"/>
  <c r="M892" i="73"/>
  <c r="K892" i="73"/>
  <c r="I892" i="73"/>
  <c r="M891" i="73"/>
  <c r="K891" i="73"/>
  <c r="I891" i="73"/>
  <c r="M890" i="73"/>
  <c r="K890" i="73"/>
  <c r="I890" i="73"/>
  <c r="M889" i="73"/>
  <c r="K889" i="73"/>
  <c r="I889" i="73"/>
  <c r="M888" i="73"/>
  <c r="K888" i="73"/>
  <c r="I888" i="73"/>
  <c r="M887" i="73"/>
  <c r="K887" i="73"/>
  <c r="I887" i="73"/>
  <c r="M886" i="73"/>
  <c r="K886" i="73"/>
  <c r="I886" i="73"/>
  <c r="M885" i="73"/>
  <c r="K885" i="73"/>
  <c r="I885" i="73"/>
  <c r="M884" i="73"/>
  <c r="K884" i="73"/>
  <c r="I884" i="73"/>
  <c r="M883" i="73"/>
  <c r="K883" i="73"/>
  <c r="I883" i="73"/>
  <c r="M882" i="73"/>
  <c r="K882" i="73"/>
  <c r="I882" i="73"/>
  <c r="M881" i="73"/>
  <c r="K881" i="73"/>
  <c r="I881" i="73"/>
  <c r="M880" i="73"/>
  <c r="K880" i="73"/>
  <c r="I880" i="73"/>
  <c r="M879" i="73"/>
  <c r="K879" i="73"/>
  <c r="I879" i="73"/>
  <c r="M878" i="73"/>
  <c r="K878" i="73"/>
  <c r="I878" i="73"/>
  <c r="M877" i="73"/>
  <c r="K877" i="73"/>
  <c r="I877" i="73"/>
  <c r="M876" i="73"/>
  <c r="K876" i="73"/>
  <c r="I876" i="73"/>
  <c r="M875" i="73"/>
  <c r="K875" i="73"/>
  <c r="I875" i="73"/>
  <c r="M874" i="73"/>
  <c r="K874" i="73"/>
  <c r="I874" i="73"/>
  <c r="M873" i="73"/>
  <c r="K873" i="73"/>
  <c r="I873" i="73"/>
  <c r="M872" i="73"/>
  <c r="K872" i="73"/>
  <c r="I872" i="73"/>
  <c r="M871" i="73"/>
  <c r="K871" i="73"/>
  <c r="I871" i="73"/>
  <c r="M870" i="73"/>
  <c r="K870" i="73"/>
  <c r="I870" i="73"/>
  <c r="M869" i="73"/>
  <c r="K869" i="73"/>
  <c r="I869" i="73"/>
  <c r="M868" i="73"/>
  <c r="K868" i="73"/>
  <c r="I868" i="73"/>
  <c r="M867" i="73"/>
  <c r="K867" i="73"/>
  <c r="I867" i="73"/>
  <c r="M866" i="73"/>
  <c r="K866" i="73"/>
  <c r="I866" i="73"/>
  <c r="M865" i="73"/>
  <c r="K865" i="73"/>
  <c r="I865" i="73"/>
  <c r="M864" i="73"/>
  <c r="K864" i="73"/>
  <c r="I864" i="73"/>
  <c r="M863" i="73"/>
  <c r="K863" i="73"/>
  <c r="I863" i="73"/>
  <c r="M862" i="73"/>
  <c r="K862" i="73"/>
  <c r="I862" i="73"/>
  <c r="M861" i="73"/>
  <c r="K861" i="73"/>
  <c r="I861" i="73"/>
  <c r="M860" i="73"/>
  <c r="K860" i="73"/>
  <c r="I860" i="73"/>
  <c r="M859" i="73"/>
  <c r="K859" i="73"/>
  <c r="I859" i="73"/>
  <c r="M858" i="73"/>
  <c r="K858" i="73"/>
  <c r="I858" i="73"/>
  <c r="M857" i="73"/>
  <c r="K857" i="73"/>
  <c r="I857" i="73"/>
  <c r="M856" i="73"/>
  <c r="K856" i="73"/>
  <c r="I856" i="73"/>
  <c r="M855" i="73"/>
  <c r="K855" i="73"/>
  <c r="I855" i="73"/>
  <c r="M854" i="73"/>
  <c r="K854" i="73"/>
  <c r="I854" i="73"/>
  <c r="M853" i="73"/>
  <c r="K853" i="73"/>
  <c r="I853" i="73"/>
  <c r="M852" i="73"/>
  <c r="K852" i="73"/>
  <c r="I852" i="73"/>
  <c r="M851" i="73"/>
  <c r="K851" i="73"/>
  <c r="I851" i="73"/>
  <c r="M850" i="73"/>
  <c r="K850" i="73"/>
  <c r="I850" i="73"/>
  <c r="M849" i="73"/>
  <c r="K849" i="73"/>
  <c r="I849" i="73"/>
  <c r="M848" i="73"/>
  <c r="K848" i="73"/>
  <c r="I848" i="73"/>
  <c r="M847" i="73"/>
  <c r="K847" i="73"/>
  <c r="I847" i="73"/>
  <c r="M846" i="73"/>
  <c r="K846" i="73"/>
  <c r="I846" i="73"/>
  <c r="M845" i="73"/>
  <c r="K845" i="73"/>
  <c r="I845" i="73"/>
  <c r="M844" i="73"/>
  <c r="K844" i="73"/>
  <c r="I844" i="73"/>
  <c r="M843" i="73"/>
  <c r="K843" i="73"/>
  <c r="I843" i="73"/>
  <c r="M842" i="73"/>
  <c r="K842" i="73"/>
  <c r="I842" i="73"/>
  <c r="M841" i="73"/>
  <c r="K841" i="73"/>
  <c r="I841" i="73"/>
  <c r="M840" i="73"/>
  <c r="K840" i="73"/>
  <c r="I840" i="73"/>
  <c r="M839" i="73"/>
  <c r="K839" i="73"/>
  <c r="I839" i="73"/>
  <c r="O838" i="73"/>
  <c r="I838" i="73" s="1"/>
  <c r="K838" i="73"/>
  <c r="M837" i="73"/>
  <c r="K837" i="73"/>
  <c r="I837" i="73"/>
  <c r="M836" i="73"/>
  <c r="K836" i="73"/>
  <c r="I836" i="73"/>
  <c r="O835" i="73"/>
  <c r="M835" i="73" s="1"/>
  <c r="K835" i="73"/>
  <c r="M834" i="73"/>
  <c r="K834" i="73"/>
  <c r="I834" i="73"/>
  <c r="M833" i="73"/>
  <c r="K833" i="73"/>
  <c r="I833" i="73"/>
  <c r="O832" i="73"/>
  <c r="M832" i="73" s="1"/>
  <c r="K832" i="73"/>
  <c r="M831" i="73"/>
  <c r="K831" i="73"/>
  <c r="I831" i="73"/>
  <c r="M830" i="73"/>
  <c r="K830" i="73"/>
  <c r="I830" i="73"/>
  <c r="M829" i="73"/>
  <c r="K829" i="73"/>
  <c r="I829" i="73"/>
  <c r="M828" i="73"/>
  <c r="K828" i="73"/>
  <c r="I828" i="73"/>
  <c r="O827" i="73"/>
  <c r="M827" i="73" s="1"/>
  <c r="K827" i="73"/>
  <c r="M826" i="73"/>
  <c r="K826" i="73"/>
  <c r="I826" i="73"/>
  <c r="M825" i="73"/>
  <c r="K825" i="73"/>
  <c r="I825" i="73"/>
  <c r="M824" i="73"/>
  <c r="K824" i="73"/>
  <c r="I824" i="73"/>
  <c r="M823" i="73"/>
  <c r="K823" i="73"/>
  <c r="I823" i="73"/>
  <c r="M822" i="73"/>
  <c r="K822" i="73"/>
  <c r="I822" i="73"/>
  <c r="M821" i="73"/>
  <c r="K821" i="73"/>
  <c r="I821" i="73"/>
  <c r="O820" i="73"/>
  <c r="M820" i="73" s="1"/>
  <c r="K820" i="73"/>
  <c r="O819" i="73"/>
  <c r="I819" i="73" s="1"/>
  <c r="K819" i="73"/>
  <c r="M818" i="73"/>
  <c r="K818" i="73"/>
  <c r="I818" i="73"/>
  <c r="O817" i="73"/>
  <c r="M817" i="73" s="1"/>
  <c r="K817" i="73"/>
  <c r="O816" i="73"/>
  <c r="M816" i="73" s="1"/>
  <c r="K816" i="73"/>
  <c r="M815" i="73"/>
  <c r="K815" i="73"/>
  <c r="I815" i="73"/>
  <c r="M814" i="73"/>
  <c r="K814" i="73"/>
  <c r="I814" i="73"/>
  <c r="O813" i="73"/>
  <c r="I813" i="73" s="1"/>
  <c r="K813" i="73"/>
  <c r="M812" i="73"/>
  <c r="K812" i="73"/>
  <c r="I812" i="73"/>
  <c r="O811" i="73"/>
  <c r="M811" i="73" s="1"/>
  <c r="K811" i="73"/>
  <c r="O810" i="73"/>
  <c r="I810" i="73" s="1"/>
  <c r="K810" i="73"/>
  <c r="O809" i="73"/>
  <c r="M809" i="73" s="1"/>
  <c r="K809" i="73"/>
  <c r="M808" i="73"/>
  <c r="K808" i="73"/>
  <c r="I808" i="73"/>
  <c r="M807" i="73"/>
  <c r="K807" i="73"/>
  <c r="I807" i="73"/>
  <c r="M806" i="73"/>
  <c r="K806" i="73"/>
  <c r="I806" i="73"/>
  <c r="M805" i="73"/>
  <c r="K805" i="73"/>
  <c r="I805" i="73"/>
  <c r="M804" i="73"/>
  <c r="K804" i="73"/>
  <c r="I804" i="73"/>
  <c r="M803" i="73"/>
  <c r="K803" i="73"/>
  <c r="I803" i="73"/>
  <c r="M802" i="73"/>
  <c r="K802" i="73"/>
  <c r="I802" i="73"/>
  <c r="M801" i="73"/>
  <c r="K801" i="73"/>
  <c r="I801" i="73"/>
  <c r="M800" i="73"/>
  <c r="K800" i="73"/>
  <c r="I800" i="73"/>
  <c r="M799" i="73"/>
  <c r="K799" i="73"/>
  <c r="I799" i="73"/>
  <c r="M798" i="73"/>
  <c r="K798" i="73"/>
  <c r="I798" i="73"/>
  <c r="M797" i="73"/>
  <c r="K797" i="73"/>
  <c r="I797" i="73"/>
  <c r="M796" i="73"/>
  <c r="K796" i="73"/>
  <c r="I796" i="73"/>
  <c r="M795" i="73"/>
  <c r="K795" i="73"/>
  <c r="I795" i="73"/>
  <c r="M794" i="73"/>
  <c r="K794" i="73"/>
  <c r="I794" i="73"/>
  <c r="M793" i="73"/>
  <c r="K793" i="73"/>
  <c r="I793" i="73"/>
  <c r="M792" i="73"/>
  <c r="K792" i="73"/>
  <c r="I792" i="73"/>
  <c r="M791" i="73"/>
  <c r="K791" i="73"/>
  <c r="I791" i="73"/>
  <c r="M790" i="73"/>
  <c r="K790" i="73"/>
  <c r="I790" i="73"/>
  <c r="M789" i="73"/>
  <c r="K789" i="73"/>
  <c r="I789" i="73"/>
  <c r="M788" i="73"/>
  <c r="K788" i="73"/>
  <c r="I788" i="73"/>
  <c r="M787" i="73"/>
  <c r="K787" i="73"/>
  <c r="I787" i="73"/>
  <c r="M786" i="73"/>
  <c r="K786" i="73"/>
  <c r="I786" i="73"/>
  <c r="M785" i="73"/>
  <c r="K785" i="73"/>
  <c r="I785" i="73"/>
  <c r="M784" i="73"/>
  <c r="K784" i="73"/>
  <c r="I784" i="73"/>
  <c r="M783" i="73"/>
  <c r="K783" i="73"/>
  <c r="I783" i="73"/>
  <c r="M782" i="73"/>
  <c r="K782" i="73"/>
  <c r="I782" i="73"/>
  <c r="M781" i="73"/>
  <c r="K781" i="73"/>
  <c r="I781" i="73"/>
  <c r="M780" i="73"/>
  <c r="K780" i="73"/>
  <c r="I780" i="73"/>
  <c r="M779" i="73"/>
  <c r="K779" i="73"/>
  <c r="I779" i="73"/>
  <c r="M778" i="73"/>
  <c r="K778" i="73"/>
  <c r="I778" i="73"/>
  <c r="M777" i="73"/>
  <c r="K777" i="73"/>
  <c r="I777" i="73"/>
  <c r="M776" i="73"/>
  <c r="K776" i="73"/>
  <c r="I776" i="73"/>
  <c r="M775" i="73"/>
  <c r="K775" i="73"/>
  <c r="I775" i="73"/>
  <c r="M774" i="73"/>
  <c r="K774" i="73"/>
  <c r="I774" i="73"/>
  <c r="M773" i="73"/>
  <c r="K773" i="73"/>
  <c r="I773" i="73"/>
  <c r="M772" i="73"/>
  <c r="K772" i="73"/>
  <c r="I772" i="73"/>
  <c r="M771" i="73"/>
  <c r="K771" i="73"/>
  <c r="I771" i="73"/>
  <c r="M770" i="73"/>
  <c r="K770" i="73"/>
  <c r="I770" i="73"/>
  <c r="M769" i="73"/>
  <c r="K769" i="73"/>
  <c r="I769" i="73"/>
  <c r="M768" i="73"/>
  <c r="K768" i="73"/>
  <c r="I768" i="73"/>
  <c r="M767" i="73"/>
  <c r="K767" i="73"/>
  <c r="I767" i="73"/>
  <c r="M766" i="73"/>
  <c r="K766" i="73"/>
  <c r="I766" i="73"/>
  <c r="M765" i="73"/>
  <c r="K765" i="73"/>
  <c r="I765" i="73"/>
  <c r="O764" i="73"/>
  <c r="M764" i="73" s="1"/>
  <c r="K764" i="73"/>
  <c r="O763" i="73"/>
  <c r="I763" i="73" s="1"/>
  <c r="K763" i="73"/>
  <c r="M762" i="73"/>
  <c r="K762" i="73"/>
  <c r="I762" i="73"/>
  <c r="M761" i="73"/>
  <c r="K761" i="73"/>
  <c r="I761" i="73"/>
  <c r="M760" i="73"/>
  <c r="K760" i="73"/>
  <c r="I760" i="73"/>
  <c r="M759" i="73"/>
  <c r="K759" i="73"/>
  <c r="I759" i="73"/>
  <c r="M758" i="73"/>
  <c r="K758" i="73"/>
  <c r="I758" i="73"/>
  <c r="M757" i="73"/>
  <c r="K757" i="73"/>
  <c r="I757" i="73"/>
  <c r="M756" i="73"/>
  <c r="K756" i="73"/>
  <c r="I756" i="73"/>
  <c r="M755" i="73"/>
  <c r="K755" i="73"/>
  <c r="I755" i="73"/>
  <c r="M754" i="73"/>
  <c r="K754" i="73"/>
  <c r="I754" i="73"/>
  <c r="M753" i="73"/>
  <c r="K753" i="73"/>
  <c r="I753" i="73"/>
  <c r="O752" i="73"/>
  <c r="I752" i="73" s="1"/>
  <c r="K752" i="73"/>
  <c r="M751" i="73"/>
  <c r="K751" i="73"/>
  <c r="I751" i="73"/>
  <c r="O750" i="73"/>
  <c r="M750" i="73" s="1"/>
  <c r="K750" i="73"/>
  <c r="O749" i="73"/>
  <c r="M749" i="73" s="1"/>
  <c r="K749" i="73"/>
  <c r="M748" i="73"/>
  <c r="K748" i="73"/>
  <c r="I748" i="73"/>
  <c r="M747" i="73"/>
  <c r="K747" i="73"/>
  <c r="I747" i="73"/>
  <c r="M746" i="73"/>
  <c r="K746" i="73"/>
  <c r="I746" i="73"/>
  <c r="O745" i="73"/>
  <c r="I745" i="73" s="1"/>
  <c r="K745" i="73"/>
  <c r="O744" i="73"/>
  <c r="M744" i="73" s="1"/>
  <c r="K744" i="73"/>
  <c r="M743" i="73"/>
  <c r="K743" i="73"/>
  <c r="I743" i="73"/>
  <c r="M742" i="73"/>
  <c r="K742" i="73"/>
  <c r="I742" i="73"/>
  <c r="M741" i="73"/>
  <c r="K741" i="73"/>
  <c r="I741" i="73"/>
  <c r="M740" i="73"/>
  <c r="K740" i="73"/>
  <c r="I740" i="73"/>
  <c r="M739" i="73"/>
  <c r="K739" i="73"/>
  <c r="I739" i="73"/>
  <c r="M738" i="73"/>
  <c r="K738" i="73"/>
  <c r="I738" i="73"/>
  <c r="M737" i="73"/>
  <c r="K737" i="73"/>
  <c r="I737" i="73"/>
  <c r="M736" i="73"/>
  <c r="K736" i="73"/>
  <c r="I736" i="73"/>
  <c r="M735" i="73"/>
  <c r="K735" i="73"/>
  <c r="I735" i="73"/>
  <c r="M734" i="73"/>
  <c r="K734" i="73"/>
  <c r="I734" i="73"/>
  <c r="M733" i="73"/>
  <c r="K733" i="73"/>
  <c r="I733" i="73"/>
  <c r="M732" i="73"/>
  <c r="K732" i="73"/>
  <c r="I732" i="73"/>
  <c r="M731" i="73"/>
  <c r="K731" i="73"/>
  <c r="I731" i="73"/>
  <c r="M730" i="73"/>
  <c r="K730" i="73"/>
  <c r="I730" i="73"/>
  <c r="M729" i="73"/>
  <c r="K729" i="73"/>
  <c r="I729" i="73"/>
  <c r="M728" i="73"/>
  <c r="K728" i="73"/>
  <c r="I728" i="73"/>
  <c r="M727" i="73"/>
  <c r="K727" i="73"/>
  <c r="I727" i="73"/>
  <c r="M726" i="73"/>
  <c r="K726" i="73"/>
  <c r="I726" i="73"/>
  <c r="M725" i="73"/>
  <c r="K725" i="73"/>
  <c r="I725" i="73"/>
  <c r="M724" i="73"/>
  <c r="K724" i="73"/>
  <c r="I724" i="73"/>
  <c r="M723" i="73"/>
  <c r="K723" i="73"/>
  <c r="I723" i="73"/>
  <c r="M722" i="73"/>
  <c r="K722" i="73"/>
  <c r="I722" i="73"/>
  <c r="M721" i="73"/>
  <c r="K721" i="73"/>
  <c r="I721" i="73"/>
  <c r="M720" i="73"/>
  <c r="K720" i="73"/>
  <c r="I720" i="73"/>
  <c r="M719" i="73"/>
  <c r="K719" i="73"/>
  <c r="I719" i="73"/>
  <c r="M718" i="73"/>
  <c r="K718" i="73"/>
  <c r="I718" i="73"/>
  <c r="M717" i="73"/>
  <c r="K717" i="73"/>
  <c r="I717" i="73"/>
  <c r="M716" i="73"/>
  <c r="K716" i="73"/>
  <c r="I716" i="73"/>
  <c r="M715" i="73"/>
  <c r="K715" i="73"/>
  <c r="I715" i="73"/>
  <c r="M714" i="73"/>
  <c r="K714" i="73"/>
  <c r="I714" i="73"/>
  <c r="O713" i="73"/>
  <c r="M713" i="73" s="1"/>
  <c r="K713" i="73"/>
  <c r="O712" i="73"/>
  <c r="I712" i="73" s="1"/>
  <c r="K712" i="73"/>
  <c r="O711" i="73"/>
  <c r="M711" i="73" s="1"/>
  <c r="K711" i="73"/>
  <c r="M710" i="73"/>
  <c r="K710" i="73"/>
  <c r="I710" i="73"/>
  <c r="M709" i="73"/>
  <c r="K709" i="73"/>
  <c r="I709" i="73"/>
  <c r="O708" i="73"/>
  <c r="M708" i="73" s="1"/>
  <c r="K708" i="73"/>
  <c r="O707" i="73"/>
  <c r="I707" i="73" s="1"/>
  <c r="K707" i="73"/>
  <c r="O706" i="73"/>
  <c r="M706" i="73" s="1"/>
  <c r="K706" i="73"/>
  <c r="M705" i="73"/>
  <c r="K705" i="73"/>
  <c r="I705" i="73"/>
  <c r="O704" i="73"/>
  <c r="M704" i="73" s="1"/>
  <c r="K704" i="73"/>
  <c r="M703" i="73"/>
  <c r="K703" i="73"/>
  <c r="I703" i="73"/>
  <c r="O702" i="73"/>
  <c r="M702" i="73" s="1"/>
  <c r="K702" i="73"/>
  <c r="O701" i="73"/>
  <c r="I701" i="73" s="1"/>
  <c r="K701" i="73"/>
  <c r="O700" i="73"/>
  <c r="M700" i="73" s="1"/>
  <c r="K700" i="73"/>
  <c r="O699" i="73"/>
  <c r="I699" i="73" s="1"/>
  <c r="K699" i="73"/>
  <c r="O698" i="73"/>
  <c r="M698" i="73" s="1"/>
  <c r="K698" i="73"/>
  <c r="M697" i="73"/>
  <c r="K697" i="73"/>
  <c r="I697" i="73"/>
  <c r="M696" i="73"/>
  <c r="K696" i="73"/>
  <c r="I696" i="73"/>
  <c r="M695" i="73"/>
  <c r="K695" i="73"/>
  <c r="I695" i="73"/>
  <c r="O694" i="73"/>
  <c r="M694" i="73" s="1"/>
  <c r="K694" i="73"/>
  <c r="O693" i="73"/>
  <c r="I693" i="73" s="1"/>
  <c r="K693" i="73"/>
  <c r="O692" i="73"/>
  <c r="M692" i="73" s="1"/>
  <c r="K692" i="73"/>
  <c r="O691" i="73"/>
  <c r="I691" i="73" s="1"/>
  <c r="K691" i="73"/>
  <c r="O690" i="73"/>
  <c r="M690" i="73" s="1"/>
  <c r="K690" i="73"/>
  <c r="M689" i="73"/>
  <c r="K689" i="73"/>
  <c r="I689" i="73"/>
  <c r="M688" i="73"/>
  <c r="K688" i="73"/>
  <c r="I688" i="73"/>
  <c r="O687" i="73"/>
  <c r="M687" i="73" s="1"/>
  <c r="K687" i="73"/>
  <c r="O686" i="73"/>
  <c r="M686" i="73" s="1"/>
  <c r="K686" i="73"/>
  <c r="M685" i="73"/>
  <c r="K685" i="73"/>
  <c r="I685" i="73"/>
  <c r="O684" i="73"/>
  <c r="M684" i="73" s="1"/>
  <c r="K684" i="73"/>
  <c r="O683" i="73"/>
  <c r="I683" i="73" s="1"/>
  <c r="K683" i="73"/>
  <c r="O682" i="73"/>
  <c r="M682" i="73" s="1"/>
  <c r="K682" i="73"/>
  <c r="O681" i="73"/>
  <c r="I681" i="73" s="1"/>
  <c r="K681" i="73"/>
  <c r="M680" i="73"/>
  <c r="K680" i="73"/>
  <c r="I680" i="73"/>
  <c r="M679" i="73"/>
  <c r="K679" i="73"/>
  <c r="I679" i="73"/>
  <c r="M678" i="73"/>
  <c r="K678" i="73"/>
  <c r="I678" i="73"/>
  <c r="O677" i="73"/>
  <c r="I677" i="73" s="1"/>
  <c r="K677" i="73"/>
  <c r="M676" i="73"/>
  <c r="K676" i="73"/>
  <c r="I676" i="73"/>
  <c r="O675" i="73"/>
  <c r="M675" i="73" s="1"/>
  <c r="K675" i="73"/>
  <c r="O674" i="73"/>
  <c r="I674" i="73" s="1"/>
  <c r="K674" i="73"/>
  <c r="M673" i="73"/>
  <c r="K673" i="73"/>
  <c r="I673" i="73"/>
  <c r="M672" i="73"/>
  <c r="K672" i="73"/>
  <c r="I672" i="73"/>
  <c r="M671" i="73"/>
  <c r="K671" i="73"/>
  <c r="I671" i="73"/>
  <c r="O670" i="73"/>
  <c r="I670" i="73" s="1"/>
  <c r="K670" i="73"/>
  <c r="M669" i="73"/>
  <c r="K669" i="73"/>
  <c r="I669" i="73"/>
  <c r="M668" i="73"/>
  <c r="K668" i="73"/>
  <c r="I668" i="73"/>
  <c r="M667" i="73"/>
  <c r="K667" i="73"/>
  <c r="I667" i="73"/>
  <c r="O666" i="73"/>
  <c r="M666" i="73" s="1"/>
  <c r="K666" i="73"/>
  <c r="O665" i="73"/>
  <c r="I665" i="73" s="1"/>
  <c r="K665" i="73"/>
  <c r="O664" i="73"/>
  <c r="M664" i="73" s="1"/>
  <c r="K664" i="73"/>
  <c r="M663" i="73"/>
  <c r="K663" i="73"/>
  <c r="I663" i="73"/>
  <c r="M662" i="73"/>
  <c r="K662" i="73"/>
  <c r="I662" i="73"/>
  <c r="M661" i="73"/>
  <c r="K661" i="73"/>
  <c r="I661" i="73"/>
  <c r="M660" i="73"/>
  <c r="K660" i="73"/>
  <c r="I660" i="73"/>
  <c r="M659" i="73"/>
  <c r="K659" i="73"/>
  <c r="I659" i="73"/>
  <c r="M658" i="73"/>
  <c r="K658" i="73"/>
  <c r="I658" i="73"/>
  <c r="M657" i="73"/>
  <c r="K657" i="73"/>
  <c r="I657" i="73"/>
  <c r="O656" i="73"/>
  <c r="M656" i="73" s="1"/>
  <c r="K656" i="73"/>
  <c r="M655" i="73"/>
  <c r="K655" i="73"/>
  <c r="I655" i="73"/>
  <c r="M654" i="73"/>
  <c r="K654" i="73"/>
  <c r="I654" i="73"/>
  <c r="M653" i="73"/>
  <c r="K653" i="73"/>
  <c r="I653" i="73"/>
  <c r="M652" i="73"/>
  <c r="K652" i="73"/>
  <c r="I652" i="73"/>
  <c r="M651" i="73"/>
  <c r="K651" i="73"/>
  <c r="I651" i="73"/>
  <c r="M650" i="73"/>
  <c r="K650" i="73"/>
  <c r="I650" i="73"/>
  <c r="M649" i="73"/>
  <c r="K649" i="73"/>
  <c r="I649" i="73"/>
  <c r="M648" i="73"/>
  <c r="K648" i="73"/>
  <c r="I648" i="73"/>
  <c r="O647" i="73"/>
  <c r="M647" i="73" s="1"/>
  <c r="K647" i="73"/>
  <c r="O646" i="73"/>
  <c r="I646" i="73" s="1"/>
  <c r="K646" i="73"/>
  <c r="O645" i="73"/>
  <c r="M645" i="73" s="1"/>
  <c r="K645" i="73"/>
  <c r="O644" i="73"/>
  <c r="I644" i="73" s="1"/>
  <c r="K644" i="73"/>
  <c r="O643" i="73"/>
  <c r="M643" i="73" s="1"/>
  <c r="K643" i="73"/>
  <c r="M642" i="73"/>
  <c r="K642" i="73"/>
  <c r="I642" i="73"/>
  <c r="M641" i="73"/>
  <c r="K641" i="73"/>
  <c r="I641" i="73"/>
  <c r="M640" i="73"/>
  <c r="K640" i="73"/>
  <c r="I640" i="73"/>
  <c r="M639" i="73"/>
  <c r="K639" i="73"/>
  <c r="I639" i="73"/>
  <c r="M638" i="73"/>
  <c r="K638" i="73"/>
  <c r="I638" i="73"/>
  <c r="M637" i="73"/>
  <c r="K637" i="73"/>
  <c r="I637" i="73"/>
  <c r="M636" i="73"/>
  <c r="K636" i="73"/>
  <c r="I636" i="73"/>
  <c r="M635" i="73"/>
  <c r="K635" i="73"/>
  <c r="I635" i="73"/>
  <c r="M634" i="73"/>
  <c r="K634" i="73"/>
  <c r="I634" i="73"/>
  <c r="O633" i="73"/>
  <c r="I633" i="73" s="1"/>
  <c r="K633" i="73"/>
  <c r="O632" i="73"/>
  <c r="M632" i="73" s="1"/>
  <c r="K632" i="73"/>
  <c r="O631" i="73"/>
  <c r="I631" i="73" s="1"/>
  <c r="K631" i="73"/>
  <c r="M630" i="73"/>
  <c r="K630" i="73"/>
  <c r="I630" i="73"/>
  <c r="M629" i="73"/>
  <c r="K629" i="73"/>
  <c r="I629" i="73"/>
  <c r="M628" i="73"/>
  <c r="K628" i="73"/>
  <c r="I628" i="73"/>
  <c r="O627" i="73"/>
  <c r="M627" i="73" s="1"/>
  <c r="K627" i="73"/>
  <c r="M626" i="73"/>
  <c r="K626" i="73"/>
  <c r="I626" i="73"/>
  <c r="M625" i="73"/>
  <c r="K625" i="73"/>
  <c r="I625" i="73"/>
  <c r="M624" i="73"/>
  <c r="K624" i="73"/>
  <c r="I624" i="73"/>
  <c r="M623" i="73"/>
  <c r="K623" i="73"/>
  <c r="I623" i="73"/>
  <c r="M622" i="73"/>
  <c r="K622" i="73"/>
  <c r="I622" i="73"/>
  <c r="M621" i="73"/>
  <c r="K621" i="73"/>
  <c r="I621" i="73"/>
  <c r="M620" i="73"/>
  <c r="K620" i="73"/>
  <c r="I620" i="73"/>
  <c r="M619" i="73"/>
  <c r="K619" i="73"/>
  <c r="I619" i="73"/>
  <c r="O618" i="73"/>
  <c r="M618" i="73" s="1"/>
  <c r="K618" i="73"/>
  <c r="M617" i="73"/>
  <c r="K617" i="73"/>
  <c r="I617" i="73"/>
  <c r="M616" i="73"/>
  <c r="K616" i="73"/>
  <c r="I616" i="73"/>
  <c r="M615" i="73"/>
  <c r="K615" i="73"/>
  <c r="I615" i="73"/>
  <c r="M614" i="73"/>
  <c r="K614" i="73"/>
  <c r="I614" i="73"/>
  <c r="M613" i="73"/>
  <c r="K613" i="73"/>
  <c r="I613" i="73"/>
  <c r="M612" i="73"/>
  <c r="K612" i="73"/>
  <c r="I612" i="73"/>
  <c r="O611" i="73"/>
  <c r="M611" i="73" s="1"/>
  <c r="K611" i="73"/>
  <c r="M610" i="73"/>
  <c r="K610" i="73"/>
  <c r="I610" i="73"/>
  <c r="M609" i="73"/>
  <c r="K609" i="73"/>
  <c r="I609" i="73"/>
  <c r="M608" i="73"/>
  <c r="K608" i="73"/>
  <c r="I608" i="73"/>
  <c r="M607" i="73"/>
  <c r="K607" i="73"/>
  <c r="I607" i="73"/>
  <c r="M606" i="73"/>
  <c r="K606" i="73"/>
  <c r="I606" i="73"/>
  <c r="M605" i="73"/>
  <c r="K605" i="73"/>
  <c r="I605" i="73"/>
  <c r="M604" i="73"/>
  <c r="K604" i="73"/>
  <c r="I604" i="73"/>
  <c r="M603" i="73"/>
  <c r="K603" i="73"/>
  <c r="I603" i="73"/>
  <c r="O602" i="73"/>
  <c r="M602" i="73" s="1"/>
  <c r="K602" i="73"/>
  <c r="M601" i="73"/>
  <c r="K601" i="73"/>
  <c r="I601" i="73"/>
  <c r="M600" i="73"/>
  <c r="K600" i="73"/>
  <c r="I600" i="73"/>
  <c r="M599" i="73"/>
  <c r="K599" i="73"/>
  <c r="I599" i="73"/>
  <c r="M598" i="73"/>
  <c r="K598" i="73"/>
  <c r="I598" i="73"/>
  <c r="M597" i="73"/>
  <c r="K597" i="73"/>
  <c r="I597" i="73"/>
  <c r="M596" i="73"/>
  <c r="K596" i="73"/>
  <c r="I596" i="73"/>
  <c r="M595" i="73"/>
  <c r="K595" i="73"/>
  <c r="I595" i="73"/>
  <c r="M594" i="73"/>
  <c r="K594" i="73"/>
  <c r="I594" i="73"/>
  <c r="M593" i="73"/>
  <c r="K593" i="73"/>
  <c r="I593" i="73"/>
  <c r="O592" i="73"/>
  <c r="I592" i="73" s="1"/>
  <c r="K592" i="73"/>
  <c r="M591" i="73"/>
  <c r="K591" i="73"/>
  <c r="I591" i="73"/>
  <c r="M590" i="73"/>
  <c r="K590" i="73"/>
  <c r="I590" i="73"/>
  <c r="M589" i="73"/>
  <c r="K589" i="73"/>
  <c r="I589" i="73"/>
  <c r="M588" i="73"/>
  <c r="K588" i="73"/>
  <c r="I588" i="73"/>
  <c r="O587" i="73"/>
  <c r="I587" i="73" s="1"/>
  <c r="K587" i="73"/>
  <c r="O586" i="73"/>
  <c r="M586" i="73" s="1"/>
  <c r="K586" i="73"/>
  <c r="O585" i="73"/>
  <c r="I585" i="73" s="1"/>
  <c r="K585" i="73"/>
  <c r="M584" i="73"/>
  <c r="K584" i="73"/>
  <c r="I584" i="73"/>
  <c r="O583" i="73"/>
  <c r="M583" i="73" s="1"/>
  <c r="K583" i="73"/>
  <c r="O582" i="73"/>
  <c r="M582" i="73" s="1"/>
  <c r="K582" i="73"/>
  <c r="M581" i="73"/>
  <c r="K581" i="73"/>
  <c r="I581" i="73"/>
  <c r="O580" i="73"/>
  <c r="M580" i="73" s="1"/>
  <c r="K580" i="73"/>
  <c r="M579" i="73"/>
  <c r="K579" i="73"/>
  <c r="I579" i="73"/>
  <c r="M578" i="73"/>
  <c r="K578" i="73"/>
  <c r="I578" i="73"/>
  <c r="O577" i="73"/>
  <c r="M577" i="73" s="1"/>
  <c r="K577" i="73"/>
  <c r="M576" i="73"/>
  <c r="K576" i="73"/>
  <c r="I576" i="73"/>
  <c r="M575" i="73"/>
  <c r="K575" i="73"/>
  <c r="I575" i="73"/>
  <c r="M574" i="73"/>
  <c r="K574" i="73"/>
  <c r="I574" i="73"/>
  <c r="M573" i="73"/>
  <c r="K573" i="73"/>
  <c r="I573" i="73"/>
  <c r="M572" i="73"/>
  <c r="K572" i="73"/>
  <c r="I572" i="73"/>
  <c r="M571" i="73"/>
  <c r="K571" i="73"/>
  <c r="I571" i="73"/>
  <c r="M570" i="73"/>
  <c r="K570" i="73"/>
  <c r="I570" i="73"/>
  <c r="M569" i="73"/>
  <c r="K569" i="73"/>
  <c r="I569" i="73"/>
  <c r="M568" i="73"/>
  <c r="K568" i="73"/>
  <c r="I568" i="73"/>
  <c r="O567" i="73"/>
  <c r="M567" i="73" s="1"/>
  <c r="K567" i="73"/>
  <c r="O566" i="73"/>
  <c r="M566" i="73" s="1"/>
  <c r="K566" i="73"/>
  <c r="O565" i="73"/>
  <c r="M565" i="73" s="1"/>
  <c r="K565" i="73"/>
  <c r="M564" i="73"/>
  <c r="K564" i="73"/>
  <c r="I564" i="73"/>
  <c r="M563" i="73"/>
  <c r="K563" i="73"/>
  <c r="I563" i="73"/>
  <c r="O562" i="73"/>
  <c r="M562" i="73" s="1"/>
  <c r="K562" i="73"/>
  <c r="M561" i="73"/>
  <c r="K561" i="73"/>
  <c r="I561" i="73"/>
  <c r="M560" i="73"/>
  <c r="K560" i="73"/>
  <c r="I560" i="73"/>
  <c r="M559" i="73"/>
  <c r="K559" i="73"/>
  <c r="I559" i="73"/>
  <c r="M558" i="73"/>
  <c r="K558" i="73"/>
  <c r="I558" i="73"/>
  <c r="M557" i="73"/>
  <c r="K557" i="73"/>
  <c r="I557" i="73"/>
  <c r="M556" i="73"/>
  <c r="K556" i="73"/>
  <c r="I556" i="73"/>
  <c r="M555" i="73"/>
  <c r="K555" i="73"/>
  <c r="I555" i="73"/>
  <c r="M554" i="73"/>
  <c r="K554" i="73"/>
  <c r="I554" i="73"/>
  <c r="M553" i="73"/>
  <c r="K553" i="73"/>
  <c r="I553" i="73"/>
  <c r="O552" i="73"/>
  <c r="M552" i="73" s="1"/>
  <c r="K552" i="73"/>
  <c r="O551" i="73"/>
  <c r="I551" i="73" s="1"/>
  <c r="K551" i="73"/>
  <c r="M550" i="73"/>
  <c r="K550" i="73"/>
  <c r="I550" i="73"/>
  <c r="M549" i="73"/>
  <c r="K549" i="73"/>
  <c r="I549" i="73"/>
  <c r="O548" i="73"/>
  <c r="M548" i="73" s="1"/>
  <c r="K548" i="73"/>
  <c r="M547" i="73"/>
  <c r="K547" i="73"/>
  <c r="I547" i="73"/>
  <c r="M546" i="73"/>
  <c r="K546" i="73"/>
  <c r="I546" i="73"/>
  <c r="M545" i="73"/>
  <c r="K545" i="73"/>
  <c r="I545" i="73"/>
  <c r="M544" i="73"/>
  <c r="K544" i="73"/>
  <c r="I544" i="73"/>
  <c r="M543" i="73"/>
  <c r="K543" i="73"/>
  <c r="I543" i="73"/>
  <c r="M542" i="73"/>
  <c r="K542" i="73"/>
  <c r="I542" i="73"/>
  <c r="M541" i="73"/>
  <c r="K541" i="73"/>
  <c r="M540" i="73"/>
  <c r="K540" i="73"/>
  <c r="I540" i="73"/>
  <c r="M539" i="73"/>
  <c r="K539" i="73"/>
  <c r="I539" i="73"/>
  <c r="M538" i="73"/>
  <c r="K538" i="73"/>
  <c r="I538" i="73"/>
  <c r="M537" i="73"/>
  <c r="K537" i="73"/>
  <c r="I537" i="73"/>
  <c r="M536" i="73"/>
  <c r="K536" i="73"/>
  <c r="I536" i="73"/>
  <c r="M535" i="73"/>
  <c r="K535" i="73"/>
  <c r="I535" i="73"/>
  <c r="M534" i="73"/>
  <c r="K534" i="73"/>
  <c r="I534" i="73"/>
  <c r="M533" i="73"/>
  <c r="K533" i="73"/>
  <c r="I533" i="73"/>
  <c r="M532" i="73"/>
  <c r="K532" i="73"/>
  <c r="I532" i="73"/>
  <c r="M531" i="73"/>
  <c r="K531" i="73"/>
  <c r="I531" i="73"/>
  <c r="O530" i="73"/>
  <c r="I530" i="73" s="1"/>
  <c r="K530" i="73"/>
  <c r="M529" i="73"/>
  <c r="K529" i="73"/>
  <c r="I529" i="73"/>
  <c r="O528" i="73"/>
  <c r="M528" i="73" s="1"/>
  <c r="K528" i="73"/>
  <c r="M527" i="73"/>
  <c r="K527" i="73"/>
  <c r="I527" i="73"/>
  <c r="O526" i="73"/>
  <c r="I526" i="73" s="1"/>
  <c r="K526" i="73"/>
  <c r="M525" i="73"/>
  <c r="K525" i="73"/>
  <c r="I525" i="73"/>
  <c r="M524" i="73"/>
  <c r="K524" i="73"/>
  <c r="I524" i="73"/>
  <c r="M523" i="73"/>
  <c r="K523" i="73"/>
  <c r="I523" i="73"/>
  <c r="O522" i="73"/>
  <c r="M522" i="73" s="1"/>
  <c r="K522" i="73"/>
  <c r="M521" i="73"/>
  <c r="K521" i="73"/>
  <c r="I521" i="73"/>
  <c r="M520" i="73"/>
  <c r="K520" i="73"/>
  <c r="I520" i="73"/>
  <c r="M519" i="73"/>
  <c r="K519" i="73"/>
  <c r="I519" i="73"/>
  <c r="M518" i="73"/>
  <c r="K518" i="73"/>
  <c r="I518" i="73"/>
  <c r="M517" i="73"/>
  <c r="K517" i="73"/>
  <c r="I517" i="73"/>
  <c r="M516" i="73"/>
  <c r="K516" i="73"/>
  <c r="I516" i="73"/>
  <c r="M515" i="73"/>
  <c r="K515" i="73"/>
  <c r="M514" i="73"/>
  <c r="K514" i="73"/>
  <c r="M513" i="73"/>
  <c r="K513" i="73"/>
  <c r="I513" i="73"/>
  <c r="M512" i="73"/>
  <c r="K512" i="73"/>
  <c r="I512" i="73"/>
  <c r="M511" i="73"/>
  <c r="K511" i="73"/>
  <c r="I511" i="73"/>
  <c r="M510" i="73"/>
  <c r="K510" i="73"/>
  <c r="I510" i="73"/>
  <c r="M509" i="73"/>
  <c r="K509" i="73"/>
  <c r="I509" i="73"/>
  <c r="M508" i="73"/>
  <c r="K508" i="73"/>
  <c r="I508" i="73"/>
  <c r="M507" i="73"/>
  <c r="K507" i="73"/>
  <c r="I507" i="73"/>
  <c r="M506" i="73"/>
  <c r="K506" i="73"/>
  <c r="I506" i="73"/>
  <c r="M505" i="73"/>
  <c r="K505" i="73"/>
  <c r="I505" i="73"/>
  <c r="M504" i="73"/>
  <c r="K504" i="73"/>
  <c r="I504" i="73"/>
  <c r="M503" i="73"/>
  <c r="K503" i="73"/>
  <c r="I503" i="73"/>
  <c r="M502" i="73"/>
  <c r="K502" i="73"/>
  <c r="I502" i="73"/>
  <c r="M501" i="73"/>
  <c r="K501" i="73"/>
  <c r="I501" i="73"/>
  <c r="M500" i="73"/>
  <c r="K500" i="73"/>
  <c r="I500" i="73"/>
  <c r="M499" i="73"/>
  <c r="K499" i="73"/>
  <c r="I499" i="73"/>
  <c r="M498" i="73"/>
  <c r="K498" i="73"/>
  <c r="I498" i="73"/>
  <c r="M497" i="73"/>
  <c r="K497" i="73"/>
  <c r="I497" i="73"/>
  <c r="M496" i="73"/>
  <c r="K496" i="73"/>
  <c r="I496" i="73"/>
  <c r="M495" i="73"/>
  <c r="K495" i="73"/>
  <c r="I495" i="73"/>
  <c r="M494" i="73"/>
  <c r="K494" i="73"/>
  <c r="I494" i="73"/>
  <c r="M493" i="73"/>
  <c r="K493" i="73"/>
  <c r="I493" i="73"/>
  <c r="M492" i="73"/>
  <c r="K492" i="73"/>
  <c r="I492" i="73"/>
  <c r="O491" i="73"/>
  <c r="M491" i="73" s="1"/>
  <c r="K491" i="73"/>
  <c r="M490" i="73"/>
  <c r="K490" i="73"/>
  <c r="I490" i="73"/>
  <c r="M489" i="73"/>
  <c r="K489" i="73"/>
  <c r="I489" i="73"/>
  <c r="M488" i="73"/>
  <c r="K488" i="73"/>
  <c r="I488" i="73"/>
  <c r="M487" i="73"/>
  <c r="K487" i="73"/>
  <c r="I487" i="73"/>
  <c r="M486" i="73"/>
  <c r="K486" i="73"/>
  <c r="I486" i="73"/>
  <c r="O485" i="73"/>
  <c r="M485" i="73" s="1"/>
  <c r="K485" i="73"/>
  <c r="O484" i="73"/>
  <c r="I484" i="73" s="1"/>
  <c r="K484" i="73"/>
  <c r="O483" i="73"/>
  <c r="M483" i="73" s="1"/>
  <c r="K483" i="73"/>
  <c r="M482" i="73"/>
  <c r="K482" i="73"/>
  <c r="I482" i="73"/>
  <c r="M481" i="73"/>
  <c r="K481" i="73"/>
  <c r="I481" i="73"/>
  <c r="M480" i="73"/>
  <c r="K480" i="73"/>
  <c r="I480" i="73"/>
  <c r="M479" i="73"/>
  <c r="K479" i="73"/>
  <c r="I479" i="73"/>
  <c r="M478" i="73"/>
  <c r="K478" i="73"/>
  <c r="I478" i="73"/>
  <c r="M477" i="73"/>
  <c r="K477" i="73"/>
  <c r="I477" i="73"/>
  <c r="M476" i="73"/>
  <c r="K476" i="73"/>
  <c r="I476" i="73"/>
  <c r="M475" i="73"/>
  <c r="K475" i="73"/>
  <c r="I475" i="73"/>
  <c r="M474" i="73"/>
  <c r="K474" i="73"/>
  <c r="I474" i="73"/>
  <c r="O473" i="73"/>
  <c r="M473" i="73" s="1"/>
  <c r="K473" i="73"/>
  <c r="M472" i="73"/>
  <c r="K472" i="73"/>
  <c r="I472" i="73"/>
  <c r="M471" i="73"/>
  <c r="K471" i="73"/>
  <c r="I471" i="73"/>
  <c r="M470" i="73"/>
  <c r="K470" i="73"/>
  <c r="I470" i="73"/>
  <c r="M469" i="73"/>
  <c r="K469" i="73"/>
  <c r="I469" i="73"/>
  <c r="M468" i="73"/>
  <c r="K468" i="73"/>
  <c r="I468" i="73"/>
  <c r="M467" i="73"/>
  <c r="K467" i="73"/>
  <c r="I467" i="73"/>
  <c r="M466" i="73"/>
  <c r="K466" i="73"/>
  <c r="I466" i="73"/>
  <c r="M465" i="73"/>
  <c r="K465" i="73"/>
  <c r="I465" i="73"/>
  <c r="M464" i="73"/>
  <c r="K464" i="73"/>
  <c r="I464" i="73"/>
  <c r="M463" i="73"/>
  <c r="K463" i="73"/>
  <c r="I463" i="73"/>
  <c r="M462" i="73"/>
  <c r="K462" i="73"/>
  <c r="I462" i="73"/>
  <c r="M461" i="73"/>
  <c r="K461" i="73"/>
  <c r="I461" i="73"/>
  <c r="M460" i="73"/>
  <c r="K460" i="73"/>
  <c r="I460" i="73"/>
  <c r="M459" i="73"/>
  <c r="K459" i="73"/>
  <c r="I459" i="73"/>
  <c r="O458" i="73"/>
  <c r="M458" i="73" s="1"/>
  <c r="K458" i="73"/>
  <c r="M457" i="73"/>
  <c r="K457" i="73"/>
  <c r="I457" i="73"/>
  <c r="M456" i="73"/>
  <c r="K456" i="73"/>
  <c r="I456" i="73"/>
  <c r="M455" i="73"/>
  <c r="K455" i="73"/>
  <c r="I455" i="73"/>
  <c r="O454" i="73"/>
  <c r="M454" i="73" s="1"/>
  <c r="K454" i="73"/>
  <c r="M453" i="73"/>
  <c r="K453" i="73"/>
  <c r="I453" i="73"/>
  <c r="M452" i="73"/>
  <c r="K452" i="73"/>
  <c r="I452" i="73"/>
  <c r="M451" i="73"/>
  <c r="K451" i="73"/>
  <c r="I451" i="73"/>
  <c r="M450" i="73"/>
  <c r="K450" i="73"/>
  <c r="I450" i="73"/>
  <c r="M449" i="73"/>
  <c r="K449" i="73"/>
  <c r="I449" i="73"/>
  <c r="M448" i="73"/>
  <c r="K448" i="73"/>
  <c r="I448" i="73"/>
  <c r="M447" i="73"/>
  <c r="K447" i="73"/>
  <c r="I447" i="73"/>
  <c r="M446" i="73"/>
  <c r="K446" i="73"/>
  <c r="I446" i="73"/>
  <c r="M445" i="73"/>
  <c r="K445" i="73"/>
  <c r="I445" i="73"/>
  <c r="M444" i="73"/>
  <c r="K444" i="73"/>
  <c r="I444" i="73"/>
  <c r="M443" i="73"/>
  <c r="K443" i="73"/>
  <c r="I443" i="73"/>
  <c r="M442" i="73"/>
  <c r="K442" i="73"/>
  <c r="I442" i="73"/>
  <c r="M441" i="73"/>
  <c r="K441" i="73"/>
  <c r="I441" i="73"/>
  <c r="M440" i="73"/>
  <c r="K440" i="73"/>
  <c r="I440" i="73"/>
  <c r="M439" i="73"/>
  <c r="K439" i="73"/>
  <c r="I439" i="73"/>
  <c r="M438" i="73"/>
  <c r="K438" i="73"/>
  <c r="I438" i="73"/>
  <c r="M437" i="73"/>
  <c r="K437" i="73"/>
  <c r="I437" i="73"/>
  <c r="M436" i="73"/>
  <c r="K436" i="73"/>
  <c r="I436" i="73"/>
  <c r="M435" i="73"/>
  <c r="K435" i="73"/>
  <c r="I435" i="73"/>
  <c r="M434" i="73"/>
  <c r="K434" i="73"/>
  <c r="I434" i="73"/>
  <c r="M433" i="73"/>
  <c r="K433" i="73"/>
  <c r="I433" i="73"/>
  <c r="M432" i="73"/>
  <c r="K432" i="73"/>
  <c r="I432" i="73"/>
  <c r="O431" i="73"/>
  <c r="M431" i="73" s="1"/>
  <c r="K431" i="73"/>
  <c r="M430" i="73"/>
  <c r="K430" i="73"/>
  <c r="I430" i="73"/>
  <c r="M429" i="73"/>
  <c r="K429" i="73"/>
  <c r="I429" i="73"/>
  <c r="M428" i="73"/>
  <c r="K428" i="73"/>
  <c r="I428" i="73"/>
  <c r="M427" i="73"/>
  <c r="K427" i="73"/>
  <c r="I427" i="73"/>
  <c r="M426" i="73"/>
  <c r="K426" i="73"/>
  <c r="I426" i="73"/>
  <c r="M425" i="73"/>
  <c r="K425" i="73"/>
  <c r="I425" i="73"/>
  <c r="M424" i="73"/>
  <c r="K424" i="73"/>
  <c r="I424" i="73"/>
  <c r="M423" i="73"/>
  <c r="K423" i="73"/>
  <c r="I423" i="73"/>
  <c r="M422" i="73"/>
  <c r="K422" i="73"/>
  <c r="I422" i="73"/>
  <c r="O421" i="73"/>
  <c r="I421" i="73" s="1"/>
  <c r="K421" i="73"/>
  <c r="M420" i="73"/>
  <c r="K420" i="73"/>
  <c r="I420" i="73"/>
  <c r="M419" i="73"/>
  <c r="K419" i="73"/>
  <c r="I419" i="73"/>
  <c r="M418" i="73"/>
  <c r="K418" i="73"/>
  <c r="I418" i="73"/>
  <c r="M417" i="73"/>
  <c r="K417" i="73"/>
  <c r="I417" i="73"/>
  <c r="M416" i="73"/>
  <c r="K416" i="73"/>
  <c r="I416" i="73"/>
  <c r="M415" i="73"/>
  <c r="K415" i="73"/>
  <c r="I415" i="73"/>
  <c r="M414" i="73"/>
  <c r="K414" i="73"/>
  <c r="I414" i="73"/>
  <c r="M413" i="73"/>
  <c r="K413" i="73"/>
  <c r="I413" i="73"/>
  <c r="M412" i="73"/>
  <c r="K412" i="73"/>
  <c r="I412" i="73"/>
  <c r="M411" i="73"/>
  <c r="K411" i="73"/>
  <c r="I411" i="73"/>
  <c r="M410" i="73"/>
  <c r="K410" i="73"/>
  <c r="I410" i="73"/>
  <c r="M409" i="73"/>
  <c r="K409" i="73"/>
  <c r="I409" i="73"/>
  <c r="M408" i="73"/>
  <c r="K408" i="73"/>
  <c r="I408" i="73"/>
  <c r="M407" i="73"/>
  <c r="K407" i="73"/>
  <c r="I407" i="73"/>
  <c r="M406" i="73"/>
  <c r="K406" i="73"/>
  <c r="I406" i="73"/>
  <c r="M405" i="73"/>
  <c r="K405" i="73"/>
  <c r="I405" i="73"/>
  <c r="M404" i="73"/>
  <c r="K404" i="73"/>
  <c r="I404" i="73"/>
  <c r="M403" i="73"/>
  <c r="K403" i="73"/>
  <c r="I403" i="73"/>
  <c r="O402" i="73"/>
  <c r="M402" i="73" s="1"/>
  <c r="K402" i="73"/>
  <c r="O401" i="73"/>
  <c r="M401" i="73" s="1"/>
  <c r="K401" i="73"/>
  <c r="O400" i="73"/>
  <c r="M400" i="73" s="1"/>
  <c r="K400" i="73"/>
  <c r="O399" i="73"/>
  <c r="M399" i="73" s="1"/>
  <c r="K399" i="73"/>
  <c r="O398" i="73"/>
  <c r="I398" i="73" s="1"/>
  <c r="K398" i="73"/>
  <c r="M397" i="73"/>
  <c r="K397" i="73"/>
  <c r="I397" i="73"/>
  <c r="M396" i="73"/>
  <c r="K396" i="73"/>
  <c r="I396" i="73"/>
  <c r="M395" i="73"/>
  <c r="K395" i="73"/>
  <c r="I395" i="73"/>
  <c r="M394" i="73"/>
  <c r="K394" i="73"/>
  <c r="I394" i="73"/>
  <c r="M393" i="73"/>
  <c r="K393" i="73"/>
  <c r="I393" i="73"/>
  <c r="M392" i="73"/>
  <c r="K392" i="73"/>
  <c r="I392" i="73"/>
  <c r="O391" i="73"/>
  <c r="M391" i="73" s="1"/>
  <c r="K391" i="73"/>
  <c r="M390" i="73"/>
  <c r="K390" i="73"/>
  <c r="I390" i="73"/>
  <c r="M389" i="73"/>
  <c r="K389" i="73"/>
  <c r="I389" i="73"/>
  <c r="O388" i="73"/>
  <c r="I388" i="73" s="1"/>
  <c r="K388" i="73"/>
  <c r="M387" i="73"/>
  <c r="K387" i="73"/>
  <c r="I387" i="73"/>
  <c r="O386" i="73"/>
  <c r="M386" i="73" s="1"/>
  <c r="K386" i="73"/>
  <c r="M385" i="73"/>
  <c r="K385" i="73"/>
  <c r="I385" i="73"/>
  <c r="Q384" i="73"/>
  <c r="M384" i="73"/>
  <c r="K384" i="73"/>
  <c r="I384" i="73"/>
  <c r="Q383" i="73"/>
  <c r="M383" i="73"/>
  <c r="K383" i="73"/>
  <c r="I383" i="73"/>
  <c r="Q382" i="73"/>
  <c r="M382" i="73"/>
  <c r="K382" i="73"/>
  <c r="I382" i="73"/>
  <c r="Q381" i="73"/>
  <c r="M381" i="73"/>
  <c r="K381" i="73"/>
  <c r="I381" i="73"/>
  <c r="M380" i="73"/>
  <c r="K380" i="73"/>
  <c r="I380" i="73"/>
  <c r="O379" i="73"/>
  <c r="M379" i="73" s="1"/>
  <c r="K379" i="73"/>
  <c r="O378" i="73"/>
  <c r="I378" i="73" s="1"/>
  <c r="K378" i="73"/>
  <c r="O377" i="73"/>
  <c r="M377" i="73" s="1"/>
  <c r="K377" i="73"/>
  <c r="M376" i="73"/>
  <c r="K376" i="73"/>
  <c r="I376" i="73"/>
  <c r="O375" i="73"/>
  <c r="M375" i="73" s="1"/>
  <c r="K375" i="73"/>
  <c r="M374" i="73"/>
  <c r="K374" i="73"/>
  <c r="I374" i="73"/>
  <c r="M373" i="73"/>
  <c r="K373" i="73"/>
  <c r="I373" i="73"/>
  <c r="O372" i="73"/>
  <c r="M372" i="73" s="1"/>
  <c r="K372" i="73"/>
  <c r="M371" i="73"/>
  <c r="K371" i="73"/>
  <c r="I371" i="73"/>
  <c r="M370" i="73"/>
  <c r="K370" i="73"/>
  <c r="I370" i="73"/>
  <c r="M369" i="73"/>
  <c r="K369" i="73"/>
  <c r="I369" i="73"/>
  <c r="M368" i="73"/>
  <c r="K368" i="73"/>
  <c r="I368" i="73"/>
  <c r="M367" i="73"/>
  <c r="K367" i="73"/>
  <c r="I367" i="73"/>
  <c r="M366" i="73"/>
  <c r="K366" i="73"/>
  <c r="I366" i="73"/>
  <c r="M365" i="73"/>
  <c r="K365" i="73"/>
  <c r="I365" i="73"/>
  <c r="M364" i="73"/>
  <c r="K364" i="73"/>
  <c r="I364" i="73"/>
  <c r="M363" i="73"/>
  <c r="K363" i="73"/>
  <c r="I363" i="73"/>
  <c r="M362" i="73"/>
  <c r="K362" i="73"/>
  <c r="I362" i="73"/>
  <c r="M361" i="73"/>
  <c r="K361" i="73"/>
  <c r="I361" i="73"/>
  <c r="M360" i="73"/>
  <c r="K360" i="73"/>
  <c r="I360" i="73"/>
  <c r="M359" i="73"/>
  <c r="K359" i="73"/>
  <c r="I359" i="73"/>
  <c r="M358" i="73"/>
  <c r="K358" i="73"/>
  <c r="I358" i="73"/>
  <c r="M357" i="73"/>
  <c r="K357" i="73"/>
  <c r="I357" i="73"/>
  <c r="M356" i="73"/>
  <c r="K356" i="73"/>
  <c r="I356" i="73"/>
  <c r="M355" i="73"/>
  <c r="K355" i="73"/>
  <c r="I355" i="73"/>
  <c r="M354" i="73"/>
  <c r="K354" i="73"/>
  <c r="I354" i="73"/>
  <c r="M353" i="73"/>
  <c r="K353" i="73"/>
  <c r="I353" i="73"/>
  <c r="M352" i="73"/>
  <c r="K352" i="73"/>
  <c r="I352" i="73"/>
  <c r="M351" i="73"/>
  <c r="K351" i="73"/>
  <c r="I351" i="73"/>
  <c r="M350" i="73"/>
  <c r="K350" i="73"/>
  <c r="I350" i="73"/>
  <c r="M349" i="73"/>
  <c r="K349" i="73"/>
  <c r="I349" i="73"/>
  <c r="O348" i="73"/>
  <c r="I348" i="73" s="1"/>
  <c r="K348" i="73"/>
  <c r="M347" i="73"/>
  <c r="K347" i="73"/>
  <c r="I347" i="73"/>
  <c r="M346" i="73"/>
  <c r="K346" i="73"/>
  <c r="I346" i="73"/>
  <c r="M345" i="73"/>
  <c r="K345" i="73"/>
  <c r="I345" i="73"/>
  <c r="O344" i="73"/>
  <c r="I344" i="73" s="1"/>
  <c r="K344" i="73"/>
  <c r="M343" i="73"/>
  <c r="K343" i="73"/>
  <c r="I343" i="73"/>
  <c r="M342" i="73"/>
  <c r="K342" i="73"/>
  <c r="I342" i="73"/>
  <c r="M341" i="73"/>
  <c r="K341" i="73"/>
  <c r="I341" i="73"/>
  <c r="M340" i="73"/>
  <c r="K340" i="73"/>
  <c r="I340" i="73"/>
  <c r="M339" i="73"/>
  <c r="K339" i="73"/>
  <c r="I339" i="73"/>
  <c r="M338" i="73"/>
  <c r="K338" i="73"/>
  <c r="I338" i="73"/>
  <c r="M337" i="73"/>
  <c r="K337" i="73"/>
  <c r="I337" i="73"/>
  <c r="M336" i="73"/>
  <c r="K336" i="73"/>
  <c r="I336" i="73"/>
  <c r="M335" i="73"/>
  <c r="K335" i="73"/>
  <c r="I335" i="73"/>
  <c r="M334" i="73"/>
  <c r="K334" i="73"/>
  <c r="I334" i="73"/>
  <c r="M333" i="73"/>
  <c r="K333" i="73"/>
  <c r="I333" i="73"/>
  <c r="M332" i="73"/>
  <c r="K332" i="73"/>
  <c r="I332" i="73"/>
  <c r="M331" i="73"/>
  <c r="K331" i="73"/>
  <c r="I331" i="73"/>
  <c r="M330" i="73"/>
  <c r="K330" i="73"/>
  <c r="I330" i="73"/>
  <c r="O329" i="73"/>
  <c r="M329" i="73" s="1"/>
  <c r="K329" i="73"/>
  <c r="O328" i="73"/>
  <c r="M328" i="73" s="1"/>
  <c r="K328" i="73"/>
  <c r="O327" i="73"/>
  <c r="M327" i="73" s="1"/>
  <c r="K327" i="73"/>
  <c r="M326" i="73"/>
  <c r="K326" i="73"/>
  <c r="I326" i="73"/>
  <c r="O325" i="73"/>
  <c r="I325" i="73" s="1"/>
  <c r="K325" i="73"/>
  <c r="M324" i="73"/>
  <c r="K324" i="73"/>
  <c r="I324" i="73"/>
  <c r="M323" i="73"/>
  <c r="K323" i="73"/>
  <c r="I323" i="73"/>
  <c r="M322" i="73"/>
  <c r="K322" i="73"/>
  <c r="I322" i="73"/>
  <c r="M321" i="73"/>
  <c r="K321" i="73"/>
  <c r="I321" i="73"/>
  <c r="M320" i="73"/>
  <c r="K320" i="73"/>
  <c r="I320" i="73"/>
  <c r="M319" i="73"/>
  <c r="K319" i="73"/>
  <c r="I319" i="73"/>
  <c r="M318" i="73"/>
  <c r="K318" i="73"/>
  <c r="I318" i="73"/>
  <c r="M317" i="73"/>
  <c r="K317" i="73"/>
  <c r="I317" i="73"/>
  <c r="M316" i="73"/>
  <c r="K316" i="73"/>
  <c r="I316" i="73"/>
  <c r="M315" i="73"/>
  <c r="K315" i="73"/>
  <c r="I315" i="73"/>
  <c r="M314" i="73"/>
  <c r="K314" i="73"/>
  <c r="I314" i="73"/>
  <c r="M313" i="73"/>
  <c r="K313" i="73"/>
  <c r="I313" i="73"/>
  <c r="M312" i="73"/>
  <c r="K312" i="73"/>
  <c r="I312" i="73"/>
  <c r="M311" i="73"/>
  <c r="K311" i="73"/>
  <c r="I311" i="73"/>
  <c r="M310" i="73"/>
  <c r="K310" i="73"/>
  <c r="I310" i="73"/>
  <c r="M309" i="73"/>
  <c r="K309" i="73"/>
  <c r="I309" i="73"/>
  <c r="M308" i="73"/>
  <c r="K308" i="73"/>
  <c r="I308" i="73"/>
  <c r="M307" i="73"/>
  <c r="K307" i="73"/>
  <c r="I307" i="73"/>
  <c r="M306" i="73"/>
  <c r="K306" i="73"/>
  <c r="I306" i="73"/>
  <c r="O305" i="73"/>
  <c r="I305" i="73" s="1"/>
  <c r="K305" i="73"/>
  <c r="M304" i="73"/>
  <c r="K304" i="73"/>
  <c r="I304" i="73"/>
  <c r="M303" i="73"/>
  <c r="K303" i="73"/>
  <c r="I303" i="73"/>
  <c r="M302" i="73"/>
  <c r="K302" i="73"/>
  <c r="I302" i="73"/>
  <c r="M301" i="73"/>
  <c r="K301" i="73"/>
  <c r="I301" i="73"/>
  <c r="M300" i="73"/>
  <c r="K300" i="73"/>
  <c r="I300" i="73"/>
  <c r="M299" i="73"/>
  <c r="K299" i="73"/>
  <c r="I299" i="73"/>
  <c r="O298" i="73"/>
  <c r="M298" i="73" s="1"/>
  <c r="K298" i="73"/>
  <c r="M297" i="73"/>
  <c r="K297" i="73"/>
  <c r="I297" i="73"/>
  <c r="M296" i="73"/>
  <c r="K296" i="73"/>
  <c r="I296" i="73"/>
  <c r="M295" i="73"/>
  <c r="K295" i="73"/>
  <c r="I295" i="73"/>
  <c r="M294" i="73"/>
  <c r="K294" i="73"/>
  <c r="I294" i="73"/>
  <c r="M293" i="73"/>
  <c r="K293" i="73"/>
  <c r="I293" i="73"/>
  <c r="M292" i="73"/>
  <c r="K292" i="73"/>
  <c r="I292" i="73"/>
  <c r="M291" i="73"/>
  <c r="K291" i="73"/>
  <c r="I291" i="73"/>
  <c r="M290" i="73"/>
  <c r="K290" i="73"/>
  <c r="I290" i="73"/>
  <c r="M289" i="73"/>
  <c r="K289" i="73"/>
  <c r="I289" i="73"/>
  <c r="M288" i="73"/>
  <c r="K288" i="73"/>
  <c r="I288" i="73"/>
  <c r="M287" i="73"/>
  <c r="K287" i="73"/>
  <c r="I287" i="73"/>
  <c r="M286" i="73"/>
  <c r="K286" i="73"/>
  <c r="I286" i="73"/>
  <c r="M285" i="73"/>
  <c r="K285" i="73"/>
  <c r="I285" i="73"/>
  <c r="M284" i="73"/>
  <c r="K284" i="73"/>
  <c r="I284" i="73"/>
  <c r="M283" i="73"/>
  <c r="K283" i="73"/>
  <c r="I283" i="73"/>
  <c r="M282" i="73"/>
  <c r="K282" i="73"/>
  <c r="I282" i="73"/>
  <c r="M281" i="73"/>
  <c r="K281" i="73"/>
  <c r="I281" i="73"/>
  <c r="M280" i="73"/>
  <c r="K280" i="73"/>
  <c r="I280" i="73"/>
  <c r="M279" i="73"/>
  <c r="K279" i="73"/>
  <c r="I279" i="73"/>
  <c r="M278" i="73"/>
  <c r="K278" i="73"/>
  <c r="I278" i="73"/>
  <c r="M277" i="73"/>
  <c r="K277" i="73"/>
  <c r="I277" i="73"/>
  <c r="M276" i="73"/>
  <c r="K276" i="73"/>
  <c r="I276" i="73"/>
  <c r="M275" i="73"/>
  <c r="K275" i="73"/>
  <c r="I275" i="73"/>
  <c r="M274" i="73"/>
  <c r="K274" i="73"/>
  <c r="I274" i="73"/>
  <c r="M273" i="73"/>
  <c r="K273" i="73"/>
  <c r="I273" i="73"/>
  <c r="M272" i="73"/>
  <c r="K272" i="73"/>
  <c r="I272" i="73"/>
  <c r="M271" i="73"/>
  <c r="K271" i="73"/>
  <c r="I271" i="73"/>
  <c r="M270" i="73"/>
  <c r="K270" i="73"/>
  <c r="I270" i="73"/>
  <c r="O269" i="73"/>
  <c r="M269" i="73" s="1"/>
  <c r="K269" i="73"/>
  <c r="O268" i="73"/>
  <c r="M268" i="73" s="1"/>
  <c r="K268" i="73"/>
  <c r="M267" i="73"/>
  <c r="K267" i="73"/>
  <c r="I267" i="73"/>
  <c r="O266" i="73"/>
  <c r="I266" i="73" s="1"/>
  <c r="K266" i="73"/>
  <c r="O265" i="73"/>
  <c r="M265" i="73" s="1"/>
  <c r="K265" i="73"/>
  <c r="M264" i="73"/>
  <c r="K264" i="73"/>
  <c r="I264" i="73"/>
  <c r="O263" i="73"/>
  <c r="M263" i="73" s="1"/>
  <c r="K263" i="73"/>
  <c r="O262" i="73"/>
  <c r="I262" i="73" s="1"/>
  <c r="K262" i="73"/>
  <c r="O261" i="73"/>
  <c r="M261" i="73" s="1"/>
  <c r="K261" i="73"/>
  <c r="Q260" i="73"/>
  <c r="M260" i="73"/>
  <c r="K260" i="73"/>
  <c r="I260" i="73"/>
  <c r="O259" i="73"/>
  <c r="I259" i="73" s="1"/>
  <c r="K259" i="73"/>
  <c r="Q258" i="73"/>
  <c r="M258" i="73"/>
  <c r="K258" i="73"/>
  <c r="I258" i="73"/>
  <c r="M257" i="73"/>
  <c r="K257" i="73"/>
  <c r="I257" i="73"/>
  <c r="O256" i="73"/>
  <c r="I256" i="73" s="1"/>
  <c r="K256" i="73"/>
  <c r="O255" i="73"/>
  <c r="M255" i="73" s="1"/>
  <c r="K255" i="73"/>
  <c r="O254" i="73"/>
  <c r="I254" i="73" s="1"/>
  <c r="K254" i="73"/>
  <c r="M253" i="73"/>
  <c r="K253" i="73"/>
  <c r="I253" i="73"/>
  <c r="O252" i="73"/>
  <c r="M252" i="73" s="1"/>
  <c r="K252" i="73"/>
  <c r="O251" i="73"/>
  <c r="M251" i="73" s="1"/>
  <c r="K251" i="73"/>
  <c r="O250" i="73"/>
  <c r="M250" i="73" s="1"/>
  <c r="K250" i="73"/>
  <c r="O249" i="73"/>
  <c r="M249" i="73" s="1"/>
  <c r="K249" i="73"/>
  <c r="O248" i="73"/>
  <c r="M248" i="73" s="1"/>
  <c r="K248" i="73"/>
  <c r="M247" i="73"/>
  <c r="K247" i="73"/>
  <c r="I247" i="73"/>
  <c r="M246" i="73"/>
  <c r="K246" i="73"/>
  <c r="I246" i="73"/>
  <c r="M245" i="73"/>
  <c r="K245" i="73"/>
  <c r="I245" i="73"/>
  <c r="M244" i="73"/>
  <c r="K244" i="73"/>
  <c r="I244" i="73"/>
  <c r="M243" i="73"/>
  <c r="K243" i="73"/>
  <c r="I243" i="73"/>
  <c r="O242" i="73"/>
  <c r="I242" i="73" s="1"/>
  <c r="K242" i="73"/>
  <c r="O241" i="73"/>
  <c r="M241" i="73" s="1"/>
  <c r="K241" i="73"/>
  <c r="M240" i="73"/>
  <c r="K240" i="73"/>
  <c r="I240" i="73"/>
  <c r="M239" i="73"/>
  <c r="K239" i="73"/>
  <c r="I239" i="73"/>
  <c r="M238" i="73"/>
  <c r="K238" i="73"/>
  <c r="I238" i="73"/>
  <c r="O237" i="73"/>
  <c r="M237" i="73" s="1"/>
  <c r="K237" i="73"/>
  <c r="O236" i="73"/>
  <c r="M236" i="73" s="1"/>
  <c r="K236" i="73"/>
  <c r="M235" i="73"/>
  <c r="K235" i="73"/>
  <c r="I235" i="73"/>
  <c r="M234" i="73"/>
  <c r="K234" i="73"/>
  <c r="I234" i="73"/>
  <c r="O233" i="73"/>
  <c r="M233" i="73" s="1"/>
  <c r="K233" i="73"/>
  <c r="O232" i="73"/>
  <c r="I232" i="73" s="1"/>
  <c r="K232" i="73"/>
  <c r="M231" i="73"/>
  <c r="K231" i="73"/>
  <c r="I231" i="73"/>
  <c r="M230" i="73"/>
  <c r="K230" i="73"/>
  <c r="I230" i="73"/>
  <c r="O229" i="73"/>
  <c r="M229" i="73" s="1"/>
  <c r="K229" i="73"/>
  <c r="M228" i="73"/>
  <c r="K228" i="73"/>
  <c r="I228" i="73"/>
  <c r="M227" i="73"/>
  <c r="K227" i="73"/>
  <c r="I227" i="73"/>
  <c r="M226" i="73"/>
  <c r="K226" i="73"/>
  <c r="I226" i="73"/>
  <c r="M225" i="73"/>
  <c r="K225" i="73"/>
  <c r="I225" i="73"/>
  <c r="M224" i="73"/>
  <c r="K224" i="73"/>
  <c r="I224" i="73"/>
  <c r="M223" i="73"/>
  <c r="K223" i="73"/>
  <c r="I223" i="73"/>
  <c r="M222" i="73"/>
  <c r="K222" i="73"/>
  <c r="I222" i="73"/>
  <c r="O221" i="73"/>
  <c r="I221" i="73" s="1"/>
  <c r="K221" i="73"/>
  <c r="O220" i="73"/>
  <c r="M220" i="73" s="1"/>
  <c r="K220" i="73"/>
  <c r="M219" i="73"/>
  <c r="K219" i="73"/>
  <c r="I219" i="73"/>
  <c r="M218" i="73"/>
  <c r="K218" i="73"/>
  <c r="I218" i="73"/>
  <c r="M217" i="73"/>
  <c r="K217" i="73"/>
  <c r="I217" i="73"/>
  <c r="M216" i="73"/>
  <c r="K216" i="73"/>
  <c r="I216" i="73"/>
  <c r="M215" i="73"/>
  <c r="K215" i="73"/>
  <c r="I215" i="73"/>
  <c r="M214" i="73"/>
  <c r="K214" i="73"/>
  <c r="I214" i="73"/>
  <c r="O213" i="73"/>
  <c r="I213" i="73" s="1"/>
  <c r="K213" i="73"/>
  <c r="M212" i="73"/>
  <c r="K212" i="73"/>
  <c r="I212" i="73"/>
  <c r="O211" i="73"/>
  <c r="M211" i="73" s="1"/>
  <c r="K211" i="73"/>
  <c r="M210" i="73"/>
  <c r="K210" i="73"/>
  <c r="I210" i="73"/>
  <c r="M209" i="73"/>
  <c r="K209" i="73"/>
  <c r="I209" i="73"/>
  <c r="M208" i="73"/>
  <c r="K208" i="73"/>
  <c r="I208" i="73"/>
  <c r="M207" i="73"/>
  <c r="K207" i="73"/>
  <c r="I207" i="73"/>
  <c r="M206" i="73"/>
  <c r="K206" i="73"/>
  <c r="I206" i="73"/>
  <c r="O205" i="73"/>
  <c r="M205" i="73" s="1"/>
  <c r="K205" i="73"/>
  <c r="M204" i="73"/>
  <c r="K204" i="73"/>
  <c r="I204" i="73"/>
  <c r="M203" i="73"/>
  <c r="K203" i="73"/>
  <c r="I203" i="73"/>
  <c r="M202" i="73"/>
  <c r="K202" i="73"/>
  <c r="I202" i="73"/>
  <c r="M201" i="73"/>
  <c r="K201" i="73"/>
  <c r="I201" i="73"/>
  <c r="O200" i="73"/>
  <c r="M200" i="73" s="1"/>
  <c r="K200" i="73"/>
  <c r="M199" i="73"/>
  <c r="K199" i="73"/>
  <c r="I199" i="73"/>
  <c r="M198" i="73"/>
  <c r="K198" i="73"/>
  <c r="I198" i="73"/>
  <c r="M197" i="73"/>
  <c r="K197" i="73"/>
  <c r="I197" i="73"/>
  <c r="M196" i="73"/>
  <c r="K196" i="73"/>
  <c r="I196" i="73"/>
  <c r="O195" i="73"/>
  <c r="M195" i="73" s="1"/>
  <c r="K195" i="73"/>
  <c r="M194" i="73"/>
  <c r="K194" i="73"/>
  <c r="I194" i="73"/>
  <c r="M193" i="73"/>
  <c r="K193" i="73"/>
  <c r="I193" i="73"/>
  <c r="M192" i="73"/>
  <c r="K192" i="73"/>
  <c r="I192" i="73"/>
  <c r="M191" i="73"/>
  <c r="K191" i="73"/>
  <c r="I191" i="73"/>
  <c r="M190" i="73"/>
  <c r="K190" i="73"/>
  <c r="I190" i="73"/>
  <c r="M189" i="73"/>
  <c r="K189" i="73"/>
  <c r="I189" i="73"/>
  <c r="O188" i="73"/>
  <c r="I188" i="73" s="1"/>
  <c r="K188" i="73"/>
  <c r="M187" i="73"/>
  <c r="K187" i="73"/>
  <c r="I187" i="73"/>
  <c r="M186" i="73"/>
  <c r="K186" i="73"/>
  <c r="I186" i="73"/>
  <c r="M185" i="73"/>
  <c r="K185" i="73"/>
  <c r="I185" i="73"/>
  <c r="M184" i="73"/>
  <c r="K184" i="73"/>
  <c r="I184" i="73"/>
  <c r="M183" i="73"/>
  <c r="K183" i="73"/>
  <c r="I183" i="73"/>
  <c r="M182" i="73"/>
  <c r="K182" i="73"/>
  <c r="I182" i="73"/>
  <c r="O181" i="73"/>
  <c r="I181" i="73" s="1"/>
  <c r="K181" i="73"/>
  <c r="M180" i="73"/>
  <c r="K180" i="73"/>
  <c r="I180" i="73"/>
  <c r="M179" i="73"/>
  <c r="K179" i="73"/>
  <c r="I179" i="73"/>
  <c r="O178" i="73"/>
  <c r="I178" i="73" s="1"/>
  <c r="K178" i="73"/>
  <c r="M177" i="73"/>
  <c r="K177" i="73"/>
  <c r="I177" i="73"/>
  <c r="M176" i="73"/>
  <c r="K176" i="73"/>
  <c r="I176" i="73"/>
  <c r="M175" i="73"/>
  <c r="K175" i="73"/>
  <c r="I175" i="73"/>
  <c r="M174" i="73"/>
  <c r="K174" i="73"/>
  <c r="I174" i="73"/>
  <c r="M173" i="73"/>
  <c r="K173" i="73"/>
  <c r="I173" i="73"/>
  <c r="M172" i="73"/>
  <c r="K172" i="73"/>
  <c r="I172" i="73"/>
  <c r="O171" i="73"/>
  <c r="I171" i="73" s="1"/>
  <c r="K171" i="73"/>
  <c r="M170" i="73"/>
  <c r="K170" i="73"/>
  <c r="I170" i="73"/>
  <c r="M169" i="73"/>
  <c r="K169" i="73"/>
  <c r="I169" i="73"/>
  <c r="M168" i="73"/>
  <c r="K168" i="73"/>
  <c r="I168" i="73"/>
  <c r="M167" i="73"/>
  <c r="K167" i="73"/>
  <c r="I167" i="73"/>
  <c r="M166" i="73"/>
  <c r="K166" i="73"/>
  <c r="I166" i="73"/>
  <c r="M165" i="73"/>
  <c r="K165" i="73"/>
  <c r="I165" i="73"/>
  <c r="M164" i="73"/>
  <c r="K164" i="73"/>
  <c r="I164" i="73"/>
  <c r="M163" i="73"/>
  <c r="K163" i="73"/>
  <c r="I163" i="73"/>
  <c r="M162" i="73"/>
  <c r="K162" i="73"/>
  <c r="I162" i="73"/>
  <c r="M161" i="73"/>
  <c r="K161" i="73"/>
  <c r="I161" i="73"/>
  <c r="M160" i="73"/>
  <c r="K160" i="73"/>
  <c r="I160" i="73"/>
  <c r="M159" i="73"/>
  <c r="K159" i="73"/>
  <c r="I159" i="73"/>
  <c r="M158" i="73"/>
  <c r="K158" i="73"/>
  <c r="I158" i="73"/>
  <c r="M157" i="73"/>
  <c r="K157" i="73"/>
  <c r="I157" i="73"/>
  <c r="M156" i="73"/>
  <c r="K156" i="73"/>
  <c r="I156" i="73"/>
  <c r="M155" i="73"/>
  <c r="K155" i="73"/>
  <c r="I155" i="73"/>
  <c r="M154" i="73"/>
  <c r="K154" i="73"/>
  <c r="I154" i="73"/>
  <c r="M153" i="73"/>
  <c r="K153" i="73"/>
  <c r="I153" i="73"/>
  <c r="M152" i="73"/>
  <c r="K152" i="73"/>
  <c r="I152" i="73"/>
  <c r="M151" i="73"/>
  <c r="K151" i="73"/>
  <c r="I151" i="73"/>
  <c r="M150" i="73"/>
  <c r="K150" i="73"/>
  <c r="I150" i="73"/>
  <c r="M149" i="73"/>
  <c r="K149" i="73"/>
  <c r="I149" i="73"/>
  <c r="M148" i="73"/>
  <c r="K148" i="73"/>
  <c r="I148" i="73"/>
  <c r="M147" i="73"/>
  <c r="K147" i="73"/>
  <c r="I147" i="73"/>
  <c r="M146" i="73"/>
  <c r="K146" i="73"/>
  <c r="I146" i="73"/>
  <c r="M145" i="73"/>
  <c r="K145" i="73"/>
  <c r="I145" i="73"/>
  <c r="M144" i="73"/>
  <c r="K144" i="73"/>
  <c r="I144" i="73"/>
  <c r="M143" i="73"/>
  <c r="K143" i="73"/>
  <c r="I143" i="73"/>
  <c r="M142" i="73"/>
  <c r="K142" i="73"/>
  <c r="I142" i="73"/>
  <c r="M141" i="73"/>
  <c r="K141" i="73"/>
  <c r="I141" i="73"/>
  <c r="M140" i="73"/>
  <c r="K140" i="73"/>
  <c r="I140" i="73"/>
  <c r="M139" i="73"/>
  <c r="K139" i="73"/>
  <c r="I139" i="73"/>
  <c r="M138" i="73"/>
  <c r="K138" i="73"/>
  <c r="I138" i="73"/>
  <c r="M137" i="73"/>
  <c r="K137" i="73"/>
  <c r="I137" i="73"/>
  <c r="M136" i="73"/>
  <c r="K136" i="73"/>
  <c r="I136" i="73"/>
  <c r="M135" i="73"/>
  <c r="K135" i="73"/>
  <c r="I135" i="73"/>
  <c r="M134" i="73"/>
  <c r="K134" i="73"/>
  <c r="I134" i="73"/>
  <c r="M133" i="73"/>
  <c r="K133" i="73"/>
  <c r="I133" i="73"/>
  <c r="M132" i="73"/>
  <c r="K132" i="73"/>
  <c r="I132" i="73"/>
  <c r="M131" i="73"/>
  <c r="K131" i="73"/>
  <c r="I131" i="73"/>
  <c r="M130" i="73"/>
  <c r="K130" i="73"/>
  <c r="I130" i="73"/>
  <c r="M129" i="73"/>
  <c r="K129" i="73"/>
  <c r="I129" i="73"/>
  <c r="M128" i="73"/>
  <c r="K128" i="73"/>
  <c r="I128" i="73"/>
  <c r="M127" i="73"/>
  <c r="K127" i="73"/>
  <c r="I127" i="73"/>
  <c r="M126" i="73"/>
  <c r="K126" i="73"/>
  <c r="I126" i="73"/>
  <c r="M125" i="73"/>
  <c r="K125" i="73"/>
  <c r="I125" i="73"/>
  <c r="M124" i="73"/>
  <c r="K124" i="73"/>
  <c r="I124" i="73"/>
  <c r="M123" i="73"/>
  <c r="K123" i="73"/>
  <c r="I123" i="73"/>
  <c r="M122" i="73"/>
  <c r="K122" i="73"/>
  <c r="I122" i="73"/>
  <c r="M121" i="73"/>
  <c r="K121" i="73"/>
  <c r="I121" i="73"/>
  <c r="M120" i="73"/>
  <c r="K120" i="73"/>
  <c r="I120" i="73"/>
  <c r="M119" i="73"/>
  <c r="K119" i="73"/>
  <c r="I119" i="73"/>
  <c r="M118" i="73"/>
  <c r="K118" i="73"/>
  <c r="I118" i="73"/>
  <c r="M117" i="73"/>
  <c r="K117" i="73"/>
  <c r="I117" i="73"/>
  <c r="M116" i="73"/>
  <c r="K116" i="73"/>
  <c r="I116" i="73"/>
  <c r="M115" i="73"/>
  <c r="K115" i="73"/>
  <c r="I115" i="73"/>
  <c r="M114" i="73"/>
  <c r="K114" i="73"/>
  <c r="I114" i="73"/>
  <c r="M113" i="73"/>
  <c r="K113" i="73"/>
  <c r="I113" i="73"/>
  <c r="M112" i="73"/>
  <c r="K112" i="73"/>
  <c r="I112" i="73"/>
  <c r="M111" i="73"/>
  <c r="K111" i="73"/>
  <c r="I111" i="73"/>
  <c r="M110" i="73"/>
  <c r="K110" i="73"/>
  <c r="I110" i="73"/>
  <c r="M109" i="73"/>
  <c r="K109" i="73"/>
  <c r="I109" i="73"/>
  <c r="O108" i="73"/>
  <c r="M108" i="73" s="1"/>
  <c r="K108" i="73"/>
  <c r="M107" i="73"/>
  <c r="K107" i="73"/>
  <c r="I107" i="73"/>
  <c r="O106" i="73"/>
  <c r="I106" i="73" s="1"/>
  <c r="K106" i="73"/>
  <c r="M105" i="73"/>
  <c r="K105" i="73"/>
  <c r="I105" i="73"/>
  <c r="O104" i="73"/>
  <c r="M104" i="73" s="1"/>
  <c r="K104" i="73"/>
  <c r="M103" i="73"/>
  <c r="K103" i="73"/>
  <c r="I103" i="73"/>
  <c r="M102" i="73"/>
  <c r="K102" i="73"/>
  <c r="I102" i="73"/>
  <c r="M101" i="73"/>
  <c r="K101" i="73"/>
  <c r="I101" i="73"/>
  <c r="O100" i="73"/>
  <c r="M100" i="73" s="1"/>
  <c r="K100" i="73"/>
  <c r="M99" i="73"/>
  <c r="K99" i="73"/>
  <c r="I99" i="73"/>
  <c r="M98" i="73"/>
  <c r="K98" i="73"/>
  <c r="I98" i="73"/>
  <c r="O97" i="73"/>
  <c r="I97" i="73" s="1"/>
  <c r="K97" i="73"/>
  <c r="M96" i="73"/>
  <c r="K96" i="73"/>
  <c r="I96" i="73"/>
  <c r="M95" i="73"/>
  <c r="K95" i="73"/>
  <c r="I95" i="73"/>
  <c r="M94" i="73"/>
  <c r="K94" i="73"/>
  <c r="I94" i="73"/>
  <c r="M93" i="73"/>
  <c r="K93" i="73"/>
  <c r="I93" i="73"/>
  <c r="M92" i="73"/>
  <c r="K92" i="73"/>
  <c r="I92" i="73"/>
  <c r="M91" i="73"/>
  <c r="K91" i="73"/>
  <c r="I91" i="73"/>
  <c r="O90" i="73"/>
  <c r="M90" i="73" s="1"/>
  <c r="K90" i="73"/>
  <c r="O89" i="73"/>
  <c r="M89" i="73" s="1"/>
  <c r="K89" i="73"/>
  <c r="O88" i="73"/>
  <c r="M88" i="73" s="1"/>
  <c r="K88" i="73"/>
  <c r="M87" i="73"/>
  <c r="K87" i="73"/>
  <c r="I87" i="73"/>
  <c r="M86" i="73"/>
  <c r="K86" i="73"/>
  <c r="I86" i="73"/>
  <c r="M85" i="73"/>
  <c r="K85" i="73"/>
  <c r="I85" i="73"/>
  <c r="M84" i="73"/>
  <c r="K84" i="73"/>
  <c r="I84" i="73"/>
  <c r="M83" i="73"/>
  <c r="K83" i="73"/>
  <c r="I83" i="73"/>
  <c r="O82" i="73"/>
  <c r="M82" i="73" s="1"/>
  <c r="K82" i="73"/>
  <c r="M81" i="73"/>
  <c r="K81" i="73"/>
  <c r="I81" i="73"/>
  <c r="M80" i="73"/>
  <c r="K80" i="73"/>
  <c r="I80" i="73"/>
  <c r="O79" i="73"/>
  <c r="M79" i="73" s="1"/>
  <c r="K79" i="73"/>
  <c r="M78" i="73"/>
  <c r="K78" i="73"/>
  <c r="I78" i="73"/>
  <c r="M77" i="73"/>
  <c r="K77" i="73"/>
  <c r="I77" i="73"/>
  <c r="M76" i="73"/>
  <c r="K76" i="73"/>
  <c r="I76" i="73"/>
  <c r="O75" i="73"/>
  <c r="M75" i="73" s="1"/>
  <c r="K75" i="73"/>
  <c r="O74" i="73"/>
  <c r="M74" i="73" s="1"/>
  <c r="K74" i="73"/>
  <c r="O73" i="73"/>
  <c r="M73" i="73" s="1"/>
  <c r="K73" i="73"/>
  <c r="M72" i="73"/>
  <c r="K72" i="73"/>
  <c r="I72" i="73"/>
  <c r="M71" i="73"/>
  <c r="K71" i="73"/>
  <c r="I71" i="73"/>
  <c r="O70" i="73"/>
  <c r="M70" i="73" s="1"/>
  <c r="K70" i="73"/>
  <c r="O69" i="73"/>
  <c r="M69" i="73" s="1"/>
  <c r="K69" i="73"/>
  <c r="M68" i="73"/>
  <c r="K68" i="73"/>
  <c r="I68" i="73"/>
  <c r="M67" i="73"/>
  <c r="K67" i="73"/>
  <c r="I67" i="73"/>
  <c r="M66" i="73"/>
  <c r="K66" i="73"/>
  <c r="I66" i="73"/>
  <c r="M65" i="73"/>
  <c r="K65" i="73"/>
  <c r="I65" i="73"/>
  <c r="M64" i="73"/>
  <c r="K64" i="73"/>
  <c r="I64" i="73"/>
  <c r="O63" i="73"/>
  <c r="M63" i="73" s="1"/>
  <c r="K63" i="73"/>
  <c r="M62" i="73"/>
  <c r="K62" i="73"/>
  <c r="I62" i="73"/>
  <c r="M61" i="73"/>
  <c r="K61" i="73"/>
  <c r="I61" i="73"/>
  <c r="M60" i="73"/>
  <c r="K60" i="73"/>
  <c r="I60" i="73"/>
  <c r="M59" i="73"/>
  <c r="K59" i="73"/>
  <c r="I59" i="73"/>
  <c r="M58" i="73"/>
  <c r="K58" i="73"/>
  <c r="I58" i="73"/>
  <c r="M57" i="73"/>
  <c r="K57" i="73"/>
  <c r="I57" i="73"/>
  <c r="O56" i="73"/>
  <c r="I56" i="73" s="1"/>
  <c r="K56" i="73"/>
  <c r="M55" i="73"/>
  <c r="K55" i="73"/>
  <c r="I55" i="73"/>
  <c r="M54" i="73"/>
  <c r="K54" i="73"/>
  <c r="I54" i="73"/>
  <c r="M53" i="73"/>
  <c r="K53" i="73"/>
  <c r="I53" i="73"/>
  <c r="M52" i="73"/>
  <c r="K52" i="73"/>
  <c r="I52" i="73"/>
  <c r="M51" i="73"/>
  <c r="K51" i="73"/>
  <c r="I51" i="73"/>
  <c r="M50" i="73"/>
  <c r="K50" i="73"/>
  <c r="I50" i="73"/>
  <c r="O49" i="73"/>
  <c r="I49" i="73" s="1"/>
  <c r="K49" i="73"/>
  <c r="M48" i="73"/>
  <c r="K48" i="73"/>
  <c r="I48" i="73"/>
  <c r="M47" i="73"/>
  <c r="K47" i="73"/>
  <c r="I47" i="73"/>
  <c r="O46" i="73"/>
  <c r="I46" i="73" s="1"/>
  <c r="K46" i="73"/>
  <c r="O45" i="73"/>
  <c r="M45" i="73" s="1"/>
  <c r="K45" i="73"/>
  <c r="M44" i="73"/>
  <c r="K44" i="73"/>
  <c r="I44" i="73"/>
  <c r="M43" i="73"/>
  <c r="K43" i="73"/>
  <c r="I43" i="73"/>
  <c r="M42" i="73"/>
  <c r="K42" i="73"/>
  <c r="I42" i="73"/>
  <c r="M41" i="73"/>
  <c r="K41" i="73"/>
  <c r="I41" i="73"/>
  <c r="M40" i="73"/>
  <c r="K40" i="73"/>
  <c r="I40" i="73"/>
  <c r="O39" i="73"/>
  <c r="M39" i="73" s="1"/>
  <c r="K39" i="73"/>
  <c r="M38" i="73"/>
  <c r="K38" i="73"/>
  <c r="I38" i="73"/>
  <c r="M37" i="73"/>
  <c r="K37" i="73"/>
  <c r="I37" i="73"/>
  <c r="M36" i="73"/>
  <c r="K36" i="73"/>
  <c r="I36" i="73"/>
  <c r="M35" i="73"/>
  <c r="K35" i="73"/>
  <c r="I35" i="73"/>
  <c r="M34" i="73"/>
  <c r="K34" i="73"/>
  <c r="I34" i="73"/>
  <c r="M33" i="73"/>
  <c r="K33" i="73"/>
  <c r="I33" i="73"/>
  <c r="M32" i="73"/>
  <c r="K32" i="73"/>
  <c r="I32" i="73"/>
  <c r="M31" i="73"/>
  <c r="K31" i="73"/>
  <c r="I31" i="73"/>
  <c r="M30" i="73"/>
  <c r="K30" i="73"/>
  <c r="I30" i="73"/>
  <c r="O29" i="73"/>
  <c r="I29" i="73" s="1"/>
  <c r="K29" i="73"/>
  <c r="O28" i="73"/>
  <c r="M28" i="73" s="1"/>
  <c r="K28" i="73"/>
  <c r="M27" i="73"/>
  <c r="K27" i="73"/>
  <c r="I27" i="73"/>
  <c r="O26" i="73"/>
  <c r="M26" i="73" s="1"/>
  <c r="K26" i="73"/>
  <c r="M25" i="73"/>
  <c r="K25" i="73"/>
  <c r="I25" i="73"/>
  <c r="M24" i="73"/>
  <c r="K24" i="73"/>
  <c r="I24" i="73"/>
  <c r="O23" i="73"/>
  <c r="I23" i="73" s="1"/>
  <c r="K23" i="73"/>
  <c r="M22" i="73"/>
  <c r="K22" i="73"/>
  <c r="I22" i="73"/>
  <c r="M21" i="73"/>
  <c r="K21" i="73"/>
  <c r="I21" i="73"/>
  <c r="M20" i="73"/>
  <c r="K20" i="73"/>
  <c r="I20" i="73"/>
  <c r="M19" i="73"/>
  <c r="K19" i="73"/>
  <c r="I19" i="73"/>
  <c r="M18" i="73"/>
  <c r="K18" i="73"/>
  <c r="I18" i="73"/>
  <c r="M17" i="73"/>
  <c r="K17" i="73"/>
  <c r="I17" i="73"/>
  <c r="O16" i="73"/>
  <c r="M16" i="73" s="1"/>
  <c r="K16" i="73"/>
  <c r="M15" i="73"/>
  <c r="K15" i="73"/>
  <c r="I15" i="73"/>
  <c r="M14" i="73"/>
  <c r="K14" i="73"/>
  <c r="I14" i="73"/>
  <c r="M13" i="73"/>
  <c r="K13" i="73"/>
  <c r="I13" i="73"/>
  <c r="M12" i="73"/>
  <c r="K12" i="73"/>
  <c r="I12" i="73"/>
  <c r="M11" i="73"/>
  <c r="K11" i="73"/>
  <c r="I11" i="73"/>
  <c r="M10" i="73"/>
  <c r="K10" i="73"/>
  <c r="I10" i="73"/>
  <c r="O9" i="73"/>
  <c r="M9" i="73" s="1"/>
  <c r="K9" i="73"/>
  <c r="O8" i="73"/>
  <c r="M8" i="73" s="1"/>
  <c r="K8" i="73"/>
  <c r="K7" i="73"/>
  <c r="K6" i="73"/>
  <c r="K1599" i="73" l="1"/>
  <c r="K3" i="73" s="1"/>
  <c r="I74" i="73"/>
  <c r="I269" i="73"/>
  <c r="I263" i="73"/>
  <c r="I947" i="73"/>
  <c r="I827" i="73"/>
  <c r="M344" i="73"/>
  <c r="I565" i="73"/>
  <c r="I88" i="73"/>
  <c r="M813" i="73"/>
  <c r="I79" i="73"/>
  <c r="I454" i="73"/>
  <c r="I656" i="73"/>
  <c r="I26" i="73"/>
  <c r="M305" i="73"/>
  <c r="I687" i="73"/>
  <c r="M693" i="73"/>
  <c r="M29" i="73"/>
  <c r="M106" i="73"/>
  <c r="I298" i="73"/>
  <c r="I562" i="73"/>
  <c r="I582" i="73"/>
  <c r="M266" i="73"/>
  <c r="I399" i="73"/>
  <c r="I552" i="73"/>
  <c r="I329" i="73"/>
  <c r="I400" i="73"/>
  <c r="I816" i="73"/>
  <c r="I16" i="73"/>
  <c r="M262" i="73"/>
  <c r="I8" i="73"/>
  <c r="I327" i="73"/>
  <c r="I682" i="73"/>
  <c r="M644" i="73"/>
  <c r="I233" i="73"/>
  <c r="I1089" i="73"/>
  <c r="M819" i="73"/>
  <c r="I211" i="73"/>
  <c r="I237" i="73"/>
  <c r="I602" i="73"/>
  <c r="I618" i="73"/>
  <c r="I686" i="73"/>
  <c r="I70" i="73"/>
  <c r="M97" i="73"/>
  <c r="I100" i="73"/>
  <c r="I108" i="73"/>
  <c r="M348" i="73"/>
  <c r="M665" i="73"/>
  <c r="M677" i="73"/>
  <c r="I694" i="73"/>
  <c r="M763" i="73"/>
  <c r="I937" i="73"/>
  <c r="I583" i="73"/>
  <c r="I586" i="73"/>
  <c r="I647" i="73"/>
  <c r="I692" i="73"/>
  <c r="M23" i="73"/>
  <c r="I45" i="73"/>
  <c r="I90" i="73"/>
  <c r="M181" i="73"/>
  <c r="I401" i="73"/>
  <c r="M633" i="73"/>
  <c r="I744" i="73"/>
  <c r="M232" i="73"/>
  <c r="I248" i="73"/>
  <c r="I250" i="73"/>
  <c r="I252" i="73"/>
  <c r="M254" i="73"/>
  <c r="M259" i="73"/>
  <c r="I379" i="73"/>
  <c r="M388" i="73"/>
  <c r="I391" i="73"/>
  <c r="M398" i="73"/>
  <c r="M421" i="73"/>
  <c r="M526" i="73"/>
  <c r="I567" i="73"/>
  <c r="M646" i="73"/>
  <c r="M670" i="73"/>
  <c r="M691" i="73"/>
  <c r="M699" i="73"/>
  <c r="I708" i="73"/>
  <c r="I749" i="73"/>
  <c r="I832" i="73"/>
  <c r="M896" i="73"/>
  <c r="I945" i="73"/>
  <c r="I1091" i="73"/>
  <c r="Q259" i="73"/>
  <c r="I372" i="73"/>
  <c r="I473" i="73"/>
  <c r="I522" i="73"/>
  <c r="M631" i="73"/>
  <c r="I75" i="73"/>
  <c r="I236" i="73"/>
  <c r="I328" i="73"/>
  <c r="I377" i="73"/>
  <c r="I611" i="73"/>
  <c r="I645" i="73"/>
  <c r="I690" i="73"/>
  <c r="I706" i="73"/>
  <c r="I817" i="73"/>
  <c r="I932" i="73"/>
  <c r="I1092" i="73"/>
  <c r="O1599" i="73"/>
  <c r="O3" i="73" s="1"/>
  <c r="I9" i="73"/>
  <c r="I73" i="73"/>
  <c r="I229" i="73"/>
  <c r="I241" i="73"/>
  <c r="I249" i="73"/>
  <c r="I251" i="73"/>
  <c r="I268" i="73"/>
  <c r="I375" i="73"/>
  <c r="I402" i="73"/>
  <c r="M484" i="73"/>
  <c r="I627" i="73"/>
  <c r="I643" i="73"/>
  <c r="I704" i="73"/>
  <c r="M712" i="73"/>
  <c r="I750" i="73"/>
  <c r="I946" i="73"/>
  <c r="I1090" i="73"/>
  <c r="M49" i="73"/>
  <c r="I89" i="73"/>
  <c r="M221" i="73"/>
  <c r="M256" i="73"/>
  <c r="I458" i="73"/>
  <c r="I528" i="73"/>
  <c r="I566" i="73"/>
  <c r="I675" i="73"/>
  <c r="M701" i="73"/>
  <c r="I69" i="73"/>
  <c r="M171" i="73"/>
  <c r="M810" i="73"/>
  <c r="I39" i="73"/>
  <c r="I491" i="73"/>
  <c r="I577" i="73"/>
  <c r="I684" i="73"/>
  <c r="I1504" i="73"/>
  <c r="M46" i="73"/>
  <c r="M56" i="73"/>
  <c r="M178" i="73"/>
  <c r="M188" i="73"/>
  <c r="M213" i="73"/>
  <c r="M242" i="73"/>
  <c r="Q261" i="73"/>
  <c r="M325" i="73"/>
  <c r="M378" i="73"/>
  <c r="M530" i="73"/>
  <c r="M551" i="73"/>
  <c r="M585" i="73"/>
  <c r="M587" i="73"/>
  <c r="M592" i="73"/>
  <c r="M674" i="73"/>
  <c r="M681" i="73"/>
  <c r="M683" i="73"/>
  <c r="M707" i="73"/>
  <c r="M745" i="73"/>
  <c r="M752" i="73"/>
  <c r="M838" i="73"/>
  <c r="M938" i="73"/>
  <c r="M1506" i="73"/>
  <c r="I28" i="73"/>
  <c r="I63" i="73"/>
  <c r="I82" i="73"/>
  <c r="I104" i="73"/>
  <c r="I195" i="73"/>
  <c r="I200" i="73"/>
  <c r="I205" i="73"/>
  <c r="I220" i="73"/>
  <c r="I255" i="73"/>
  <c r="I261" i="73"/>
  <c r="I265" i="73"/>
  <c r="I386" i="73"/>
  <c r="I431" i="73"/>
  <c r="I483" i="73"/>
  <c r="I485" i="73"/>
  <c r="I548" i="73"/>
  <c r="I580" i="73"/>
  <c r="I632" i="73"/>
  <c r="I664" i="73"/>
  <c r="I666" i="73"/>
  <c r="I698" i="73"/>
  <c r="I700" i="73"/>
  <c r="I702" i="73"/>
  <c r="I711" i="73"/>
  <c r="I713" i="73"/>
  <c r="I764" i="73"/>
  <c r="I809" i="73"/>
  <c r="I811" i="73"/>
  <c r="I820" i="73"/>
  <c r="I835" i="73"/>
  <c r="I955" i="73"/>
  <c r="M1599" i="73" l="1"/>
  <c r="M3" i="73" s="1"/>
  <c r="I1599" i="73"/>
  <c r="I3" i="73" s="1"/>
  <c r="K36" i="69"/>
  <c r="I36" i="69"/>
  <c r="G36" i="69"/>
  <c r="K25" i="69"/>
  <c r="I25" i="69"/>
  <c r="G25" i="69"/>
  <c r="K2186" i="71"/>
  <c r="I2186" i="71"/>
  <c r="G2186" i="71"/>
  <c r="K2185" i="71"/>
  <c r="I2185" i="71"/>
  <c r="G2185" i="71"/>
  <c r="K2187" i="71"/>
  <c r="I2187" i="71"/>
  <c r="G2187" i="71"/>
  <c r="L77" i="69"/>
  <c r="I77" i="69"/>
  <c r="K2153" i="71" l="1"/>
  <c r="I2153" i="71"/>
  <c r="G2153" i="71"/>
  <c r="L2209" i="71"/>
  <c r="J2209" i="71"/>
  <c r="K2201" i="71"/>
  <c r="I2201" i="71"/>
  <c r="G2201" i="71"/>
  <c r="K2198" i="71"/>
  <c r="I2198" i="71"/>
  <c r="G2198" i="71"/>
  <c r="K2192" i="71"/>
  <c r="I2192" i="71"/>
  <c r="G2192" i="71"/>
  <c r="K2191" i="71"/>
  <c r="I2191" i="71"/>
  <c r="G2191" i="71"/>
  <c r="K2189" i="71"/>
  <c r="I2189" i="71"/>
  <c r="G2189" i="71"/>
  <c r="K2188" i="71"/>
  <c r="I2188" i="71"/>
  <c r="G2188" i="71"/>
  <c r="K2184" i="71"/>
  <c r="I2184" i="71"/>
  <c r="G2184" i="71"/>
  <c r="K2183" i="71"/>
  <c r="I2183" i="71"/>
  <c r="G2183" i="71"/>
  <c r="K2182" i="71"/>
  <c r="I2182" i="71"/>
  <c r="G2182" i="71"/>
  <c r="K2181" i="71"/>
  <c r="I2181" i="71"/>
  <c r="G2181" i="71"/>
  <c r="K2180" i="71"/>
  <c r="I2180" i="71"/>
  <c r="G2180" i="71"/>
  <c r="K2179" i="71"/>
  <c r="I2179" i="71"/>
  <c r="G2179" i="71"/>
  <c r="K2178" i="71"/>
  <c r="I2178" i="71"/>
  <c r="G2178" i="71"/>
  <c r="K2177" i="71"/>
  <c r="I2177" i="71"/>
  <c r="G2177" i="71"/>
  <c r="K2176" i="71"/>
  <c r="I2176" i="71"/>
  <c r="G2176" i="71"/>
  <c r="K2175" i="71"/>
  <c r="I2175" i="71"/>
  <c r="G2175" i="71"/>
  <c r="K2172" i="71"/>
  <c r="I2172" i="71"/>
  <c r="G2172" i="71"/>
  <c r="K2171" i="71"/>
  <c r="I2171" i="71"/>
  <c r="G2171" i="71"/>
  <c r="K2170" i="71"/>
  <c r="I2170" i="71"/>
  <c r="G2170" i="71"/>
  <c r="K2169" i="71"/>
  <c r="I2169" i="71"/>
  <c r="G2169" i="71"/>
  <c r="K2168" i="71"/>
  <c r="I2168" i="71"/>
  <c r="G2168" i="71"/>
  <c r="K2167" i="71"/>
  <c r="I2167" i="71"/>
  <c r="G2167" i="71"/>
  <c r="K2166" i="71"/>
  <c r="I2166" i="71"/>
  <c r="G2166" i="71"/>
  <c r="K2165" i="71"/>
  <c r="I2165" i="71"/>
  <c r="G2165" i="71"/>
  <c r="K2164" i="71"/>
  <c r="I2164" i="71"/>
  <c r="G2164" i="71"/>
  <c r="K2163" i="71"/>
  <c r="I2163" i="71"/>
  <c r="G2163" i="71"/>
  <c r="K2162" i="71"/>
  <c r="I2162" i="71"/>
  <c r="G2162" i="71"/>
  <c r="K2161" i="71"/>
  <c r="I2161" i="71"/>
  <c r="G2161" i="71"/>
  <c r="K2160" i="71"/>
  <c r="I2160" i="71"/>
  <c r="G2160" i="71"/>
  <c r="K2159" i="71"/>
  <c r="I2159" i="71"/>
  <c r="G2159" i="71"/>
  <c r="K2158" i="71"/>
  <c r="I2158" i="71"/>
  <c r="G2158" i="71"/>
  <c r="K2157" i="71"/>
  <c r="I2157" i="71"/>
  <c r="G2157" i="71"/>
  <c r="K2156" i="71"/>
  <c r="I2156" i="71"/>
  <c r="G2156" i="71"/>
  <c r="K2155" i="71"/>
  <c r="I2155" i="71"/>
  <c r="G2155" i="71"/>
  <c r="K2154" i="71"/>
  <c r="I2154" i="71"/>
  <c r="G2154" i="71"/>
  <c r="K2152" i="71"/>
  <c r="I2152" i="71"/>
  <c r="G2152" i="71"/>
  <c r="K2151" i="71"/>
  <c r="I2151" i="71"/>
  <c r="G2151" i="71"/>
  <c r="K2150" i="71"/>
  <c r="I2150" i="71"/>
  <c r="G2150" i="71"/>
  <c r="K2149" i="71"/>
  <c r="I2149" i="71"/>
  <c r="G2149" i="71"/>
  <c r="K2148" i="71"/>
  <c r="I2148" i="71"/>
  <c r="G2148" i="71"/>
  <c r="K2147" i="71"/>
  <c r="I2147" i="71"/>
  <c r="G2147" i="71"/>
  <c r="K2146" i="71"/>
  <c r="I2146" i="71"/>
  <c r="G2146" i="71"/>
  <c r="K2145" i="71"/>
  <c r="I2145" i="71"/>
  <c r="G2145" i="71"/>
  <c r="K2144" i="71"/>
  <c r="I2144" i="71"/>
  <c r="G2144" i="71"/>
  <c r="K2143" i="71"/>
  <c r="I2143" i="71"/>
  <c r="G2143" i="71"/>
  <c r="K2142" i="71"/>
  <c r="I2142" i="71"/>
  <c r="G2142" i="71"/>
  <c r="K2141" i="71"/>
  <c r="I2141" i="71"/>
  <c r="G2141" i="71"/>
  <c r="K2140" i="71"/>
  <c r="I2140" i="71"/>
  <c r="G2140" i="71"/>
  <c r="K2139" i="71"/>
  <c r="I2139" i="71"/>
  <c r="G2139" i="71"/>
  <c r="K2138" i="71"/>
  <c r="I2138" i="71"/>
  <c r="G2138" i="71"/>
  <c r="K2137" i="71"/>
  <c r="I2137" i="71"/>
  <c r="G2137" i="71"/>
  <c r="K2136" i="71"/>
  <c r="I2136" i="71"/>
  <c r="G2136" i="71"/>
  <c r="K2135" i="71"/>
  <c r="I2135" i="71"/>
  <c r="G2135" i="71"/>
  <c r="K2134" i="71"/>
  <c r="I2134" i="71"/>
  <c r="G2134" i="71"/>
  <c r="K2133" i="71"/>
  <c r="I2133" i="71"/>
  <c r="G2133" i="71"/>
  <c r="K2132" i="71"/>
  <c r="I2132" i="71"/>
  <c r="G2132" i="71"/>
  <c r="K2131" i="71"/>
  <c r="I2131" i="71"/>
  <c r="G2131" i="71"/>
  <c r="K2130" i="71"/>
  <c r="I2130" i="71"/>
  <c r="G2130" i="71"/>
  <c r="K2129" i="71"/>
  <c r="I2129" i="71"/>
  <c r="G2129" i="71"/>
  <c r="K2128" i="71"/>
  <c r="I2128" i="71"/>
  <c r="G2128" i="71"/>
  <c r="K2127" i="71"/>
  <c r="I2127" i="71"/>
  <c r="G2127" i="71"/>
  <c r="K2126" i="71"/>
  <c r="I2126" i="71"/>
  <c r="G2126" i="71"/>
  <c r="K2125" i="71"/>
  <c r="I2125" i="71"/>
  <c r="G2125" i="71"/>
  <c r="K2124" i="71"/>
  <c r="I2124" i="71"/>
  <c r="G2124" i="71"/>
  <c r="K2123" i="71"/>
  <c r="I2123" i="71"/>
  <c r="G2123" i="71"/>
  <c r="K2122" i="71"/>
  <c r="I2122" i="71"/>
  <c r="G2122" i="71"/>
  <c r="K2121" i="71"/>
  <c r="I2121" i="71"/>
  <c r="G2121" i="71"/>
  <c r="K2120" i="71"/>
  <c r="I2120" i="71"/>
  <c r="G2120" i="71"/>
  <c r="K2119" i="71"/>
  <c r="I2119" i="71"/>
  <c r="G2119" i="71"/>
  <c r="K2118" i="71"/>
  <c r="I2118" i="71"/>
  <c r="G2118" i="71"/>
  <c r="K2117" i="71"/>
  <c r="I2117" i="71"/>
  <c r="G2117" i="71"/>
  <c r="K2116" i="71"/>
  <c r="I2116" i="71"/>
  <c r="G2116" i="71"/>
  <c r="K2115" i="71"/>
  <c r="I2115" i="71"/>
  <c r="G2115" i="71"/>
  <c r="K2114" i="71"/>
  <c r="I2114" i="71"/>
  <c r="G2114" i="71"/>
  <c r="K2113" i="71"/>
  <c r="I2113" i="71"/>
  <c r="G2113" i="71"/>
  <c r="K2112" i="71"/>
  <c r="I2112" i="71"/>
  <c r="G2112" i="71"/>
  <c r="K2111" i="71"/>
  <c r="I2111" i="71"/>
  <c r="G2111" i="71"/>
  <c r="K2110" i="71"/>
  <c r="I2110" i="71"/>
  <c r="G2110" i="71"/>
  <c r="K2109" i="71"/>
  <c r="I2109" i="71"/>
  <c r="G2109" i="71"/>
  <c r="K2108" i="71"/>
  <c r="I2108" i="71"/>
  <c r="G2108" i="71"/>
  <c r="K2107" i="71"/>
  <c r="I2107" i="71"/>
  <c r="G2107" i="71"/>
  <c r="K2106" i="71"/>
  <c r="I2106" i="71"/>
  <c r="G2106" i="71"/>
  <c r="K2105" i="71"/>
  <c r="I2105" i="71"/>
  <c r="G2105" i="71"/>
  <c r="K2104" i="71"/>
  <c r="I2104" i="71"/>
  <c r="G2104" i="71"/>
  <c r="K2103" i="71"/>
  <c r="I2103" i="71"/>
  <c r="G2103" i="71"/>
  <c r="K2102" i="71"/>
  <c r="I2102" i="71"/>
  <c r="G2102" i="71"/>
  <c r="K2101" i="71"/>
  <c r="I2101" i="71"/>
  <c r="G2101" i="71"/>
  <c r="K2100" i="71"/>
  <c r="I2100" i="71"/>
  <c r="G2100" i="71"/>
  <c r="K2099" i="71"/>
  <c r="I2099" i="71"/>
  <c r="G2099" i="71"/>
  <c r="K2098" i="71"/>
  <c r="I2098" i="71"/>
  <c r="G2098" i="71"/>
  <c r="K2097" i="71"/>
  <c r="I2097" i="71"/>
  <c r="G2097" i="71"/>
  <c r="K2096" i="71"/>
  <c r="I2096" i="71"/>
  <c r="G2096" i="71"/>
  <c r="K2095" i="71"/>
  <c r="I2095" i="71"/>
  <c r="G2095" i="71"/>
  <c r="K2094" i="71"/>
  <c r="I2094" i="71"/>
  <c r="G2094" i="71"/>
  <c r="K2093" i="71"/>
  <c r="I2093" i="71"/>
  <c r="G2093" i="71"/>
  <c r="K2092" i="71"/>
  <c r="I2092" i="71"/>
  <c r="G2092" i="71"/>
  <c r="K2091" i="71"/>
  <c r="I2091" i="71"/>
  <c r="G2091" i="71"/>
  <c r="K2090" i="71"/>
  <c r="I2090" i="71"/>
  <c r="G2090" i="71"/>
  <c r="K2089" i="71"/>
  <c r="I2089" i="71"/>
  <c r="G2089" i="71"/>
  <c r="K2088" i="71"/>
  <c r="I2088" i="71"/>
  <c r="G2088" i="71"/>
  <c r="K2087" i="71"/>
  <c r="I2087" i="71"/>
  <c r="G2087" i="71"/>
  <c r="K2086" i="71"/>
  <c r="I2086" i="71"/>
  <c r="G2086" i="71"/>
  <c r="K2085" i="71"/>
  <c r="I2085" i="71"/>
  <c r="G2085" i="71"/>
  <c r="K2084" i="71"/>
  <c r="I2084" i="71"/>
  <c r="G2084" i="71"/>
  <c r="K2083" i="71"/>
  <c r="I2083" i="71"/>
  <c r="G2083" i="71"/>
  <c r="K2082" i="71"/>
  <c r="I2082" i="71"/>
  <c r="G2082" i="71"/>
  <c r="K2081" i="71"/>
  <c r="I2081" i="71"/>
  <c r="G2081" i="71"/>
  <c r="K2080" i="71"/>
  <c r="I2080" i="71"/>
  <c r="G2080" i="71"/>
  <c r="K2079" i="71"/>
  <c r="I2079" i="71"/>
  <c r="G2079" i="71"/>
  <c r="K2078" i="71"/>
  <c r="I2078" i="71"/>
  <c r="G2078" i="71"/>
  <c r="K2077" i="71"/>
  <c r="I2077" i="71"/>
  <c r="G2077" i="71"/>
  <c r="K2076" i="71"/>
  <c r="I2076" i="71"/>
  <c r="G2076" i="71"/>
  <c r="K2075" i="71"/>
  <c r="I2075" i="71"/>
  <c r="G2075" i="71"/>
  <c r="K2074" i="71"/>
  <c r="I2074" i="71"/>
  <c r="G2074" i="71"/>
  <c r="K2073" i="71"/>
  <c r="I2073" i="71"/>
  <c r="G2073" i="71"/>
  <c r="K2072" i="71"/>
  <c r="I2072" i="71"/>
  <c r="G2072" i="71"/>
  <c r="K2071" i="71"/>
  <c r="I2071" i="71"/>
  <c r="G2071" i="71"/>
  <c r="M2070" i="71"/>
  <c r="K2070" i="71" s="1"/>
  <c r="I2070" i="71"/>
  <c r="K2069" i="71"/>
  <c r="I2069" i="71"/>
  <c r="G2069" i="71"/>
  <c r="K2068" i="71"/>
  <c r="I2068" i="71"/>
  <c r="G2068" i="71"/>
  <c r="K2067" i="71"/>
  <c r="I2067" i="71"/>
  <c r="G2067" i="71"/>
  <c r="K2066" i="71"/>
  <c r="I2066" i="71"/>
  <c r="G2066" i="71"/>
  <c r="K2065" i="71"/>
  <c r="I2065" i="71"/>
  <c r="G2065" i="71"/>
  <c r="K2064" i="71"/>
  <c r="I2064" i="71"/>
  <c r="G2064" i="71"/>
  <c r="K2063" i="71"/>
  <c r="I2063" i="71"/>
  <c r="G2063" i="71"/>
  <c r="K2062" i="71"/>
  <c r="I2062" i="71"/>
  <c r="G2062" i="71"/>
  <c r="K2061" i="71"/>
  <c r="I2061" i="71"/>
  <c r="G2061" i="71"/>
  <c r="K2060" i="71"/>
  <c r="I2060" i="71"/>
  <c r="G2060" i="71"/>
  <c r="K2059" i="71"/>
  <c r="I2059" i="71"/>
  <c r="G2059" i="71"/>
  <c r="K2058" i="71"/>
  <c r="I2058" i="71"/>
  <c r="G2058" i="71"/>
  <c r="K2057" i="71"/>
  <c r="I2057" i="71"/>
  <c r="G2057" i="71"/>
  <c r="K2056" i="71"/>
  <c r="I2056" i="71"/>
  <c r="G2056" i="71"/>
  <c r="K2055" i="71"/>
  <c r="I2055" i="71"/>
  <c r="G2055" i="71"/>
  <c r="K2054" i="71"/>
  <c r="I2054" i="71"/>
  <c r="G2054" i="71"/>
  <c r="K2053" i="71"/>
  <c r="I2053" i="71"/>
  <c r="G2053" i="71"/>
  <c r="K2052" i="71"/>
  <c r="I2052" i="71"/>
  <c r="G2052" i="71"/>
  <c r="K2051" i="71"/>
  <c r="I2051" i="71"/>
  <c r="G2051" i="71"/>
  <c r="K2050" i="71"/>
  <c r="I2050" i="71"/>
  <c r="G2050" i="71"/>
  <c r="K2049" i="71"/>
  <c r="I2049" i="71"/>
  <c r="G2049" i="71"/>
  <c r="K2048" i="71"/>
  <c r="I2048" i="71"/>
  <c r="G2048" i="71"/>
  <c r="K2047" i="71"/>
  <c r="I2047" i="71"/>
  <c r="G2047" i="71"/>
  <c r="K2046" i="71"/>
  <c r="I2046" i="71"/>
  <c r="G2046" i="71"/>
  <c r="K2045" i="71"/>
  <c r="I2045" i="71"/>
  <c r="G2045" i="71"/>
  <c r="K2044" i="71"/>
  <c r="I2044" i="71"/>
  <c r="G2044" i="71"/>
  <c r="K2043" i="71"/>
  <c r="I2043" i="71"/>
  <c r="G2043" i="71"/>
  <c r="K2042" i="71"/>
  <c r="I2042" i="71"/>
  <c r="G2042" i="71"/>
  <c r="K2041" i="71"/>
  <c r="I2041" i="71"/>
  <c r="G2041" i="71"/>
  <c r="K2040" i="71"/>
  <c r="I2040" i="71"/>
  <c r="G2040" i="71"/>
  <c r="K2039" i="71"/>
  <c r="I2039" i="71"/>
  <c r="G2039" i="71"/>
  <c r="K2038" i="71"/>
  <c r="I2038" i="71"/>
  <c r="G2038" i="71"/>
  <c r="K2037" i="71"/>
  <c r="I2037" i="71"/>
  <c r="G2037" i="71"/>
  <c r="K2036" i="71"/>
  <c r="I2036" i="71"/>
  <c r="G2036" i="71"/>
  <c r="K2035" i="71"/>
  <c r="I2035" i="71"/>
  <c r="G2035" i="71"/>
  <c r="K2034" i="71"/>
  <c r="I2034" i="71"/>
  <c r="G2034" i="71"/>
  <c r="K2033" i="71"/>
  <c r="I2033" i="71"/>
  <c r="G2033" i="71"/>
  <c r="K2032" i="71"/>
  <c r="I2032" i="71"/>
  <c r="G2032" i="71"/>
  <c r="K2031" i="71"/>
  <c r="I2031" i="71"/>
  <c r="G2031" i="71"/>
  <c r="K2030" i="71"/>
  <c r="I2030" i="71"/>
  <c r="G2030" i="71"/>
  <c r="K2029" i="71"/>
  <c r="I2029" i="71"/>
  <c r="G2029" i="71"/>
  <c r="K2028" i="71"/>
  <c r="I2028" i="71"/>
  <c r="G2028" i="71"/>
  <c r="K2027" i="71"/>
  <c r="I2027" i="71"/>
  <c r="G2027" i="71"/>
  <c r="K2026" i="71"/>
  <c r="I2026" i="71"/>
  <c r="G2026" i="71"/>
  <c r="K2025" i="71"/>
  <c r="I2025" i="71"/>
  <c r="G2025" i="71"/>
  <c r="K2024" i="71"/>
  <c r="I2024" i="71"/>
  <c r="G2024" i="71"/>
  <c r="K2023" i="71"/>
  <c r="I2023" i="71"/>
  <c r="G2023" i="71"/>
  <c r="K2022" i="71"/>
  <c r="I2022" i="71"/>
  <c r="G2022" i="71"/>
  <c r="K2021" i="71"/>
  <c r="I2021" i="71"/>
  <c r="G2021" i="71"/>
  <c r="K2020" i="71"/>
  <c r="I2020" i="71"/>
  <c r="G2020" i="71"/>
  <c r="K2019" i="71"/>
  <c r="I2019" i="71"/>
  <c r="G2019" i="71"/>
  <c r="K2018" i="71"/>
  <c r="I2018" i="71"/>
  <c r="G2018" i="71"/>
  <c r="K2017" i="71"/>
  <c r="I2017" i="71"/>
  <c r="G2017" i="71"/>
  <c r="K2016" i="71"/>
  <c r="I2016" i="71"/>
  <c r="G2016" i="71"/>
  <c r="K2015" i="71"/>
  <c r="I2015" i="71"/>
  <c r="G2015" i="71"/>
  <c r="K2014" i="71"/>
  <c r="I2014" i="71"/>
  <c r="G2014" i="71"/>
  <c r="K2013" i="71"/>
  <c r="I2013" i="71"/>
  <c r="G2013" i="71"/>
  <c r="K2012" i="71"/>
  <c r="I2012" i="71"/>
  <c r="G2012" i="71"/>
  <c r="K2011" i="71"/>
  <c r="I2011" i="71"/>
  <c r="G2011" i="71"/>
  <c r="K2010" i="71"/>
  <c r="I2010" i="71"/>
  <c r="G2010" i="71"/>
  <c r="K2009" i="71"/>
  <c r="I2009" i="71"/>
  <c r="G2009" i="71"/>
  <c r="K2008" i="71"/>
  <c r="I2008" i="71"/>
  <c r="G2008" i="71"/>
  <c r="K2007" i="71"/>
  <c r="I2007" i="71"/>
  <c r="G2007" i="71"/>
  <c r="K2006" i="71"/>
  <c r="I2006" i="71"/>
  <c r="G2006" i="71"/>
  <c r="K2005" i="71"/>
  <c r="I2005" i="71"/>
  <c r="G2005" i="71"/>
  <c r="K2004" i="71"/>
  <c r="I2004" i="71"/>
  <c r="G2004" i="71"/>
  <c r="K2003" i="71"/>
  <c r="I2003" i="71"/>
  <c r="G2003" i="71"/>
  <c r="K2002" i="71"/>
  <c r="I2002" i="71"/>
  <c r="G2002" i="71"/>
  <c r="K2001" i="71"/>
  <c r="I2001" i="71"/>
  <c r="G2001" i="71"/>
  <c r="K2000" i="71"/>
  <c r="I2000" i="71"/>
  <c r="G2000" i="71"/>
  <c r="K1999" i="71"/>
  <c r="I1999" i="71"/>
  <c r="G1999" i="71"/>
  <c r="K1998" i="71"/>
  <c r="I1998" i="71"/>
  <c r="G1998" i="71"/>
  <c r="K1997" i="71"/>
  <c r="I1997" i="71"/>
  <c r="G1997" i="71"/>
  <c r="K1996" i="71"/>
  <c r="I1996" i="71"/>
  <c r="G1996" i="71"/>
  <c r="K1995" i="71"/>
  <c r="I1995" i="71"/>
  <c r="G1995" i="71"/>
  <c r="K1994" i="71"/>
  <c r="I1994" i="71"/>
  <c r="G1994" i="71"/>
  <c r="K1993" i="71"/>
  <c r="I1993" i="71"/>
  <c r="G1993" i="71"/>
  <c r="K1992" i="71"/>
  <c r="I1992" i="71"/>
  <c r="G1992" i="71"/>
  <c r="K1991" i="71"/>
  <c r="I1991" i="71"/>
  <c r="G1991" i="71"/>
  <c r="K1990" i="71"/>
  <c r="I1990" i="71"/>
  <c r="G1990" i="71"/>
  <c r="K1989" i="71"/>
  <c r="I1989" i="71"/>
  <c r="G1989" i="71"/>
  <c r="K1988" i="71"/>
  <c r="I1988" i="71"/>
  <c r="G1988" i="71"/>
  <c r="K1987" i="71"/>
  <c r="I1987" i="71"/>
  <c r="G1987" i="71"/>
  <c r="K1986" i="71"/>
  <c r="I1986" i="71"/>
  <c r="G1986" i="71"/>
  <c r="K1985" i="71"/>
  <c r="I1985" i="71"/>
  <c r="G1985" i="71"/>
  <c r="K1984" i="71"/>
  <c r="I1984" i="71"/>
  <c r="G1984" i="71"/>
  <c r="K1983" i="71"/>
  <c r="I1983" i="71"/>
  <c r="G1983" i="71"/>
  <c r="K1982" i="71"/>
  <c r="I1982" i="71"/>
  <c r="G1982" i="71"/>
  <c r="K1981" i="71"/>
  <c r="I1981" i="71"/>
  <c r="G1981" i="71"/>
  <c r="K1980" i="71"/>
  <c r="I1980" i="71"/>
  <c r="G1980" i="71"/>
  <c r="K1979" i="71"/>
  <c r="I1979" i="71"/>
  <c r="G1979" i="71"/>
  <c r="K1978" i="71"/>
  <c r="I1978" i="71"/>
  <c r="G1978" i="71"/>
  <c r="K1977" i="71"/>
  <c r="I1977" i="71"/>
  <c r="G1977" i="71"/>
  <c r="K1976" i="71"/>
  <c r="I1976" i="71"/>
  <c r="G1976" i="71"/>
  <c r="K1975" i="71"/>
  <c r="I1975" i="71"/>
  <c r="G1975" i="71"/>
  <c r="K1974" i="71"/>
  <c r="I1974" i="71"/>
  <c r="G1974" i="71"/>
  <c r="K1973" i="71"/>
  <c r="I1973" i="71"/>
  <c r="G1973" i="71"/>
  <c r="K1972" i="71"/>
  <c r="I1972" i="71"/>
  <c r="G1972" i="71"/>
  <c r="K1971" i="71"/>
  <c r="I1971" i="71"/>
  <c r="G1971" i="71"/>
  <c r="K1970" i="71"/>
  <c r="I1970" i="71"/>
  <c r="G1970" i="71"/>
  <c r="K1969" i="71"/>
  <c r="I1969" i="71"/>
  <c r="G1969" i="71"/>
  <c r="K1968" i="71"/>
  <c r="I1968" i="71"/>
  <c r="G1968" i="71"/>
  <c r="M1967" i="71"/>
  <c r="K1967" i="71" s="1"/>
  <c r="I1967" i="71"/>
  <c r="K1966" i="71"/>
  <c r="I1966" i="71"/>
  <c r="G1966" i="71"/>
  <c r="K1965" i="71"/>
  <c r="I1965" i="71"/>
  <c r="G1965" i="71"/>
  <c r="K1964" i="71"/>
  <c r="I1964" i="71"/>
  <c r="G1964" i="71"/>
  <c r="K1963" i="71"/>
  <c r="I1963" i="71"/>
  <c r="G1963" i="71"/>
  <c r="K1962" i="71"/>
  <c r="I1962" i="71"/>
  <c r="G1962" i="71"/>
  <c r="K1961" i="71"/>
  <c r="I1961" i="71"/>
  <c r="G1961" i="71"/>
  <c r="K1960" i="71"/>
  <c r="I1960" i="71"/>
  <c r="G1960" i="71"/>
  <c r="K1959" i="71"/>
  <c r="I1959" i="71"/>
  <c r="G1959" i="71"/>
  <c r="K1958" i="71"/>
  <c r="I1958" i="71"/>
  <c r="G1958" i="71"/>
  <c r="K1957" i="71"/>
  <c r="I1957" i="71"/>
  <c r="G1957" i="71"/>
  <c r="K1956" i="71"/>
  <c r="I1956" i="71"/>
  <c r="G1956" i="71"/>
  <c r="K1955" i="71"/>
  <c r="I1955" i="71"/>
  <c r="G1955" i="71"/>
  <c r="K1954" i="71"/>
  <c r="I1954" i="71"/>
  <c r="G1954" i="71"/>
  <c r="K1953" i="71"/>
  <c r="I1953" i="71"/>
  <c r="G1953" i="71"/>
  <c r="K1952" i="71"/>
  <c r="I1952" i="71"/>
  <c r="G1952" i="71"/>
  <c r="K1951" i="71"/>
  <c r="I1951" i="71"/>
  <c r="G1951" i="71"/>
  <c r="K1950" i="71"/>
  <c r="I1950" i="71"/>
  <c r="G1950" i="71"/>
  <c r="K1949" i="71"/>
  <c r="I1949" i="71"/>
  <c r="G1949" i="71"/>
  <c r="K1948" i="71"/>
  <c r="I1948" i="71"/>
  <c r="G1948" i="71"/>
  <c r="K1947" i="71"/>
  <c r="I1947" i="71"/>
  <c r="G1947" i="71"/>
  <c r="K1946" i="71"/>
  <c r="I1946" i="71"/>
  <c r="G1946" i="71"/>
  <c r="K1945" i="71"/>
  <c r="I1945" i="71"/>
  <c r="G1945" i="71"/>
  <c r="K1944" i="71"/>
  <c r="I1944" i="71"/>
  <c r="G1944" i="71"/>
  <c r="K1943" i="71"/>
  <c r="I1943" i="71"/>
  <c r="G1943" i="71"/>
  <c r="K1942" i="71"/>
  <c r="I1942" i="71"/>
  <c r="G1942" i="71"/>
  <c r="K1941" i="71"/>
  <c r="I1941" i="71"/>
  <c r="G1941" i="71"/>
  <c r="K1940" i="71"/>
  <c r="I1940" i="71"/>
  <c r="G1940" i="71"/>
  <c r="K1939" i="71"/>
  <c r="I1939" i="71"/>
  <c r="G1939" i="71"/>
  <c r="K1938" i="71"/>
  <c r="I1938" i="71"/>
  <c r="G1938" i="71"/>
  <c r="K1937" i="71"/>
  <c r="I1937" i="71"/>
  <c r="G1937" i="71"/>
  <c r="K1936" i="71"/>
  <c r="I1936" i="71"/>
  <c r="G1936" i="71"/>
  <c r="K1935" i="71"/>
  <c r="I1935" i="71"/>
  <c r="G1935" i="71"/>
  <c r="K1934" i="71"/>
  <c r="I1934" i="71"/>
  <c r="G1934" i="71"/>
  <c r="K1933" i="71"/>
  <c r="I1933" i="71"/>
  <c r="G1933" i="71"/>
  <c r="K1932" i="71"/>
  <c r="I1932" i="71"/>
  <c r="G1932" i="71"/>
  <c r="K1931" i="71"/>
  <c r="I1931" i="71"/>
  <c r="G1931" i="71"/>
  <c r="K1930" i="71"/>
  <c r="I1930" i="71"/>
  <c r="G1930" i="71"/>
  <c r="K1929" i="71"/>
  <c r="I1929" i="71"/>
  <c r="G1929" i="71"/>
  <c r="K1928" i="71"/>
  <c r="I1928" i="71"/>
  <c r="G1928" i="71"/>
  <c r="K1927" i="71"/>
  <c r="I1927" i="71"/>
  <c r="G1927" i="71"/>
  <c r="K1926" i="71"/>
  <c r="I1926" i="71"/>
  <c r="G1926" i="71"/>
  <c r="K1925" i="71"/>
  <c r="I1925" i="71"/>
  <c r="G1925" i="71"/>
  <c r="K1924" i="71"/>
  <c r="I1924" i="71"/>
  <c r="G1924" i="71"/>
  <c r="K1923" i="71"/>
  <c r="I1923" i="71"/>
  <c r="G1923" i="71"/>
  <c r="K1922" i="71"/>
  <c r="I1922" i="71"/>
  <c r="G1922" i="71"/>
  <c r="K1921" i="71"/>
  <c r="I1921" i="71"/>
  <c r="G1921" i="71"/>
  <c r="K1920" i="71"/>
  <c r="I1920" i="71"/>
  <c r="G1920" i="71"/>
  <c r="K1919" i="71"/>
  <c r="I1919" i="71"/>
  <c r="G1919" i="71"/>
  <c r="K1918" i="71"/>
  <c r="I1918" i="71"/>
  <c r="G1918" i="71"/>
  <c r="K1917" i="71"/>
  <c r="I1917" i="71"/>
  <c r="G1917" i="71"/>
  <c r="K1916" i="71"/>
  <c r="I1916" i="71"/>
  <c r="G1916" i="71"/>
  <c r="K1915" i="71"/>
  <c r="I1915" i="71"/>
  <c r="G1915" i="71"/>
  <c r="K1914" i="71"/>
  <c r="I1914" i="71"/>
  <c r="G1914" i="71"/>
  <c r="K1913" i="71"/>
  <c r="I1913" i="71"/>
  <c r="G1913" i="71"/>
  <c r="K1912" i="71"/>
  <c r="I1912" i="71"/>
  <c r="G1912" i="71"/>
  <c r="K1911" i="71"/>
  <c r="I1911" i="71"/>
  <c r="G1911" i="71"/>
  <c r="K1910" i="71"/>
  <c r="I1910" i="71"/>
  <c r="G1910" i="71"/>
  <c r="K1909" i="71"/>
  <c r="I1909" i="71"/>
  <c r="G1909" i="71"/>
  <c r="K1908" i="71"/>
  <c r="I1908" i="71"/>
  <c r="G1908" i="71"/>
  <c r="K1907" i="71"/>
  <c r="I1907" i="71"/>
  <c r="G1907" i="71"/>
  <c r="K1906" i="71"/>
  <c r="I1906" i="71"/>
  <c r="G1906" i="71"/>
  <c r="K1905" i="71"/>
  <c r="I1905" i="71"/>
  <c r="G1905" i="71"/>
  <c r="K1904" i="71"/>
  <c r="I1904" i="71"/>
  <c r="G1904" i="71"/>
  <c r="K1903" i="71"/>
  <c r="I1903" i="71"/>
  <c r="G1903" i="71"/>
  <c r="K1902" i="71"/>
  <c r="I1902" i="71"/>
  <c r="G1902" i="71"/>
  <c r="K1901" i="71"/>
  <c r="I1901" i="71"/>
  <c r="G1901" i="71"/>
  <c r="K1900" i="71"/>
  <c r="I1900" i="71"/>
  <c r="G1900" i="71"/>
  <c r="K1899" i="71"/>
  <c r="I1899" i="71"/>
  <c r="G1899" i="71"/>
  <c r="K1898" i="71"/>
  <c r="I1898" i="71"/>
  <c r="G1898" i="71"/>
  <c r="K1897" i="71"/>
  <c r="I1897" i="71"/>
  <c r="G1897" i="71"/>
  <c r="K1896" i="71"/>
  <c r="I1896" i="71"/>
  <c r="G1896" i="71"/>
  <c r="K1895" i="71"/>
  <c r="I1895" i="71"/>
  <c r="G1895" i="71"/>
  <c r="K1894" i="71"/>
  <c r="I1894" i="71"/>
  <c r="G1894" i="71"/>
  <c r="K1893" i="71"/>
  <c r="I1893" i="71"/>
  <c r="G1893" i="71"/>
  <c r="K1892" i="71"/>
  <c r="I1892" i="71"/>
  <c r="G1892" i="71"/>
  <c r="K1891" i="71"/>
  <c r="I1891" i="71"/>
  <c r="G1891" i="71"/>
  <c r="K1890" i="71"/>
  <c r="I1890" i="71"/>
  <c r="G1890" i="71"/>
  <c r="K1889" i="71"/>
  <c r="I1889" i="71"/>
  <c r="G1889" i="71"/>
  <c r="K1888" i="71"/>
  <c r="I1888" i="71"/>
  <c r="G1888" i="71"/>
  <c r="K1887" i="71"/>
  <c r="I1887" i="71"/>
  <c r="G1887" i="71"/>
  <c r="K1886" i="71"/>
  <c r="I1886" i="71"/>
  <c r="G1886" i="71"/>
  <c r="K1885" i="71"/>
  <c r="I1885" i="71"/>
  <c r="G1885" i="71"/>
  <c r="K1884" i="71"/>
  <c r="I1884" i="71"/>
  <c r="G1884" i="71"/>
  <c r="K1883" i="71"/>
  <c r="I1883" i="71"/>
  <c r="G1883" i="71"/>
  <c r="K1882" i="71"/>
  <c r="I1882" i="71"/>
  <c r="G1882" i="71"/>
  <c r="K1881" i="71"/>
  <c r="I1881" i="71"/>
  <c r="G1881" i="71"/>
  <c r="K1880" i="71"/>
  <c r="I1880" i="71"/>
  <c r="G1880" i="71"/>
  <c r="K1879" i="71"/>
  <c r="I1879" i="71"/>
  <c r="G1879" i="71"/>
  <c r="K1878" i="71"/>
  <c r="I1878" i="71"/>
  <c r="G1878" i="71"/>
  <c r="K1877" i="71"/>
  <c r="I1877" i="71"/>
  <c r="G1877" i="71"/>
  <c r="K1876" i="71"/>
  <c r="I1876" i="71"/>
  <c r="G1876" i="71"/>
  <c r="K1875" i="71"/>
  <c r="I1875" i="71"/>
  <c r="G1875" i="71"/>
  <c r="K1874" i="71"/>
  <c r="I1874" i="71"/>
  <c r="G1874" i="71"/>
  <c r="K1873" i="71"/>
  <c r="I1873" i="71"/>
  <c r="G1873" i="71"/>
  <c r="K1872" i="71"/>
  <c r="I1872" i="71"/>
  <c r="G1872" i="71"/>
  <c r="K1871" i="71"/>
  <c r="I1871" i="71"/>
  <c r="G1871" i="71"/>
  <c r="K1870" i="71"/>
  <c r="I1870" i="71"/>
  <c r="G1870" i="71"/>
  <c r="K1869" i="71"/>
  <c r="I1869" i="71"/>
  <c r="G1869" i="71"/>
  <c r="K1868" i="71"/>
  <c r="I1868" i="71"/>
  <c r="G1868" i="71"/>
  <c r="K1867" i="71"/>
  <c r="I1867" i="71"/>
  <c r="G1867" i="71"/>
  <c r="K1866" i="71"/>
  <c r="I1866" i="71"/>
  <c r="G1866" i="71"/>
  <c r="K1865" i="71"/>
  <c r="I1865" i="71"/>
  <c r="G1865" i="71"/>
  <c r="K1864" i="71"/>
  <c r="I1864" i="71"/>
  <c r="G1864" i="71"/>
  <c r="K1863" i="71"/>
  <c r="I1863" i="71"/>
  <c r="G1863" i="71"/>
  <c r="K1862" i="71"/>
  <c r="I1862" i="71"/>
  <c r="G1862" i="71"/>
  <c r="K1861" i="71"/>
  <c r="I1861" i="71"/>
  <c r="G1861" i="71"/>
  <c r="K1860" i="71"/>
  <c r="I1860" i="71"/>
  <c r="G1860" i="71"/>
  <c r="K1859" i="71"/>
  <c r="I1859" i="71"/>
  <c r="G1859" i="71"/>
  <c r="K1858" i="71"/>
  <c r="I1858" i="71"/>
  <c r="G1858" i="71"/>
  <c r="K1857" i="71"/>
  <c r="I1857" i="71"/>
  <c r="G1857" i="71"/>
  <c r="K1856" i="71"/>
  <c r="I1856" i="71"/>
  <c r="G1856" i="71"/>
  <c r="K1855" i="71"/>
  <c r="I1855" i="71"/>
  <c r="G1855" i="71"/>
  <c r="K1854" i="71"/>
  <c r="I1854" i="71"/>
  <c r="G1854" i="71"/>
  <c r="K1853" i="71"/>
  <c r="I1853" i="71"/>
  <c r="G1853" i="71"/>
  <c r="K1852" i="71"/>
  <c r="I1852" i="71"/>
  <c r="G1852" i="71"/>
  <c r="K1851" i="71"/>
  <c r="I1851" i="71"/>
  <c r="G1851" i="71"/>
  <c r="K1850" i="71"/>
  <c r="I1850" i="71"/>
  <c r="G1850" i="71"/>
  <c r="K1849" i="71"/>
  <c r="I1849" i="71"/>
  <c r="G1849" i="71"/>
  <c r="K1848" i="71"/>
  <c r="I1848" i="71"/>
  <c r="G1848" i="71"/>
  <c r="K1847" i="71"/>
  <c r="I1847" i="71"/>
  <c r="G1847" i="71"/>
  <c r="K1846" i="71"/>
  <c r="I1846" i="71"/>
  <c r="G1846" i="71"/>
  <c r="K1845" i="71"/>
  <c r="I1845" i="71"/>
  <c r="G1845" i="71"/>
  <c r="K1844" i="71"/>
  <c r="I1844" i="71"/>
  <c r="G1844" i="71"/>
  <c r="K1843" i="71"/>
  <c r="I1843" i="71"/>
  <c r="G1843" i="71"/>
  <c r="K1842" i="71"/>
  <c r="I1842" i="71"/>
  <c r="G1842" i="71"/>
  <c r="K1841" i="71"/>
  <c r="I1841" i="71"/>
  <c r="G1841" i="71"/>
  <c r="K1840" i="71"/>
  <c r="I1840" i="71"/>
  <c r="G1840" i="71"/>
  <c r="K1839" i="71"/>
  <c r="I1839" i="71"/>
  <c r="G1839" i="71"/>
  <c r="K1838" i="71"/>
  <c r="I1838" i="71"/>
  <c r="G1838" i="71"/>
  <c r="K1837" i="71"/>
  <c r="I1837" i="71"/>
  <c r="G1837" i="71"/>
  <c r="K1836" i="71"/>
  <c r="I1836" i="71"/>
  <c r="G1836" i="71"/>
  <c r="K1835" i="71"/>
  <c r="I1835" i="71"/>
  <c r="G1835" i="71"/>
  <c r="K1834" i="71"/>
  <c r="I1834" i="71"/>
  <c r="G1834" i="71"/>
  <c r="K1833" i="71"/>
  <c r="I1833" i="71"/>
  <c r="G1833" i="71"/>
  <c r="K1832" i="71"/>
  <c r="I1832" i="71"/>
  <c r="G1832" i="71"/>
  <c r="K1831" i="71"/>
  <c r="I1831" i="71"/>
  <c r="G1831" i="71"/>
  <c r="K1830" i="71"/>
  <c r="I1830" i="71"/>
  <c r="G1830" i="71"/>
  <c r="K1829" i="71"/>
  <c r="I1829" i="71"/>
  <c r="G1829" i="71"/>
  <c r="K1828" i="71"/>
  <c r="I1828" i="71"/>
  <c r="G1828" i="71"/>
  <c r="K1827" i="71"/>
  <c r="I1827" i="71"/>
  <c r="G1827" i="71"/>
  <c r="K1826" i="71"/>
  <c r="I1826" i="71"/>
  <c r="G1826" i="71"/>
  <c r="K1825" i="71"/>
  <c r="I1825" i="71"/>
  <c r="G1825" i="71"/>
  <c r="K1824" i="71"/>
  <c r="I1824" i="71"/>
  <c r="G1824" i="71"/>
  <c r="K1823" i="71"/>
  <c r="I1823" i="71"/>
  <c r="G1823" i="71"/>
  <c r="K1822" i="71"/>
  <c r="I1822" i="71"/>
  <c r="G1822" i="71"/>
  <c r="K1821" i="71"/>
  <c r="I1821" i="71"/>
  <c r="G1821" i="71"/>
  <c r="K1820" i="71"/>
  <c r="I1820" i="71"/>
  <c r="G1820" i="71"/>
  <c r="K1819" i="71"/>
  <c r="I1819" i="71"/>
  <c r="G1819" i="71"/>
  <c r="K1818" i="71"/>
  <c r="I1818" i="71"/>
  <c r="G1818" i="71"/>
  <c r="K1817" i="71"/>
  <c r="I1817" i="71"/>
  <c r="G1817" i="71"/>
  <c r="K1816" i="71"/>
  <c r="I1816" i="71"/>
  <c r="G1816" i="71"/>
  <c r="K1815" i="71"/>
  <c r="I1815" i="71"/>
  <c r="G1815" i="71"/>
  <c r="K1814" i="71"/>
  <c r="I1814" i="71"/>
  <c r="G1814" i="71"/>
  <c r="K1813" i="71"/>
  <c r="I1813" i="71"/>
  <c r="G1813" i="71"/>
  <c r="K1812" i="71"/>
  <c r="I1812" i="71"/>
  <c r="G1812" i="71"/>
  <c r="K1811" i="71"/>
  <c r="I1811" i="71"/>
  <c r="G1811" i="71"/>
  <c r="K1810" i="71"/>
  <c r="I1810" i="71"/>
  <c r="G1810" i="71"/>
  <c r="K1809" i="71"/>
  <c r="I1809" i="71"/>
  <c r="G1809" i="71"/>
  <c r="K1808" i="71"/>
  <c r="I1808" i="71"/>
  <c r="G1808" i="71"/>
  <c r="K1807" i="71"/>
  <c r="I1807" i="71"/>
  <c r="G1807" i="71"/>
  <c r="K1806" i="71"/>
  <c r="I1806" i="71"/>
  <c r="G1806" i="71"/>
  <c r="K1805" i="71"/>
  <c r="I1805" i="71"/>
  <c r="G1805" i="71"/>
  <c r="K1804" i="71"/>
  <c r="I1804" i="71"/>
  <c r="G1804" i="71"/>
  <c r="K1803" i="71"/>
  <c r="I1803" i="71"/>
  <c r="G1803" i="71"/>
  <c r="K1802" i="71"/>
  <c r="I1802" i="71"/>
  <c r="G1802" i="71"/>
  <c r="K1801" i="71"/>
  <c r="I1801" i="71"/>
  <c r="G1801" i="71"/>
  <c r="K1800" i="71"/>
  <c r="I1800" i="71"/>
  <c r="G1800" i="71"/>
  <c r="K1799" i="71"/>
  <c r="I1799" i="71"/>
  <c r="G1799" i="71"/>
  <c r="K1798" i="71"/>
  <c r="I1798" i="71"/>
  <c r="G1798" i="71"/>
  <c r="K1797" i="71"/>
  <c r="I1797" i="71"/>
  <c r="G1797" i="71"/>
  <c r="K1796" i="71"/>
  <c r="I1796" i="71"/>
  <c r="G1796" i="71"/>
  <c r="K1795" i="71"/>
  <c r="I1795" i="71"/>
  <c r="G1795" i="71"/>
  <c r="K1794" i="71"/>
  <c r="I1794" i="71"/>
  <c r="G1794" i="71"/>
  <c r="K1793" i="71"/>
  <c r="I1793" i="71"/>
  <c r="G1793" i="71"/>
  <c r="K1792" i="71"/>
  <c r="I1792" i="71"/>
  <c r="G1792" i="71"/>
  <c r="K1791" i="71"/>
  <c r="I1791" i="71"/>
  <c r="G1791" i="71"/>
  <c r="K1790" i="71"/>
  <c r="I1790" i="71"/>
  <c r="G1790" i="71"/>
  <c r="K1789" i="71"/>
  <c r="I1789" i="71"/>
  <c r="G1789" i="71"/>
  <c r="K1788" i="71"/>
  <c r="I1788" i="71"/>
  <c r="G1788" i="71"/>
  <c r="K1787" i="71"/>
  <c r="I1787" i="71"/>
  <c r="G1787" i="71"/>
  <c r="K1786" i="71"/>
  <c r="I1786" i="71"/>
  <c r="G1786" i="71"/>
  <c r="K1785" i="71"/>
  <c r="I1785" i="71"/>
  <c r="G1785" i="71"/>
  <c r="K1784" i="71"/>
  <c r="I1784" i="71"/>
  <c r="G1784" i="71"/>
  <c r="K1783" i="71"/>
  <c r="I1783" i="71"/>
  <c r="G1783" i="71"/>
  <c r="K1782" i="71"/>
  <c r="I1782" i="71"/>
  <c r="G1782" i="71"/>
  <c r="K1781" i="71"/>
  <c r="I1781" i="71"/>
  <c r="G1781" i="71"/>
  <c r="K1780" i="71"/>
  <c r="I1780" i="71"/>
  <c r="G1780" i="71"/>
  <c r="K1779" i="71"/>
  <c r="I1779" i="71"/>
  <c r="G1779" i="71"/>
  <c r="K1778" i="71"/>
  <c r="I1778" i="71"/>
  <c r="G1778" i="71"/>
  <c r="K1777" i="71"/>
  <c r="I1777" i="71"/>
  <c r="G1777" i="71"/>
  <c r="K1776" i="71"/>
  <c r="I1776" i="71"/>
  <c r="G1776" i="71"/>
  <c r="K1775" i="71"/>
  <c r="I1775" i="71"/>
  <c r="G1775" i="71"/>
  <c r="K1774" i="71"/>
  <c r="I1774" i="71"/>
  <c r="G1774" i="71"/>
  <c r="K1773" i="71"/>
  <c r="I1773" i="71"/>
  <c r="G1773" i="71"/>
  <c r="K1772" i="71"/>
  <c r="I1772" i="71"/>
  <c r="G1772" i="71"/>
  <c r="K1771" i="71"/>
  <c r="I1771" i="71"/>
  <c r="G1771" i="71"/>
  <c r="K1770" i="71"/>
  <c r="I1770" i="71"/>
  <c r="G1770" i="71"/>
  <c r="K1769" i="71"/>
  <c r="I1769" i="71"/>
  <c r="G1769" i="71"/>
  <c r="K1768" i="71"/>
  <c r="I1768" i="71"/>
  <c r="G1768" i="71"/>
  <c r="K1767" i="71"/>
  <c r="I1767" i="71"/>
  <c r="G1767" i="71"/>
  <c r="K1766" i="71"/>
  <c r="I1766" i="71"/>
  <c r="G1766" i="71"/>
  <c r="K1765" i="71"/>
  <c r="I1765" i="71"/>
  <c r="G1765" i="71"/>
  <c r="K1764" i="71"/>
  <c r="I1764" i="71"/>
  <c r="G1764" i="71"/>
  <c r="K1763" i="71"/>
  <c r="I1763" i="71"/>
  <c r="G1763" i="71"/>
  <c r="K1762" i="71"/>
  <c r="I1762" i="71"/>
  <c r="G1762" i="71"/>
  <c r="K1761" i="71"/>
  <c r="I1761" i="71"/>
  <c r="G1761" i="71"/>
  <c r="K1760" i="71"/>
  <c r="I1760" i="71"/>
  <c r="G1760" i="71"/>
  <c r="K1759" i="71"/>
  <c r="I1759" i="71"/>
  <c r="G1759" i="71"/>
  <c r="K1758" i="71"/>
  <c r="I1758" i="71"/>
  <c r="G1758" i="71"/>
  <c r="K1757" i="71"/>
  <c r="I1757" i="71"/>
  <c r="G1757" i="71"/>
  <c r="K1756" i="71"/>
  <c r="I1756" i="71"/>
  <c r="G1756" i="71"/>
  <c r="K1755" i="71"/>
  <c r="I1755" i="71"/>
  <c r="G1755" i="71"/>
  <c r="K1754" i="71"/>
  <c r="I1754" i="71"/>
  <c r="G1754" i="71"/>
  <c r="K1753" i="71"/>
  <c r="I1753" i="71"/>
  <c r="G1753" i="71"/>
  <c r="K1752" i="71"/>
  <c r="I1752" i="71"/>
  <c r="G1752" i="71"/>
  <c r="K1751" i="71"/>
  <c r="I1751" i="71"/>
  <c r="G1751" i="71"/>
  <c r="K1750" i="71"/>
  <c r="I1750" i="71"/>
  <c r="G1750" i="71"/>
  <c r="K1749" i="71"/>
  <c r="I1749" i="71"/>
  <c r="G1749" i="71"/>
  <c r="K1748" i="71"/>
  <c r="I1748" i="71"/>
  <c r="G1748" i="71"/>
  <c r="K1747" i="71"/>
  <c r="I1747" i="71"/>
  <c r="G1747" i="71"/>
  <c r="K1746" i="71"/>
  <c r="I1746" i="71"/>
  <c r="G1746" i="71"/>
  <c r="K1745" i="71"/>
  <c r="I1745" i="71"/>
  <c r="G1745" i="71"/>
  <c r="K1744" i="71"/>
  <c r="I1744" i="71"/>
  <c r="G1744" i="71"/>
  <c r="K1743" i="71"/>
  <c r="I1743" i="71"/>
  <c r="G1743" i="71"/>
  <c r="K1742" i="71"/>
  <c r="I1742" i="71"/>
  <c r="G1742" i="71"/>
  <c r="K1741" i="71"/>
  <c r="I1741" i="71"/>
  <c r="G1741" i="71"/>
  <c r="K1740" i="71"/>
  <c r="I1740" i="71"/>
  <c r="G1740" i="71"/>
  <c r="K1739" i="71"/>
  <c r="I1739" i="71"/>
  <c r="G1739" i="71"/>
  <c r="K1738" i="71"/>
  <c r="I1738" i="71"/>
  <c r="G1738" i="71"/>
  <c r="K1737" i="71"/>
  <c r="I1737" i="71"/>
  <c r="G1737" i="71"/>
  <c r="K1736" i="71"/>
  <c r="I1736" i="71"/>
  <c r="G1736" i="71"/>
  <c r="K1735" i="71"/>
  <c r="I1735" i="71"/>
  <c r="G1735" i="71"/>
  <c r="K1734" i="71"/>
  <c r="I1734" i="71"/>
  <c r="G1734" i="71"/>
  <c r="K1733" i="71"/>
  <c r="I1733" i="71"/>
  <c r="G1733" i="71"/>
  <c r="K1732" i="71"/>
  <c r="I1732" i="71"/>
  <c r="G1732" i="71"/>
  <c r="K1731" i="71"/>
  <c r="I1731" i="71"/>
  <c r="G1731" i="71"/>
  <c r="K1730" i="71"/>
  <c r="I1730" i="71"/>
  <c r="G1730" i="71"/>
  <c r="K1729" i="71"/>
  <c r="I1729" i="71"/>
  <c r="G1729" i="71"/>
  <c r="K1728" i="71"/>
  <c r="I1728" i="71"/>
  <c r="G1728" i="71"/>
  <c r="K1727" i="71"/>
  <c r="I1727" i="71"/>
  <c r="G1727" i="71"/>
  <c r="K1726" i="71"/>
  <c r="I1726" i="71"/>
  <c r="G1726" i="71"/>
  <c r="K1725" i="71"/>
  <c r="I1725" i="71"/>
  <c r="G1725" i="71"/>
  <c r="K1724" i="71"/>
  <c r="I1724" i="71"/>
  <c r="G1724" i="71"/>
  <c r="K1723" i="71"/>
  <c r="I1723" i="71"/>
  <c r="G1723" i="71"/>
  <c r="K1722" i="71"/>
  <c r="I1722" i="71"/>
  <c r="G1722" i="71"/>
  <c r="K1721" i="71"/>
  <c r="I1721" i="71"/>
  <c r="G1721" i="71"/>
  <c r="K1720" i="71"/>
  <c r="I1720" i="71"/>
  <c r="G1720" i="71"/>
  <c r="K1719" i="71"/>
  <c r="I1719" i="71"/>
  <c r="G1719" i="71"/>
  <c r="K1718" i="71"/>
  <c r="I1718" i="71"/>
  <c r="G1718" i="71"/>
  <c r="K1717" i="71"/>
  <c r="I1717" i="71"/>
  <c r="G1717" i="71"/>
  <c r="K1716" i="71"/>
  <c r="I1716" i="71"/>
  <c r="G1716" i="71"/>
  <c r="K1715" i="71"/>
  <c r="I1715" i="71"/>
  <c r="G1715" i="71"/>
  <c r="K1714" i="71"/>
  <c r="I1714" i="71"/>
  <c r="G1714" i="71"/>
  <c r="K1713" i="71"/>
  <c r="I1713" i="71"/>
  <c r="G1713" i="71"/>
  <c r="K1712" i="71"/>
  <c r="I1712" i="71"/>
  <c r="G1712" i="71"/>
  <c r="K1711" i="71"/>
  <c r="I1711" i="71"/>
  <c r="G1711" i="71"/>
  <c r="K1710" i="71"/>
  <c r="I1710" i="71"/>
  <c r="G1710" i="71"/>
  <c r="K1709" i="71"/>
  <c r="I1709" i="71"/>
  <c r="G1709" i="71"/>
  <c r="K1708" i="71"/>
  <c r="I1708" i="71"/>
  <c r="G1708" i="71"/>
  <c r="K1707" i="71"/>
  <c r="I1707" i="71"/>
  <c r="G1707" i="71"/>
  <c r="K1706" i="71"/>
  <c r="I1706" i="71"/>
  <c r="G1706" i="71"/>
  <c r="K1705" i="71"/>
  <c r="I1705" i="71"/>
  <c r="G1705" i="71"/>
  <c r="K1704" i="71"/>
  <c r="I1704" i="71"/>
  <c r="G1704" i="71"/>
  <c r="K1703" i="71"/>
  <c r="I1703" i="71"/>
  <c r="G1703" i="71"/>
  <c r="K1702" i="71"/>
  <c r="I1702" i="71"/>
  <c r="G1702" i="71"/>
  <c r="K1701" i="71"/>
  <c r="I1701" i="71"/>
  <c r="G1701" i="71"/>
  <c r="K1700" i="71"/>
  <c r="I1700" i="71"/>
  <c r="G1700" i="71"/>
  <c r="K1699" i="71"/>
  <c r="I1699" i="71"/>
  <c r="G1699" i="71"/>
  <c r="K1698" i="71"/>
  <c r="I1698" i="71"/>
  <c r="G1698" i="71"/>
  <c r="K1697" i="71"/>
  <c r="I1697" i="71"/>
  <c r="G1697" i="71"/>
  <c r="K1696" i="71"/>
  <c r="I1696" i="71"/>
  <c r="G1696" i="71"/>
  <c r="K1695" i="71"/>
  <c r="I1695" i="71"/>
  <c r="G1695" i="71"/>
  <c r="K1694" i="71"/>
  <c r="I1694" i="71"/>
  <c r="G1694" i="71"/>
  <c r="K1693" i="71"/>
  <c r="I1693" i="71"/>
  <c r="G1693" i="71"/>
  <c r="K1692" i="71"/>
  <c r="I1692" i="71"/>
  <c r="G1692" i="71"/>
  <c r="K1691" i="71"/>
  <c r="I1691" i="71"/>
  <c r="G1691" i="71"/>
  <c r="K1690" i="71"/>
  <c r="I1690" i="71"/>
  <c r="G1690" i="71"/>
  <c r="K1689" i="71"/>
  <c r="I1689" i="71"/>
  <c r="G1689" i="71"/>
  <c r="K1688" i="71"/>
  <c r="I1688" i="71"/>
  <c r="G1688" i="71"/>
  <c r="K1687" i="71"/>
  <c r="I1687" i="71"/>
  <c r="G1687" i="71"/>
  <c r="K1686" i="71"/>
  <c r="I1686" i="71"/>
  <c r="G1686" i="71"/>
  <c r="K1685" i="71"/>
  <c r="I1685" i="71"/>
  <c r="G1685" i="71"/>
  <c r="K1684" i="71"/>
  <c r="I1684" i="71"/>
  <c r="G1684" i="71"/>
  <c r="K1683" i="71"/>
  <c r="I1683" i="71"/>
  <c r="G1683" i="71"/>
  <c r="K1682" i="71"/>
  <c r="I1682" i="71"/>
  <c r="G1682" i="71"/>
  <c r="K1681" i="71"/>
  <c r="I1681" i="71"/>
  <c r="G1681" i="71"/>
  <c r="K1680" i="71"/>
  <c r="I1680" i="71"/>
  <c r="G1680" i="71"/>
  <c r="K1679" i="71"/>
  <c r="I1679" i="71"/>
  <c r="G1679" i="71"/>
  <c r="K1678" i="71"/>
  <c r="I1678" i="71"/>
  <c r="G1678" i="71"/>
  <c r="K1677" i="71"/>
  <c r="I1677" i="71"/>
  <c r="G1677" i="71"/>
  <c r="K1676" i="71"/>
  <c r="I1676" i="71"/>
  <c r="G1676" i="71"/>
  <c r="K1675" i="71"/>
  <c r="I1675" i="71"/>
  <c r="G1675" i="71"/>
  <c r="K1674" i="71"/>
  <c r="I1674" i="71"/>
  <c r="G1674" i="71"/>
  <c r="K1673" i="71"/>
  <c r="I1673" i="71"/>
  <c r="G1673" i="71"/>
  <c r="K1672" i="71"/>
  <c r="I1672" i="71"/>
  <c r="G1672" i="71"/>
  <c r="K1671" i="71"/>
  <c r="I1671" i="71"/>
  <c r="G1671" i="71"/>
  <c r="K1670" i="71"/>
  <c r="I1670" i="71"/>
  <c r="G1670" i="71"/>
  <c r="K1669" i="71"/>
  <c r="I1669" i="71"/>
  <c r="G1669" i="71"/>
  <c r="K1668" i="71"/>
  <c r="I1668" i="71"/>
  <c r="G1668" i="71"/>
  <c r="K1667" i="71"/>
  <c r="I1667" i="71"/>
  <c r="G1667" i="71"/>
  <c r="K1666" i="71"/>
  <c r="I1666" i="71"/>
  <c r="G1666" i="71"/>
  <c r="K1665" i="71"/>
  <c r="I1665" i="71"/>
  <c r="G1665" i="71"/>
  <c r="K1664" i="71"/>
  <c r="I1664" i="71"/>
  <c r="G1664" i="71"/>
  <c r="K1663" i="71"/>
  <c r="I1663" i="71"/>
  <c r="G1663" i="71"/>
  <c r="K1662" i="71"/>
  <c r="I1662" i="71"/>
  <c r="G1662" i="71"/>
  <c r="K1661" i="71"/>
  <c r="I1661" i="71"/>
  <c r="G1661" i="71"/>
  <c r="K1660" i="71"/>
  <c r="I1660" i="71"/>
  <c r="G1660" i="71"/>
  <c r="K1659" i="71"/>
  <c r="I1659" i="71"/>
  <c r="G1659" i="71"/>
  <c r="K1658" i="71"/>
  <c r="I1658" i="71"/>
  <c r="G1658" i="71"/>
  <c r="K1657" i="71"/>
  <c r="I1657" i="71"/>
  <c r="G1657" i="71"/>
  <c r="K1656" i="71"/>
  <c r="I1656" i="71"/>
  <c r="G1656" i="71"/>
  <c r="K1655" i="71"/>
  <c r="I1655" i="71"/>
  <c r="G1655" i="71"/>
  <c r="K1654" i="71"/>
  <c r="I1654" i="71"/>
  <c r="G1654" i="71"/>
  <c r="K1653" i="71"/>
  <c r="I1653" i="71"/>
  <c r="G1653" i="71"/>
  <c r="K1652" i="71"/>
  <c r="I1652" i="71"/>
  <c r="G1652" i="71"/>
  <c r="K1651" i="71"/>
  <c r="I1651" i="71"/>
  <c r="G1651" i="71"/>
  <c r="K1650" i="71"/>
  <c r="I1650" i="71"/>
  <c r="G1650" i="71"/>
  <c r="K1649" i="71"/>
  <c r="I1649" i="71"/>
  <c r="G1649" i="71"/>
  <c r="K1648" i="71"/>
  <c r="I1648" i="71"/>
  <c r="G1648" i="71"/>
  <c r="K1647" i="71"/>
  <c r="I1647" i="71"/>
  <c r="G1647" i="71"/>
  <c r="K1646" i="71"/>
  <c r="I1646" i="71"/>
  <c r="G1646" i="71"/>
  <c r="K1645" i="71"/>
  <c r="I1645" i="71"/>
  <c r="G1645" i="71"/>
  <c r="K1644" i="71"/>
  <c r="I1644" i="71"/>
  <c r="G1644" i="71"/>
  <c r="K1643" i="71"/>
  <c r="I1643" i="71"/>
  <c r="G1643" i="71"/>
  <c r="K1642" i="71"/>
  <c r="I1642" i="71"/>
  <c r="G1642" i="71"/>
  <c r="K1641" i="71"/>
  <c r="I1641" i="71"/>
  <c r="G1641" i="71"/>
  <c r="K1640" i="71"/>
  <c r="I1640" i="71"/>
  <c r="G1640" i="71"/>
  <c r="K1639" i="71"/>
  <c r="I1639" i="71"/>
  <c r="G1639" i="71"/>
  <c r="K1638" i="71"/>
  <c r="I1638" i="71"/>
  <c r="G1638" i="71"/>
  <c r="K1637" i="71"/>
  <c r="I1637" i="71"/>
  <c r="G1637" i="71"/>
  <c r="K1636" i="71"/>
  <c r="I1636" i="71"/>
  <c r="G1636" i="71"/>
  <c r="K1635" i="71"/>
  <c r="I1635" i="71"/>
  <c r="G1635" i="71"/>
  <c r="K1634" i="71"/>
  <c r="I1634" i="71"/>
  <c r="G1634" i="71"/>
  <c r="K1633" i="71"/>
  <c r="I1633" i="71"/>
  <c r="G1633" i="71"/>
  <c r="K1632" i="71"/>
  <c r="I1632" i="71"/>
  <c r="G1632" i="71"/>
  <c r="K1631" i="71"/>
  <c r="I1631" i="71"/>
  <c r="G1631" i="71"/>
  <c r="K1630" i="71"/>
  <c r="I1630" i="71"/>
  <c r="G1630" i="71"/>
  <c r="K1629" i="71"/>
  <c r="I1629" i="71"/>
  <c r="G1629" i="71"/>
  <c r="K1628" i="71"/>
  <c r="I1628" i="71"/>
  <c r="G1628" i="71"/>
  <c r="K1627" i="71"/>
  <c r="I1627" i="71"/>
  <c r="G1627" i="71"/>
  <c r="K1626" i="71"/>
  <c r="I1626" i="71"/>
  <c r="G1626" i="71"/>
  <c r="K1625" i="71"/>
  <c r="I1625" i="71"/>
  <c r="G1625" i="71"/>
  <c r="K1624" i="71"/>
  <c r="I1624" i="71"/>
  <c r="G1624" i="71"/>
  <c r="K1623" i="71"/>
  <c r="I1623" i="71"/>
  <c r="G1623" i="71"/>
  <c r="K1622" i="71"/>
  <c r="I1622" i="71"/>
  <c r="G1622" i="71"/>
  <c r="K1621" i="71"/>
  <c r="I1621" i="71"/>
  <c r="G1621" i="71"/>
  <c r="K1620" i="71"/>
  <c r="I1620" i="71"/>
  <c r="G1620" i="71"/>
  <c r="K1619" i="71"/>
  <c r="I1619" i="71"/>
  <c r="G1619" i="71"/>
  <c r="K1618" i="71"/>
  <c r="I1618" i="71"/>
  <c r="G1618" i="71"/>
  <c r="K1617" i="71"/>
  <c r="I1617" i="71"/>
  <c r="G1617" i="71"/>
  <c r="K1616" i="71"/>
  <c r="I1616" i="71"/>
  <c r="G1616" i="71"/>
  <c r="K1615" i="71"/>
  <c r="I1615" i="71"/>
  <c r="G1615" i="71"/>
  <c r="K1614" i="71"/>
  <c r="I1614" i="71"/>
  <c r="G1614" i="71"/>
  <c r="K1613" i="71"/>
  <c r="I1613" i="71"/>
  <c r="G1613" i="71"/>
  <c r="K1612" i="71"/>
  <c r="I1612" i="71"/>
  <c r="G1612" i="71"/>
  <c r="K1611" i="71"/>
  <c r="I1611" i="71"/>
  <c r="G1611" i="71"/>
  <c r="K1610" i="71"/>
  <c r="I1610" i="71"/>
  <c r="G1610" i="71"/>
  <c r="K1609" i="71"/>
  <c r="I1609" i="71"/>
  <c r="G1609" i="71"/>
  <c r="K1608" i="71"/>
  <c r="I1608" i="71"/>
  <c r="G1608" i="71"/>
  <c r="K1607" i="71"/>
  <c r="I1607" i="71"/>
  <c r="G1607" i="71"/>
  <c r="K1606" i="71"/>
  <c r="I1606" i="71"/>
  <c r="G1606" i="71"/>
  <c r="K1605" i="71"/>
  <c r="I1605" i="71"/>
  <c r="G1605" i="71"/>
  <c r="K1604" i="71"/>
  <c r="I1604" i="71"/>
  <c r="G1604" i="71"/>
  <c r="K1603" i="71"/>
  <c r="I1603" i="71"/>
  <c r="G1603" i="71"/>
  <c r="K1602" i="71"/>
  <c r="I1602" i="71"/>
  <c r="G1602" i="71"/>
  <c r="K1601" i="71"/>
  <c r="I1601" i="71"/>
  <c r="G1601" i="71"/>
  <c r="K1600" i="71"/>
  <c r="I1600" i="71"/>
  <c r="G1600" i="71"/>
  <c r="K1599" i="71"/>
  <c r="I1599" i="71"/>
  <c r="G1599" i="71"/>
  <c r="K1598" i="71"/>
  <c r="I1598" i="71"/>
  <c r="G1598" i="71"/>
  <c r="K1597" i="71"/>
  <c r="I1597" i="71"/>
  <c r="G1597" i="71"/>
  <c r="K1596" i="71"/>
  <c r="I1596" i="71"/>
  <c r="G1596" i="71"/>
  <c r="K1595" i="71"/>
  <c r="I1595" i="71"/>
  <c r="G1595" i="71"/>
  <c r="K1594" i="71"/>
  <c r="I1594" i="71"/>
  <c r="G1594" i="71"/>
  <c r="K1593" i="71"/>
  <c r="I1593" i="71"/>
  <c r="G1593" i="71"/>
  <c r="K1592" i="71"/>
  <c r="I1592" i="71"/>
  <c r="G1592" i="71"/>
  <c r="K1591" i="71"/>
  <c r="I1591" i="71"/>
  <c r="G1591" i="71"/>
  <c r="K1590" i="71"/>
  <c r="I1590" i="71"/>
  <c r="G1590" i="71"/>
  <c r="K1589" i="71"/>
  <c r="I1589" i="71"/>
  <c r="G1589" i="71"/>
  <c r="K1588" i="71"/>
  <c r="I1588" i="71"/>
  <c r="G1588" i="71"/>
  <c r="K1587" i="71"/>
  <c r="I1587" i="71"/>
  <c r="G1587" i="71"/>
  <c r="K1586" i="71"/>
  <c r="I1586" i="71"/>
  <c r="G1586" i="71"/>
  <c r="K1585" i="71"/>
  <c r="I1585" i="71"/>
  <c r="G1585" i="71"/>
  <c r="K1584" i="71"/>
  <c r="I1584" i="71"/>
  <c r="G1584" i="71"/>
  <c r="K1583" i="71"/>
  <c r="I1583" i="71"/>
  <c r="G1583" i="71"/>
  <c r="K1582" i="71"/>
  <c r="I1582" i="71"/>
  <c r="G1582" i="71"/>
  <c r="K1581" i="71"/>
  <c r="I1581" i="71"/>
  <c r="G1581" i="71"/>
  <c r="K1580" i="71"/>
  <c r="I1580" i="71"/>
  <c r="G1580" i="71"/>
  <c r="K1579" i="71"/>
  <c r="I1579" i="71"/>
  <c r="G1579" i="71"/>
  <c r="K1578" i="71"/>
  <c r="I1578" i="71"/>
  <c r="G1578" i="71"/>
  <c r="K1577" i="71"/>
  <c r="I1577" i="71"/>
  <c r="G1577" i="71"/>
  <c r="K1576" i="71"/>
  <c r="I1576" i="71"/>
  <c r="G1576" i="71"/>
  <c r="K1575" i="71"/>
  <c r="I1575" i="71"/>
  <c r="G1575" i="71"/>
  <c r="K1574" i="71"/>
  <c r="I1574" i="71"/>
  <c r="G1574" i="71"/>
  <c r="K1573" i="71"/>
  <c r="I1573" i="71"/>
  <c r="G1573" i="71"/>
  <c r="K1571" i="71"/>
  <c r="I1571" i="71"/>
  <c r="G1571" i="71"/>
  <c r="K1570" i="71"/>
  <c r="I1570" i="71"/>
  <c r="G1570" i="71"/>
  <c r="K1569" i="71"/>
  <c r="I1569" i="71"/>
  <c r="G1569" i="71"/>
  <c r="K1568" i="71"/>
  <c r="I1568" i="71"/>
  <c r="G1568" i="71"/>
  <c r="K1567" i="71"/>
  <c r="I1567" i="71"/>
  <c r="G1567" i="71"/>
  <c r="K1566" i="71"/>
  <c r="I1566" i="71"/>
  <c r="G1566" i="71"/>
  <c r="K1565" i="71"/>
  <c r="I1565" i="71"/>
  <c r="G1565" i="71"/>
  <c r="K1564" i="71"/>
  <c r="I1564" i="71"/>
  <c r="G1564" i="71"/>
  <c r="K1563" i="71"/>
  <c r="I1563" i="71"/>
  <c r="G1563" i="71"/>
  <c r="K1562" i="71"/>
  <c r="I1562" i="71"/>
  <c r="G1562" i="71"/>
  <c r="K1561" i="71"/>
  <c r="I1561" i="71"/>
  <c r="G1561" i="71"/>
  <c r="K1560" i="71"/>
  <c r="I1560" i="71"/>
  <c r="G1560" i="71"/>
  <c r="K1559" i="71"/>
  <c r="I1559" i="71"/>
  <c r="G1559" i="71"/>
  <c r="K1558" i="71"/>
  <c r="I1558" i="71"/>
  <c r="G1558" i="71"/>
  <c r="K1557" i="71"/>
  <c r="I1557" i="71"/>
  <c r="G1557" i="71"/>
  <c r="K1556" i="71"/>
  <c r="I1556" i="71"/>
  <c r="G1556" i="71"/>
  <c r="K1555" i="71"/>
  <c r="I1555" i="71"/>
  <c r="G1555" i="71"/>
  <c r="K1554" i="71"/>
  <c r="I1554" i="71"/>
  <c r="G1554" i="71"/>
  <c r="K1553" i="71"/>
  <c r="I1553" i="71"/>
  <c r="G1553" i="71"/>
  <c r="K1552" i="71"/>
  <c r="I1552" i="71"/>
  <c r="G1552" i="71"/>
  <c r="K1551" i="71"/>
  <c r="I1551" i="71"/>
  <c r="G1551" i="71"/>
  <c r="K1550" i="71"/>
  <c r="I1550" i="71"/>
  <c r="G1550" i="71"/>
  <c r="K1549" i="71"/>
  <c r="I1549" i="71"/>
  <c r="G1549" i="71"/>
  <c r="K1548" i="71"/>
  <c r="I1548" i="71"/>
  <c r="G1548" i="71"/>
  <c r="K1547" i="71"/>
  <c r="I1547" i="71"/>
  <c r="G1547" i="71"/>
  <c r="K1546" i="71"/>
  <c r="I1546" i="71"/>
  <c r="G1546" i="71"/>
  <c r="K1545" i="71"/>
  <c r="I1545" i="71"/>
  <c r="G1545" i="71"/>
  <c r="K1544" i="71"/>
  <c r="I1544" i="71"/>
  <c r="G1544" i="71"/>
  <c r="K1543" i="71"/>
  <c r="I1543" i="71"/>
  <c r="G1543" i="71"/>
  <c r="K1542" i="71"/>
  <c r="I1542" i="71"/>
  <c r="G1542" i="71"/>
  <c r="K1541" i="71"/>
  <c r="I1541" i="71"/>
  <c r="G1541" i="71"/>
  <c r="K1540" i="71"/>
  <c r="I1540" i="71"/>
  <c r="G1540" i="71"/>
  <c r="K1539" i="71"/>
  <c r="I1539" i="71"/>
  <c r="G1539" i="71"/>
  <c r="K1538" i="71"/>
  <c r="I1538" i="71"/>
  <c r="G1538" i="71"/>
  <c r="K1537" i="71"/>
  <c r="I1537" i="71"/>
  <c r="G1537" i="71"/>
  <c r="K1536" i="71"/>
  <c r="I1536" i="71"/>
  <c r="G1536" i="71"/>
  <c r="K1535" i="71"/>
  <c r="I1535" i="71"/>
  <c r="G1535" i="71"/>
  <c r="K1534" i="71"/>
  <c r="I1534" i="71"/>
  <c r="G1534" i="71"/>
  <c r="K1533" i="71"/>
  <c r="I1533" i="71"/>
  <c r="G1533" i="71"/>
  <c r="K1532" i="71"/>
  <c r="I1532" i="71"/>
  <c r="G1532" i="71"/>
  <c r="K1531" i="71"/>
  <c r="I1531" i="71"/>
  <c r="G1531" i="71"/>
  <c r="K1530" i="71"/>
  <c r="I1530" i="71"/>
  <c r="G1530" i="71"/>
  <c r="K1529" i="71"/>
  <c r="I1529" i="71"/>
  <c r="G1529" i="71"/>
  <c r="K1528" i="71"/>
  <c r="I1528" i="71"/>
  <c r="G1528" i="71"/>
  <c r="K1527" i="71"/>
  <c r="I1527" i="71"/>
  <c r="G1527" i="71"/>
  <c r="K1526" i="71"/>
  <c r="I1526" i="71"/>
  <c r="G1526" i="71"/>
  <c r="K1525" i="71"/>
  <c r="I1525" i="71"/>
  <c r="G1525" i="71"/>
  <c r="K1524" i="71"/>
  <c r="I1524" i="71"/>
  <c r="G1524" i="71"/>
  <c r="K1523" i="71"/>
  <c r="I1523" i="71"/>
  <c r="G1523" i="71"/>
  <c r="K1522" i="71"/>
  <c r="I1522" i="71"/>
  <c r="G1522" i="71"/>
  <c r="K1521" i="71"/>
  <c r="I1521" i="71"/>
  <c r="G1521" i="71"/>
  <c r="K1520" i="71"/>
  <c r="I1520" i="71"/>
  <c r="G1520" i="71"/>
  <c r="K1519" i="71"/>
  <c r="I1519" i="71"/>
  <c r="G1519" i="71"/>
  <c r="K1518" i="71"/>
  <c r="I1518" i="71"/>
  <c r="G1518" i="71"/>
  <c r="K1517" i="71"/>
  <c r="I1517" i="71"/>
  <c r="G1517" i="71"/>
  <c r="K1516" i="71"/>
  <c r="I1516" i="71"/>
  <c r="G1516" i="71"/>
  <c r="K1515" i="71"/>
  <c r="I1515" i="71"/>
  <c r="G1515" i="71"/>
  <c r="K1514" i="71"/>
  <c r="I1514" i="71"/>
  <c r="G1514" i="71"/>
  <c r="K1513" i="71"/>
  <c r="I1513" i="71"/>
  <c r="G1513" i="71"/>
  <c r="K1512" i="71"/>
  <c r="I1512" i="71"/>
  <c r="G1512" i="71"/>
  <c r="K1511" i="71"/>
  <c r="I1511" i="71"/>
  <c r="G1511" i="71"/>
  <c r="K1510" i="71"/>
  <c r="I1510" i="71"/>
  <c r="G1510" i="71"/>
  <c r="K1509" i="71"/>
  <c r="I1509" i="71"/>
  <c r="G1509" i="71"/>
  <c r="K1508" i="71"/>
  <c r="I1508" i="71"/>
  <c r="G1508" i="71"/>
  <c r="K1507" i="71"/>
  <c r="I1507" i="71"/>
  <c r="G1507" i="71"/>
  <c r="K1506" i="71"/>
  <c r="I1506" i="71"/>
  <c r="G1506" i="71"/>
  <c r="K1505" i="71"/>
  <c r="I1505" i="71"/>
  <c r="G1505" i="71"/>
  <c r="K1504" i="71"/>
  <c r="I1504" i="71"/>
  <c r="G1504" i="71"/>
  <c r="K1503" i="71"/>
  <c r="I1503" i="71"/>
  <c r="G1503" i="71"/>
  <c r="K1502" i="71"/>
  <c r="I1502" i="71"/>
  <c r="G1502" i="71"/>
  <c r="K1501" i="71"/>
  <c r="I1501" i="71"/>
  <c r="G1501" i="71"/>
  <c r="K1500" i="71"/>
  <c r="I1500" i="71"/>
  <c r="G1500" i="71"/>
  <c r="K1499" i="71"/>
  <c r="I1499" i="71"/>
  <c r="G1499" i="71"/>
  <c r="K1498" i="71"/>
  <c r="I1498" i="71"/>
  <c r="G1498" i="71"/>
  <c r="K1497" i="71"/>
  <c r="I1497" i="71"/>
  <c r="G1497" i="71"/>
  <c r="K1496" i="71"/>
  <c r="I1496" i="71"/>
  <c r="G1496" i="71"/>
  <c r="K1495" i="71"/>
  <c r="I1495" i="71"/>
  <c r="G1495" i="71"/>
  <c r="K1494" i="71"/>
  <c r="I1494" i="71"/>
  <c r="G1494" i="71"/>
  <c r="K1493" i="71"/>
  <c r="I1493" i="71"/>
  <c r="G1493" i="71"/>
  <c r="K1492" i="71"/>
  <c r="I1492" i="71"/>
  <c r="G1492" i="71"/>
  <c r="K1491" i="71"/>
  <c r="I1491" i="71"/>
  <c r="G1491" i="71"/>
  <c r="K1490" i="71"/>
  <c r="I1490" i="71"/>
  <c r="G1490" i="71"/>
  <c r="K1489" i="71"/>
  <c r="I1489" i="71"/>
  <c r="G1489" i="71"/>
  <c r="K1488" i="71"/>
  <c r="I1488" i="71"/>
  <c r="G1488" i="71"/>
  <c r="K1487" i="71"/>
  <c r="I1487" i="71"/>
  <c r="G1487" i="71"/>
  <c r="K1486" i="71"/>
  <c r="I1486" i="71"/>
  <c r="G1486" i="71"/>
  <c r="K1485" i="71"/>
  <c r="I1485" i="71"/>
  <c r="G1485" i="71"/>
  <c r="K1484" i="71"/>
  <c r="I1484" i="71"/>
  <c r="G1484" i="71"/>
  <c r="M1483" i="71"/>
  <c r="G1483" i="71" s="1"/>
  <c r="I1483" i="71"/>
  <c r="K1482" i="71"/>
  <c r="I1482" i="71"/>
  <c r="G1482" i="71"/>
  <c r="K1481" i="71"/>
  <c r="I1481" i="71"/>
  <c r="G1481" i="71"/>
  <c r="K1480" i="71"/>
  <c r="I1480" i="71"/>
  <c r="G1480" i="71"/>
  <c r="K1479" i="71"/>
  <c r="I1479" i="71"/>
  <c r="G1479" i="71"/>
  <c r="K1478" i="71"/>
  <c r="I1478" i="71"/>
  <c r="G1478" i="71"/>
  <c r="K1477" i="71"/>
  <c r="I1477" i="71"/>
  <c r="G1477" i="71"/>
  <c r="K1476" i="71"/>
  <c r="I1476" i="71"/>
  <c r="G1476" i="71"/>
  <c r="K1475" i="71"/>
  <c r="I1475" i="71"/>
  <c r="G1475" i="71"/>
  <c r="K1474" i="71"/>
  <c r="I1474" i="71"/>
  <c r="G1474" i="71"/>
  <c r="K1473" i="71"/>
  <c r="I1473" i="71"/>
  <c r="G1473" i="71"/>
  <c r="K1472" i="71"/>
  <c r="I1472" i="71"/>
  <c r="G1472" i="71"/>
  <c r="K1471" i="71"/>
  <c r="I1471" i="71"/>
  <c r="G1471" i="71"/>
  <c r="K1470" i="71"/>
  <c r="I1470" i="71"/>
  <c r="G1470" i="71"/>
  <c r="K1469" i="71"/>
  <c r="I1469" i="71"/>
  <c r="G1469" i="71"/>
  <c r="K1468" i="71"/>
  <c r="I1468" i="71"/>
  <c r="G1468" i="71"/>
  <c r="K1467" i="71"/>
  <c r="I1467" i="71"/>
  <c r="G1467" i="71"/>
  <c r="K1466" i="71"/>
  <c r="I1466" i="71"/>
  <c r="G1466" i="71"/>
  <c r="K1465" i="71"/>
  <c r="I1465" i="71"/>
  <c r="G1465" i="71"/>
  <c r="K1464" i="71"/>
  <c r="I1464" i="71"/>
  <c r="G1464" i="71"/>
  <c r="K1463" i="71"/>
  <c r="I1463" i="71"/>
  <c r="G1463" i="71"/>
  <c r="K1462" i="71"/>
  <c r="I1462" i="71"/>
  <c r="G1462" i="71"/>
  <c r="K1461" i="71"/>
  <c r="I1461" i="71"/>
  <c r="G1461" i="71"/>
  <c r="K1460" i="71"/>
  <c r="I1460" i="71"/>
  <c r="G1460" i="71"/>
  <c r="K1459" i="71"/>
  <c r="I1459" i="71"/>
  <c r="G1459" i="71"/>
  <c r="K1458" i="71"/>
  <c r="I1458" i="71"/>
  <c r="G1458" i="71"/>
  <c r="K1457" i="71"/>
  <c r="I1457" i="71"/>
  <c r="G1457" i="71"/>
  <c r="K1456" i="71"/>
  <c r="I1456" i="71"/>
  <c r="G1456" i="71"/>
  <c r="K1455" i="71"/>
  <c r="I1455" i="71"/>
  <c r="G1455" i="71"/>
  <c r="K1454" i="71"/>
  <c r="I1454" i="71"/>
  <c r="G1454" i="71"/>
  <c r="K1453" i="71"/>
  <c r="I1453" i="71"/>
  <c r="G1453" i="71"/>
  <c r="K1452" i="71"/>
  <c r="I1452" i="71"/>
  <c r="G1452" i="71"/>
  <c r="K1451" i="71"/>
  <c r="I1451" i="71"/>
  <c r="G1451" i="71"/>
  <c r="K1450" i="71"/>
  <c r="I1450" i="71"/>
  <c r="G1450" i="71"/>
  <c r="K1449" i="71"/>
  <c r="I1449" i="71"/>
  <c r="G1449" i="71"/>
  <c r="K1448" i="71"/>
  <c r="I1448" i="71"/>
  <c r="G1448" i="71"/>
  <c r="K1447" i="71"/>
  <c r="I1447" i="71"/>
  <c r="G1447" i="71"/>
  <c r="K1446" i="71"/>
  <c r="I1446" i="71"/>
  <c r="G1446" i="71"/>
  <c r="K1445" i="71"/>
  <c r="I1445" i="71"/>
  <c r="G1445" i="71"/>
  <c r="K1444" i="71"/>
  <c r="I1444" i="71"/>
  <c r="G1444" i="71"/>
  <c r="K1443" i="71"/>
  <c r="I1443" i="71"/>
  <c r="G1443" i="71"/>
  <c r="K1442" i="71"/>
  <c r="I1442" i="71"/>
  <c r="G1442" i="71"/>
  <c r="K1441" i="71"/>
  <c r="I1441" i="71"/>
  <c r="G1441" i="71"/>
  <c r="K1440" i="71"/>
  <c r="I1440" i="71"/>
  <c r="G1440" i="71"/>
  <c r="K1439" i="71"/>
  <c r="I1439" i="71"/>
  <c r="G1439" i="71"/>
  <c r="K1438" i="71"/>
  <c r="I1438" i="71"/>
  <c r="G1438" i="71"/>
  <c r="K1437" i="71"/>
  <c r="I1437" i="71"/>
  <c r="G1437" i="71"/>
  <c r="K1436" i="71"/>
  <c r="I1436" i="71"/>
  <c r="G1436" i="71"/>
  <c r="K1435" i="71"/>
  <c r="I1435" i="71"/>
  <c r="G1435" i="71"/>
  <c r="K1434" i="71"/>
  <c r="I1434" i="71"/>
  <c r="G1434" i="71"/>
  <c r="K1433" i="71"/>
  <c r="I1433" i="71"/>
  <c r="G1433" i="71"/>
  <c r="K1432" i="71"/>
  <c r="I1432" i="71"/>
  <c r="G1432" i="71"/>
  <c r="K1431" i="71"/>
  <c r="I1431" i="71"/>
  <c r="G1431" i="71"/>
  <c r="K1430" i="71"/>
  <c r="I1430" i="71"/>
  <c r="G1430" i="71"/>
  <c r="K1429" i="71"/>
  <c r="I1429" i="71"/>
  <c r="G1429" i="71"/>
  <c r="K1428" i="71"/>
  <c r="I1428" i="71"/>
  <c r="G1428" i="71"/>
  <c r="K1427" i="71"/>
  <c r="I1427" i="71"/>
  <c r="G1427" i="71"/>
  <c r="K1426" i="71"/>
  <c r="I1426" i="71"/>
  <c r="G1426" i="71"/>
  <c r="K1425" i="71"/>
  <c r="I1425" i="71"/>
  <c r="G1425" i="71"/>
  <c r="K1424" i="71"/>
  <c r="I1424" i="71"/>
  <c r="G1424" i="71"/>
  <c r="K1423" i="71"/>
  <c r="I1423" i="71"/>
  <c r="G1423" i="71"/>
  <c r="K1422" i="71"/>
  <c r="I1422" i="71"/>
  <c r="G1422" i="71"/>
  <c r="K1421" i="71"/>
  <c r="I1421" i="71"/>
  <c r="G1421" i="71"/>
  <c r="K1420" i="71"/>
  <c r="I1420" i="71"/>
  <c r="G1420" i="71"/>
  <c r="K1419" i="71"/>
  <c r="I1419" i="71"/>
  <c r="G1419" i="71"/>
  <c r="K1418" i="71"/>
  <c r="I1418" i="71"/>
  <c r="G1418" i="71"/>
  <c r="K1417" i="71"/>
  <c r="I1417" i="71"/>
  <c r="G1417" i="71"/>
  <c r="K1416" i="71"/>
  <c r="I1416" i="71"/>
  <c r="G1416" i="71"/>
  <c r="K1415" i="71"/>
  <c r="I1415" i="71"/>
  <c r="G1415" i="71"/>
  <c r="K1414" i="71"/>
  <c r="I1414" i="71"/>
  <c r="G1414" i="71"/>
  <c r="K1413" i="71"/>
  <c r="I1413" i="71"/>
  <c r="G1413" i="71"/>
  <c r="K1412" i="71"/>
  <c r="I1412" i="71"/>
  <c r="G1412" i="71"/>
  <c r="K1411" i="71"/>
  <c r="I1411" i="71"/>
  <c r="G1411" i="71"/>
  <c r="K1410" i="71"/>
  <c r="I1410" i="71"/>
  <c r="G1410" i="71"/>
  <c r="K1409" i="71"/>
  <c r="I1409" i="71"/>
  <c r="G1409" i="71"/>
  <c r="K1408" i="71"/>
  <c r="I1408" i="71"/>
  <c r="G1408" i="71"/>
  <c r="K1407" i="71"/>
  <c r="I1407" i="71"/>
  <c r="G1407" i="71"/>
  <c r="K1406" i="71"/>
  <c r="I1406" i="71"/>
  <c r="G1406" i="71"/>
  <c r="K1405" i="71"/>
  <c r="I1405" i="71"/>
  <c r="G1405" i="71"/>
  <c r="K1404" i="71"/>
  <c r="I1404" i="71"/>
  <c r="G1404" i="71"/>
  <c r="K1403" i="71"/>
  <c r="I1403" i="71"/>
  <c r="G1403" i="71"/>
  <c r="K1402" i="71"/>
  <c r="I1402" i="71"/>
  <c r="G1402" i="71"/>
  <c r="K1401" i="71"/>
  <c r="I1401" i="71"/>
  <c r="G1401" i="71"/>
  <c r="K1400" i="71"/>
  <c r="I1400" i="71"/>
  <c r="G1400" i="71"/>
  <c r="K1399" i="71"/>
  <c r="I1399" i="71"/>
  <c r="G1399" i="71"/>
  <c r="K1398" i="71"/>
  <c r="I1398" i="71"/>
  <c r="G1398" i="71"/>
  <c r="K1397" i="71"/>
  <c r="I1397" i="71"/>
  <c r="G1397" i="71"/>
  <c r="K1396" i="71"/>
  <c r="I1396" i="71"/>
  <c r="G1396" i="71"/>
  <c r="K1395" i="71"/>
  <c r="I1395" i="71"/>
  <c r="G1395" i="71"/>
  <c r="K1394" i="71"/>
  <c r="I1394" i="71"/>
  <c r="G1394" i="71"/>
  <c r="K1392" i="71"/>
  <c r="I1392" i="71"/>
  <c r="G1392" i="71"/>
  <c r="K1391" i="71"/>
  <c r="I1391" i="71"/>
  <c r="G1391" i="71"/>
  <c r="K1390" i="71"/>
  <c r="I1390" i="71"/>
  <c r="G1390" i="71"/>
  <c r="K1389" i="71"/>
  <c r="I1389" i="71"/>
  <c r="G1389" i="71"/>
  <c r="K1388" i="71"/>
  <c r="I1388" i="71"/>
  <c r="G1388" i="71"/>
  <c r="K1387" i="71"/>
  <c r="I1387" i="71"/>
  <c r="G1387" i="71"/>
  <c r="K1386" i="71"/>
  <c r="I1386" i="71"/>
  <c r="G1386" i="71"/>
  <c r="K1385" i="71"/>
  <c r="I1385" i="71"/>
  <c r="G1385" i="71"/>
  <c r="K1384" i="71"/>
  <c r="I1384" i="71"/>
  <c r="G1384" i="71"/>
  <c r="K1383" i="71"/>
  <c r="I1383" i="71"/>
  <c r="G1383" i="71"/>
  <c r="K1382" i="71"/>
  <c r="I1382" i="71"/>
  <c r="G1382" i="71"/>
  <c r="K1381" i="71"/>
  <c r="I1381" i="71"/>
  <c r="G1381" i="71"/>
  <c r="K1380" i="71"/>
  <c r="I1380" i="71"/>
  <c r="G1380" i="71"/>
  <c r="K1379" i="71"/>
  <c r="I1379" i="71"/>
  <c r="G1379" i="71"/>
  <c r="K1378" i="71"/>
  <c r="I1378" i="71"/>
  <c r="G1378" i="71"/>
  <c r="K1377" i="71"/>
  <c r="I1377" i="71"/>
  <c r="G1377" i="71"/>
  <c r="K1376" i="71"/>
  <c r="I1376" i="71"/>
  <c r="G1376" i="71"/>
  <c r="K1375" i="71"/>
  <c r="I1375" i="71"/>
  <c r="G1375" i="71"/>
  <c r="K1374" i="71"/>
  <c r="I1374" i="71"/>
  <c r="G1374" i="71"/>
  <c r="K1373" i="71"/>
  <c r="I1373" i="71"/>
  <c r="G1373" i="71"/>
  <c r="K1372" i="71"/>
  <c r="I1372" i="71"/>
  <c r="G1372" i="71"/>
  <c r="K1371" i="71"/>
  <c r="I1371" i="71"/>
  <c r="G1371" i="71"/>
  <c r="K1370" i="71"/>
  <c r="I1370" i="71"/>
  <c r="G1370" i="71"/>
  <c r="K1369" i="71"/>
  <c r="I1369" i="71"/>
  <c r="G1369" i="71"/>
  <c r="K1368" i="71"/>
  <c r="I1368" i="71"/>
  <c r="G1368" i="71"/>
  <c r="K1367" i="71"/>
  <c r="I1367" i="71"/>
  <c r="G1367" i="71"/>
  <c r="K1366" i="71"/>
  <c r="I1366" i="71"/>
  <c r="G1366" i="71"/>
  <c r="K1365" i="71"/>
  <c r="I1365" i="71"/>
  <c r="G1365" i="71"/>
  <c r="K1364" i="71"/>
  <c r="I1364" i="71"/>
  <c r="G1364" i="71"/>
  <c r="K1363" i="71"/>
  <c r="I1363" i="71"/>
  <c r="G1363" i="71"/>
  <c r="K1362" i="71"/>
  <c r="I1362" i="71"/>
  <c r="G1362" i="71"/>
  <c r="K1361" i="71"/>
  <c r="I1361" i="71"/>
  <c r="G1361" i="71"/>
  <c r="K1360" i="71"/>
  <c r="I1360" i="71"/>
  <c r="G1360" i="71"/>
  <c r="K1359" i="71"/>
  <c r="I1359" i="71"/>
  <c r="G1359" i="71"/>
  <c r="K1358" i="71"/>
  <c r="I1358" i="71"/>
  <c r="G1358" i="71"/>
  <c r="K1357" i="71"/>
  <c r="I1357" i="71"/>
  <c r="G1357" i="71"/>
  <c r="K1356" i="71"/>
  <c r="I1356" i="71"/>
  <c r="G1356" i="71"/>
  <c r="K1355" i="71"/>
  <c r="I1355" i="71"/>
  <c r="G1355" i="71"/>
  <c r="K1354" i="71"/>
  <c r="I1354" i="71"/>
  <c r="G1354" i="71"/>
  <c r="K1353" i="71"/>
  <c r="I1353" i="71"/>
  <c r="G1353" i="71"/>
  <c r="K1351" i="71"/>
  <c r="I1351" i="71"/>
  <c r="G1351" i="71"/>
  <c r="K1350" i="71"/>
  <c r="I1350" i="71"/>
  <c r="G1350" i="71"/>
  <c r="K1349" i="71"/>
  <c r="I1349" i="71"/>
  <c r="G1349" i="71"/>
  <c r="K1348" i="71"/>
  <c r="I1348" i="71"/>
  <c r="G1348" i="71"/>
  <c r="K1347" i="71"/>
  <c r="I1347" i="71"/>
  <c r="G1347" i="71"/>
  <c r="K1346" i="71"/>
  <c r="I1346" i="71"/>
  <c r="G1346" i="71"/>
  <c r="K1345" i="71"/>
  <c r="I1345" i="71"/>
  <c r="G1345" i="71"/>
  <c r="K1344" i="71"/>
  <c r="I1344" i="71"/>
  <c r="G1344" i="71"/>
  <c r="K1343" i="71"/>
  <c r="I1343" i="71"/>
  <c r="G1343" i="71"/>
  <c r="K1342" i="71"/>
  <c r="I1342" i="71"/>
  <c r="G1342" i="71"/>
  <c r="K1341" i="71"/>
  <c r="I1341" i="71"/>
  <c r="G1341" i="71"/>
  <c r="K1340" i="71"/>
  <c r="I1340" i="71"/>
  <c r="G1340" i="71"/>
  <c r="K1339" i="71"/>
  <c r="I1339" i="71"/>
  <c r="G1339" i="71"/>
  <c r="K1338" i="71"/>
  <c r="I1338" i="71"/>
  <c r="G1338" i="71"/>
  <c r="K1337" i="71"/>
  <c r="I1337" i="71"/>
  <c r="G1337" i="71"/>
  <c r="K1336" i="71"/>
  <c r="I1336" i="71"/>
  <c r="G1336" i="71"/>
  <c r="K1335" i="71"/>
  <c r="I1335" i="71"/>
  <c r="G1335" i="71"/>
  <c r="K1334" i="71"/>
  <c r="I1334" i="71"/>
  <c r="G1334" i="71"/>
  <c r="K1333" i="71"/>
  <c r="I1333" i="71"/>
  <c r="G1333" i="71"/>
  <c r="K1332" i="71"/>
  <c r="I1332" i="71"/>
  <c r="G1332" i="71"/>
  <c r="K1331" i="71"/>
  <c r="I1331" i="71"/>
  <c r="G1331" i="71"/>
  <c r="K1330" i="71"/>
  <c r="I1330" i="71"/>
  <c r="G1330" i="71"/>
  <c r="K1329" i="71"/>
  <c r="I1329" i="71"/>
  <c r="G1329" i="71"/>
  <c r="K1328" i="71"/>
  <c r="I1328" i="71"/>
  <c r="G1328" i="71"/>
  <c r="K1327" i="71"/>
  <c r="I1327" i="71"/>
  <c r="G1327" i="71"/>
  <c r="K1326" i="71"/>
  <c r="I1326" i="71"/>
  <c r="G1326" i="71"/>
  <c r="K1325" i="71"/>
  <c r="I1325" i="71"/>
  <c r="G1325" i="71"/>
  <c r="K1324" i="71"/>
  <c r="I1324" i="71"/>
  <c r="G1324" i="71"/>
  <c r="K1323" i="71"/>
  <c r="I1323" i="71"/>
  <c r="G1323" i="71"/>
  <c r="K1322" i="71"/>
  <c r="I1322" i="71"/>
  <c r="G1322" i="71"/>
  <c r="K1321" i="71"/>
  <c r="I1321" i="71"/>
  <c r="G1321" i="71"/>
  <c r="K1320" i="71"/>
  <c r="I1320" i="71"/>
  <c r="G1320" i="71"/>
  <c r="K1319" i="71"/>
  <c r="I1319" i="71"/>
  <c r="G1319" i="71"/>
  <c r="K1318" i="71"/>
  <c r="I1318" i="71"/>
  <c r="G1318" i="71"/>
  <c r="K1315" i="71"/>
  <c r="I1315" i="71"/>
  <c r="G1315" i="71"/>
  <c r="K1314" i="71"/>
  <c r="I1314" i="71"/>
  <c r="G1314" i="71"/>
  <c r="K1313" i="71"/>
  <c r="I1313" i="71"/>
  <c r="G1313" i="71"/>
  <c r="K1312" i="71"/>
  <c r="I1312" i="71"/>
  <c r="G1312" i="71"/>
  <c r="K1311" i="71"/>
  <c r="I1311" i="71"/>
  <c r="G1311" i="71"/>
  <c r="K1310" i="71"/>
  <c r="I1310" i="71"/>
  <c r="G1310" i="71"/>
  <c r="K1309" i="71"/>
  <c r="I1309" i="71"/>
  <c r="G1309" i="71"/>
  <c r="K1308" i="71"/>
  <c r="I1308" i="71"/>
  <c r="G1308" i="71"/>
  <c r="K1307" i="71"/>
  <c r="I1307" i="71"/>
  <c r="G1307" i="71"/>
  <c r="K1306" i="71"/>
  <c r="I1306" i="71"/>
  <c r="G1306" i="71"/>
  <c r="K1305" i="71"/>
  <c r="I1305" i="71"/>
  <c r="G1305" i="71"/>
  <c r="K1304" i="71"/>
  <c r="I1304" i="71"/>
  <c r="G1304" i="71"/>
  <c r="K1303" i="71"/>
  <c r="I1303" i="71"/>
  <c r="G1303" i="71"/>
  <c r="K1302" i="71"/>
  <c r="I1302" i="71"/>
  <c r="G1302" i="71"/>
  <c r="K1301" i="71"/>
  <c r="I1301" i="71"/>
  <c r="G1301" i="71"/>
  <c r="K1300" i="71"/>
  <c r="I1300" i="71"/>
  <c r="G1300" i="71"/>
  <c r="K1299" i="71"/>
  <c r="I1299" i="71"/>
  <c r="G1299" i="71"/>
  <c r="K1298" i="71"/>
  <c r="I1298" i="71"/>
  <c r="G1298" i="71"/>
  <c r="K1297" i="71"/>
  <c r="I1297" i="71"/>
  <c r="G1297" i="71"/>
  <c r="K1296" i="71"/>
  <c r="I1296" i="71"/>
  <c r="G1296" i="71"/>
  <c r="K1295" i="71"/>
  <c r="I1295" i="71"/>
  <c r="G1295" i="71"/>
  <c r="K1294" i="71"/>
  <c r="I1294" i="71"/>
  <c r="G1294" i="71"/>
  <c r="K1293" i="71"/>
  <c r="I1293" i="71"/>
  <c r="G1293" i="71"/>
  <c r="K1292" i="71"/>
  <c r="I1292" i="71"/>
  <c r="G1292" i="71"/>
  <c r="K1291" i="71"/>
  <c r="I1291" i="71"/>
  <c r="G1291" i="71"/>
  <c r="K1290" i="71"/>
  <c r="I1290" i="71"/>
  <c r="G1290" i="71"/>
  <c r="K1289" i="71"/>
  <c r="I1289" i="71"/>
  <c r="G1289" i="71"/>
  <c r="K1288" i="71"/>
  <c r="I1288" i="71"/>
  <c r="G1288" i="71"/>
  <c r="K1287" i="71"/>
  <c r="I1287" i="71"/>
  <c r="G1287" i="71"/>
  <c r="K1286" i="71"/>
  <c r="I1286" i="71"/>
  <c r="G1286" i="71"/>
  <c r="K1285" i="71"/>
  <c r="I1285" i="71"/>
  <c r="G1285" i="71"/>
  <c r="K1284" i="71"/>
  <c r="I1284" i="71"/>
  <c r="G1284" i="71"/>
  <c r="K1283" i="71"/>
  <c r="I1283" i="71"/>
  <c r="G1283" i="71"/>
  <c r="K1282" i="71"/>
  <c r="I1282" i="71"/>
  <c r="G1282" i="71"/>
  <c r="K1281" i="71"/>
  <c r="I1281" i="71"/>
  <c r="G1281" i="71"/>
  <c r="K1280" i="71"/>
  <c r="I1280" i="71"/>
  <c r="G1280" i="71"/>
  <c r="K1279" i="71"/>
  <c r="I1279" i="71"/>
  <c r="G1279" i="71"/>
  <c r="K1278" i="71"/>
  <c r="I1278" i="71"/>
  <c r="G1278" i="71"/>
  <c r="K1277" i="71"/>
  <c r="I1277" i="71"/>
  <c r="G1277" i="71"/>
  <c r="K1276" i="71"/>
  <c r="I1276" i="71"/>
  <c r="G1276" i="71"/>
  <c r="K1275" i="71"/>
  <c r="I1275" i="71"/>
  <c r="G1275" i="71"/>
  <c r="K1274" i="71"/>
  <c r="I1274" i="71"/>
  <c r="G1274" i="71"/>
  <c r="K1273" i="71"/>
  <c r="I1273" i="71"/>
  <c r="G1273" i="71"/>
  <c r="K1272" i="71"/>
  <c r="I1272" i="71"/>
  <c r="G1272" i="71"/>
  <c r="K1271" i="71"/>
  <c r="I1271" i="71"/>
  <c r="G1271" i="71"/>
  <c r="K1270" i="71"/>
  <c r="I1270" i="71"/>
  <c r="G1270" i="71"/>
  <c r="K1269" i="71"/>
  <c r="I1269" i="71"/>
  <c r="G1269" i="71"/>
  <c r="K1268" i="71"/>
  <c r="I1268" i="71"/>
  <c r="G1268" i="71"/>
  <c r="K1267" i="71"/>
  <c r="I1267" i="71"/>
  <c r="G1267" i="71"/>
  <c r="K1266" i="71"/>
  <c r="I1266" i="71"/>
  <c r="G1266" i="71"/>
  <c r="K1265" i="71"/>
  <c r="I1265" i="71"/>
  <c r="G1265" i="71"/>
  <c r="K1264" i="71"/>
  <c r="I1264" i="71"/>
  <c r="G1264" i="71"/>
  <c r="K1263" i="71"/>
  <c r="I1263" i="71"/>
  <c r="G1263" i="71"/>
  <c r="K1262" i="71"/>
  <c r="I1262" i="71"/>
  <c r="G1262" i="71"/>
  <c r="K1261" i="71"/>
  <c r="I1261" i="71"/>
  <c r="G1261" i="71"/>
  <c r="K1260" i="71"/>
  <c r="I1260" i="71"/>
  <c r="G1260" i="71"/>
  <c r="K1259" i="71"/>
  <c r="I1259" i="71"/>
  <c r="G1259" i="71"/>
  <c r="K1258" i="71"/>
  <c r="I1258" i="71"/>
  <c r="G1258" i="71"/>
  <c r="K1257" i="71"/>
  <c r="I1257" i="71"/>
  <c r="G1257" i="71"/>
  <c r="K1256" i="71"/>
  <c r="I1256" i="71"/>
  <c r="G1256" i="71"/>
  <c r="K1255" i="71"/>
  <c r="I1255" i="71"/>
  <c r="G1255" i="71"/>
  <c r="K1254" i="71"/>
  <c r="I1254" i="71"/>
  <c r="G1254" i="71"/>
  <c r="K1253" i="71"/>
  <c r="I1253" i="71"/>
  <c r="G1253" i="71"/>
  <c r="K1252" i="71"/>
  <c r="I1252" i="71"/>
  <c r="G1252" i="71"/>
  <c r="K1251" i="71"/>
  <c r="I1251" i="71"/>
  <c r="G1251" i="71"/>
  <c r="K1250" i="71"/>
  <c r="I1250" i="71"/>
  <c r="G1250" i="71"/>
  <c r="K1249" i="71"/>
  <c r="I1249" i="71"/>
  <c r="G1249" i="71"/>
  <c r="K1248" i="71"/>
  <c r="I1248" i="71"/>
  <c r="G1248" i="71"/>
  <c r="K1247" i="71"/>
  <c r="I1247" i="71"/>
  <c r="G1247" i="71"/>
  <c r="K1246" i="71"/>
  <c r="I1246" i="71"/>
  <c r="G1246" i="71"/>
  <c r="K1245" i="71"/>
  <c r="I1245" i="71"/>
  <c r="G1245" i="71"/>
  <c r="K1244" i="71"/>
  <c r="I1244" i="71"/>
  <c r="G1244" i="71"/>
  <c r="K1243" i="71"/>
  <c r="I1243" i="71"/>
  <c r="G1243" i="71"/>
  <c r="K1242" i="71"/>
  <c r="I1242" i="71"/>
  <c r="G1242" i="71"/>
  <c r="K1241" i="71"/>
  <c r="I1241" i="71"/>
  <c r="G1241" i="71"/>
  <c r="K1240" i="71"/>
  <c r="I1240" i="71"/>
  <c r="G1240" i="71"/>
  <c r="K1239" i="71"/>
  <c r="I1239" i="71"/>
  <c r="G1239" i="71"/>
  <c r="K1238" i="71"/>
  <c r="I1238" i="71"/>
  <c r="G1238" i="71"/>
  <c r="K1237" i="71"/>
  <c r="I1237" i="71"/>
  <c r="G1237" i="71"/>
  <c r="K1236" i="71"/>
  <c r="I1236" i="71"/>
  <c r="G1236" i="71"/>
  <c r="K1235" i="71"/>
  <c r="I1235" i="71"/>
  <c r="G1235" i="71"/>
  <c r="K1234" i="71"/>
  <c r="I1234" i="71"/>
  <c r="G1234" i="71"/>
  <c r="K1233" i="71"/>
  <c r="I1233" i="71"/>
  <c r="G1233" i="71"/>
  <c r="K1232" i="71"/>
  <c r="I1232" i="71"/>
  <c r="G1232" i="71"/>
  <c r="K1231" i="71"/>
  <c r="I1231" i="71"/>
  <c r="G1231" i="71"/>
  <c r="K1230" i="71"/>
  <c r="I1230" i="71"/>
  <c r="G1230" i="71"/>
  <c r="K1229" i="71"/>
  <c r="I1229" i="71"/>
  <c r="G1229" i="71"/>
  <c r="K1228" i="71"/>
  <c r="I1228" i="71"/>
  <c r="G1228" i="71"/>
  <c r="K1227" i="71"/>
  <c r="I1227" i="71"/>
  <c r="G1227" i="71"/>
  <c r="K1226" i="71"/>
  <c r="I1226" i="71"/>
  <c r="G1226" i="71"/>
  <c r="K1225" i="71"/>
  <c r="I1225" i="71"/>
  <c r="G1225" i="71"/>
  <c r="K1224" i="71"/>
  <c r="I1224" i="71"/>
  <c r="G1224" i="71"/>
  <c r="K1223" i="71"/>
  <c r="I1223" i="71"/>
  <c r="G1223" i="71"/>
  <c r="K1222" i="71"/>
  <c r="I1222" i="71"/>
  <c r="G1222" i="71"/>
  <c r="K1221" i="71"/>
  <c r="I1221" i="71"/>
  <c r="G1221" i="71"/>
  <c r="K1220" i="71"/>
  <c r="I1220" i="71"/>
  <c r="G1220" i="71"/>
  <c r="K1219" i="71"/>
  <c r="I1219" i="71"/>
  <c r="G1219" i="71"/>
  <c r="K1218" i="71"/>
  <c r="I1218" i="71"/>
  <c r="G1218" i="71"/>
  <c r="K1217" i="71"/>
  <c r="I1217" i="71"/>
  <c r="G1217" i="71"/>
  <c r="K1216" i="71"/>
  <c r="I1216" i="71"/>
  <c r="G1216" i="71"/>
  <c r="K1215" i="71"/>
  <c r="I1215" i="71"/>
  <c r="G1215" i="71"/>
  <c r="K1214" i="71"/>
  <c r="I1214" i="71"/>
  <c r="G1214" i="71"/>
  <c r="K1213" i="71"/>
  <c r="I1213" i="71"/>
  <c r="G1213" i="71"/>
  <c r="K1212" i="71"/>
  <c r="I1212" i="71"/>
  <c r="G1212" i="71"/>
  <c r="K1211" i="71"/>
  <c r="I1211" i="71"/>
  <c r="G1211" i="71"/>
  <c r="K1210" i="71"/>
  <c r="I1210" i="71"/>
  <c r="G1210" i="71"/>
  <c r="K1209" i="71"/>
  <c r="I1209" i="71"/>
  <c r="G1209" i="71"/>
  <c r="K1208" i="71"/>
  <c r="I1208" i="71"/>
  <c r="G1208" i="71"/>
  <c r="K1207" i="71"/>
  <c r="I1207" i="71"/>
  <c r="G1207" i="71"/>
  <c r="K1206" i="71"/>
  <c r="I1206" i="71"/>
  <c r="G1206" i="71"/>
  <c r="K1205" i="71"/>
  <c r="I1205" i="71"/>
  <c r="G1205" i="71"/>
  <c r="K1204" i="71"/>
  <c r="I1204" i="71"/>
  <c r="G1204" i="71"/>
  <c r="K1203" i="71"/>
  <c r="I1203" i="71"/>
  <c r="G1203" i="71"/>
  <c r="K1202" i="71"/>
  <c r="I1202" i="71"/>
  <c r="G1202" i="71"/>
  <c r="K1201" i="71"/>
  <c r="I1201" i="71"/>
  <c r="G1201" i="71"/>
  <c r="K1200" i="71"/>
  <c r="I1200" i="71"/>
  <c r="G1200" i="71"/>
  <c r="K1199" i="71"/>
  <c r="I1199" i="71"/>
  <c r="G1199" i="71"/>
  <c r="K1198" i="71"/>
  <c r="I1198" i="71"/>
  <c r="G1198" i="71"/>
  <c r="K1197" i="71"/>
  <c r="I1197" i="71"/>
  <c r="G1197" i="71"/>
  <c r="K1196" i="71"/>
  <c r="I1196" i="71"/>
  <c r="G1196" i="71"/>
  <c r="K1195" i="71"/>
  <c r="I1195" i="71"/>
  <c r="G1195" i="71"/>
  <c r="K1194" i="71"/>
  <c r="I1194" i="71"/>
  <c r="G1194" i="71"/>
  <c r="K1193" i="71"/>
  <c r="I1193" i="71"/>
  <c r="G1193" i="71"/>
  <c r="K1192" i="71"/>
  <c r="I1192" i="71"/>
  <c r="G1192" i="71"/>
  <c r="K1191" i="71"/>
  <c r="I1191" i="71"/>
  <c r="G1191" i="71"/>
  <c r="K1190" i="71"/>
  <c r="I1190" i="71"/>
  <c r="G1190" i="71"/>
  <c r="K1189" i="71"/>
  <c r="I1189" i="71"/>
  <c r="G1189" i="71"/>
  <c r="K1188" i="71"/>
  <c r="I1188" i="71"/>
  <c r="G1188" i="71"/>
  <c r="K1187" i="71"/>
  <c r="I1187" i="71"/>
  <c r="G1187" i="71"/>
  <c r="K1186" i="71"/>
  <c r="I1186" i="71"/>
  <c r="G1186" i="71"/>
  <c r="K1185" i="71"/>
  <c r="I1185" i="71"/>
  <c r="G1185" i="71"/>
  <c r="K1184" i="71"/>
  <c r="I1184" i="71"/>
  <c r="G1184" i="71"/>
  <c r="K1183" i="71"/>
  <c r="I1183" i="71"/>
  <c r="G1183" i="71"/>
  <c r="K1182" i="71"/>
  <c r="I1182" i="71"/>
  <c r="G1182" i="71"/>
  <c r="K1181" i="71"/>
  <c r="I1181" i="71"/>
  <c r="G1181" i="71"/>
  <c r="K1180" i="71"/>
  <c r="I1180" i="71"/>
  <c r="G1180" i="71"/>
  <c r="K1179" i="71"/>
  <c r="I1179" i="71"/>
  <c r="G1179" i="71"/>
  <c r="K1178" i="71"/>
  <c r="I1178" i="71"/>
  <c r="G1178" i="71"/>
  <c r="K1177" i="71"/>
  <c r="I1177" i="71"/>
  <c r="G1177" i="71"/>
  <c r="K1176" i="71"/>
  <c r="I1176" i="71"/>
  <c r="G1176" i="71"/>
  <c r="K1175" i="71"/>
  <c r="I1175" i="71"/>
  <c r="G1175" i="71"/>
  <c r="K1174" i="71"/>
  <c r="I1174" i="71"/>
  <c r="G1174" i="71"/>
  <c r="K1173" i="71"/>
  <c r="I1173" i="71"/>
  <c r="G1173" i="71"/>
  <c r="K1172" i="71"/>
  <c r="I1172" i="71"/>
  <c r="G1172" i="71"/>
  <c r="K1171" i="71"/>
  <c r="I1171" i="71"/>
  <c r="G1171" i="71"/>
  <c r="K1170" i="71"/>
  <c r="I1170" i="71"/>
  <c r="G1170" i="71"/>
  <c r="K1169" i="71"/>
  <c r="I1169" i="71"/>
  <c r="G1169" i="71"/>
  <c r="K1168" i="71"/>
  <c r="I1168" i="71"/>
  <c r="G1168" i="71"/>
  <c r="K1167" i="71"/>
  <c r="I1167" i="71"/>
  <c r="G1167" i="71"/>
  <c r="K1166" i="71"/>
  <c r="I1166" i="71"/>
  <c r="G1166" i="71"/>
  <c r="K1165" i="71"/>
  <c r="I1165" i="71"/>
  <c r="G1165" i="71"/>
  <c r="K1164" i="71"/>
  <c r="I1164" i="71"/>
  <c r="G1164" i="71"/>
  <c r="K1163" i="71"/>
  <c r="I1163" i="71"/>
  <c r="G1163" i="71"/>
  <c r="K1162" i="71"/>
  <c r="I1162" i="71"/>
  <c r="G1162" i="71"/>
  <c r="K1161" i="71"/>
  <c r="I1161" i="71"/>
  <c r="G1161" i="71"/>
  <c r="K1160" i="71"/>
  <c r="I1160" i="71"/>
  <c r="G1160" i="71"/>
  <c r="K1159" i="71"/>
  <c r="I1159" i="71"/>
  <c r="G1159" i="71"/>
  <c r="K1158" i="71"/>
  <c r="I1158" i="71"/>
  <c r="G1158" i="71"/>
  <c r="K1157" i="71"/>
  <c r="I1157" i="71"/>
  <c r="G1157" i="71"/>
  <c r="K1156" i="71"/>
  <c r="I1156" i="71"/>
  <c r="G1156" i="71"/>
  <c r="K1155" i="71"/>
  <c r="I1155" i="71"/>
  <c r="G1155" i="71"/>
  <c r="K1154" i="71"/>
  <c r="I1154" i="71"/>
  <c r="G1154" i="71"/>
  <c r="K1153" i="71"/>
  <c r="I1153" i="71"/>
  <c r="G1153" i="71"/>
  <c r="K1152" i="71"/>
  <c r="I1152" i="71"/>
  <c r="G1152" i="71"/>
  <c r="K1151" i="71"/>
  <c r="I1151" i="71"/>
  <c r="G1151" i="71"/>
  <c r="K1150" i="71"/>
  <c r="I1150" i="71"/>
  <c r="G1150" i="71"/>
  <c r="K1149" i="71"/>
  <c r="I1149" i="71"/>
  <c r="G1149" i="71"/>
  <c r="K1148" i="71"/>
  <c r="I1148" i="71"/>
  <c r="G1148" i="71"/>
  <c r="K1147" i="71"/>
  <c r="I1147" i="71"/>
  <c r="G1147" i="71"/>
  <c r="K1146" i="71"/>
  <c r="I1146" i="71"/>
  <c r="G1146" i="71"/>
  <c r="K1145" i="71"/>
  <c r="I1145" i="71"/>
  <c r="G1145" i="71"/>
  <c r="K1144" i="71"/>
  <c r="I1144" i="71"/>
  <c r="G1144" i="71"/>
  <c r="K1143" i="71"/>
  <c r="I1143" i="71"/>
  <c r="G1143" i="71"/>
  <c r="K1142" i="71"/>
  <c r="I1142" i="71"/>
  <c r="G1142" i="71"/>
  <c r="K1141" i="71"/>
  <c r="I1141" i="71"/>
  <c r="G1141" i="71"/>
  <c r="K1140" i="71"/>
  <c r="I1140" i="71"/>
  <c r="G1140" i="71"/>
  <c r="K1139" i="71"/>
  <c r="I1139" i="71"/>
  <c r="G1139" i="71"/>
  <c r="K1138" i="71"/>
  <c r="I1138" i="71"/>
  <c r="G1138" i="71"/>
  <c r="K1137" i="71"/>
  <c r="I1137" i="71"/>
  <c r="G1137" i="71"/>
  <c r="K1136" i="71"/>
  <c r="I1136" i="71"/>
  <c r="G1136" i="71"/>
  <c r="K1135" i="71"/>
  <c r="I1135" i="71"/>
  <c r="G1135" i="71"/>
  <c r="K1134" i="71"/>
  <c r="I1134" i="71"/>
  <c r="G1134" i="71"/>
  <c r="K1133" i="71"/>
  <c r="I1133" i="71"/>
  <c r="G1133" i="71"/>
  <c r="K1132" i="71"/>
  <c r="I1132" i="71"/>
  <c r="G1132" i="71"/>
  <c r="K1131" i="71"/>
  <c r="I1131" i="71"/>
  <c r="G1131" i="71"/>
  <c r="K1130" i="71"/>
  <c r="I1130" i="71"/>
  <c r="G1130" i="71"/>
  <c r="K1129" i="71"/>
  <c r="I1129" i="71"/>
  <c r="G1129" i="71"/>
  <c r="K1128" i="71"/>
  <c r="I1128" i="71"/>
  <c r="G1128" i="71"/>
  <c r="K1127" i="71"/>
  <c r="I1127" i="71"/>
  <c r="G1127" i="71"/>
  <c r="K1126" i="71"/>
  <c r="I1126" i="71"/>
  <c r="G1126" i="71"/>
  <c r="K1125" i="71"/>
  <c r="I1125" i="71"/>
  <c r="G1125" i="71"/>
  <c r="K1124" i="71"/>
  <c r="I1124" i="71"/>
  <c r="G1124" i="71"/>
  <c r="K1123" i="71"/>
  <c r="I1123" i="71"/>
  <c r="G1123" i="71"/>
  <c r="K1122" i="71"/>
  <c r="I1122" i="71"/>
  <c r="G1122" i="71"/>
  <c r="K1121" i="71"/>
  <c r="I1121" i="71"/>
  <c r="G1121" i="71"/>
  <c r="K1120" i="71"/>
  <c r="I1120" i="71"/>
  <c r="G1120" i="71"/>
  <c r="K1119" i="71"/>
  <c r="I1119" i="71"/>
  <c r="G1119" i="71"/>
  <c r="K1118" i="71"/>
  <c r="I1118" i="71"/>
  <c r="G1118" i="71"/>
  <c r="K1117" i="71"/>
  <c r="I1117" i="71"/>
  <c r="G1117" i="71"/>
  <c r="K1116" i="71"/>
  <c r="I1116" i="71"/>
  <c r="G1116" i="71"/>
  <c r="K1115" i="71"/>
  <c r="I1115" i="71"/>
  <c r="G1115" i="71"/>
  <c r="K1114" i="71"/>
  <c r="I1114" i="71"/>
  <c r="G1114" i="71"/>
  <c r="K1113" i="71"/>
  <c r="I1113" i="71"/>
  <c r="G1113" i="71"/>
  <c r="K1112" i="71"/>
  <c r="I1112" i="71"/>
  <c r="G1112" i="71"/>
  <c r="K1111" i="71"/>
  <c r="I1111" i="71"/>
  <c r="G1111" i="71"/>
  <c r="K1110" i="71"/>
  <c r="I1110" i="71"/>
  <c r="G1110" i="71"/>
  <c r="K1109" i="71"/>
  <c r="I1109" i="71"/>
  <c r="G1109" i="71"/>
  <c r="K1108" i="71"/>
  <c r="I1108" i="71"/>
  <c r="G1108" i="71"/>
  <c r="K1107" i="71"/>
  <c r="I1107" i="71"/>
  <c r="G1107" i="71"/>
  <c r="K1106" i="71"/>
  <c r="I1106" i="71"/>
  <c r="G1106" i="71"/>
  <c r="K1105" i="71"/>
  <c r="I1105" i="71"/>
  <c r="G1105" i="71"/>
  <c r="K1104" i="71"/>
  <c r="I1104" i="71"/>
  <c r="G1104" i="71"/>
  <c r="K1103" i="71"/>
  <c r="I1103" i="71"/>
  <c r="G1103" i="71"/>
  <c r="K1102" i="71"/>
  <c r="I1102" i="71"/>
  <c r="G1102" i="71"/>
  <c r="K1101" i="71"/>
  <c r="I1101" i="71"/>
  <c r="G1101" i="71"/>
  <c r="K1100" i="71"/>
  <c r="I1100" i="71"/>
  <c r="G1100" i="71"/>
  <c r="K1099" i="71"/>
  <c r="I1099" i="71"/>
  <c r="G1099" i="71"/>
  <c r="K1098" i="71"/>
  <c r="I1098" i="71"/>
  <c r="G1098" i="71"/>
  <c r="K1097" i="71"/>
  <c r="I1097" i="71"/>
  <c r="G1097" i="71"/>
  <c r="K1096" i="71"/>
  <c r="I1096" i="71"/>
  <c r="G1096" i="71"/>
  <c r="K1095" i="71"/>
  <c r="I1095" i="71"/>
  <c r="G1095" i="71"/>
  <c r="K1094" i="71"/>
  <c r="I1094" i="71"/>
  <c r="G1094" i="71"/>
  <c r="K1093" i="71"/>
  <c r="I1093" i="71"/>
  <c r="G1093" i="71"/>
  <c r="K1092" i="71"/>
  <c r="I1092" i="71"/>
  <c r="G1092" i="71"/>
  <c r="K1091" i="71"/>
  <c r="I1091" i="71"/>
  <c r="G1091" i="71"/>
  <c r="K1090" i="71"/>
  <c r="I1090" i="71"/>
  <c r="G1090" i="71"/>
  <c r="K1089" i="71"/>
  <c r="I1089" i="71"/>
  <c r="G1089" i="71"/>
  <c r="K1088" i="71"/>
  <c r="I1088" i="71"/>
  <c r="G1088" i="71"/>
  <c r="K1087" i="71"/>
  <c r="I1087" i="71"/>
  <c r="G1087" i="71"/>
  <c r="K1086" i="71"/>
  <c r="I1086" i="71"/>
  <c r="G1086" i="71"/>
  <c r="K1085" i="71"/>
  <c r="I1085" i="71"/>
  <c r="G1085" i="71"/>
  <c r="K1084" i="71"/>
  <c r="I1084" i="71"/>
  <c r="G1084" i="71"/>
  <c r="K1083" i="71"/>
  <c r="I1083" i="71"/>
  <c r="G1083" i="71"/>
  <c r="K1082" i="71"/>
  <c r="I1082" i="71"/>
  <c r="G1082" i="71"/>
  <c r="K1081" i="71"/>
  <c r="I1081" i="71"/>
  <c r="G1081" i="71"/>
  <c r="K1080" i="71"/>
  <c r="I1080" i="71"/>
  <c r="G1080" i="71"/>
  <c r="K1079" i="71"/>
  <c r="I1079" i="71"/>
  <c r="G1079" i="71"/>
  <c r="K1078" i="71"/>
  <c r="I1078" i="71"/>
  <c r="G1078" i="71"/>
  <c r="K1077" i="71"/>
  <c r="I1077" i="71"/>
  <c r="G1077" i="71"/>
  <c r="K1076" i="71"/>
  <c r="I1076" i="71"/>
  <c r="G1076" i="71"/>
  <c r="K1075" i="71"/>
  <c r="I1075" i="71"/>
  <c r="G1075" i="71"/>
  <c r="K1074" i="71"/>
  <c r="I1074" i="71"/>
  <c r="G1074" i="71"/>
  <c r="K1073" i="71"/>
  <c r="I1073" i="71"/>
  <c r="G1073" i="71"/>
  <c r="K1072" i="71"/>
  <c r="I1072" i="71"/>
  <c r="G1072" i="71"/>
  <c r="K1071" i="71"/>
  <c r="I1071" i="71"/>
  <c r="G1071" i="71"/>
  <c r="K1070" i="71"/>
  <c r="I1070" i="71"/>
  <c r="G1070" i="71"/>
  <c r="K1069" i="71"/>
  <c r="I1069" i="71"/>
  <c r="G1069" i="71"/>
  <c r="K1068" i="71"/>
  <c r="I1068" i="71"/>
  <c r="G1068" i="71"/>
  <c r="K1067" i="71"/>
  <c r="I1067" i="71"/>
  <c r="G1067" i="71"/>
  <c r="K1066" i="71"/>
  <c r="I1066" i="71"/>
  <c r="G1066" i="71"/>
  <c r="K1065" i="71"/>
  <c r="I1065" i="71"/>
  <c r="G1065" i="71"/>
  <c r="K1064" i="71"/>
  <c r="I1064" i="71"/>
  <c r="G1064" i="71"/>
  <c r="K1063" i="71"/>
  <c r="I1063" i="71"/>
  <c r="G1063" i="71"/>
  <c r="K1062" i="71"/>
  <c r="I1062" i="71"/>
  <c r="G1062" i="71"/>
  <c r="K1061" i="71"/>
  <c r="I1061" i="71"/>
  <c r="G1061" i="71"/>
  <c r="K1060" i="71"/>
  <c r="I1060" i="71"/>
  <c r="G1060" i="71"/>
  <c r="K1059" i="71"/>
  <c r="I1059" i="71"/>
  <c r="G1059" i="71"/>
  <c r="K1058" i="71"/>
  <c r="I1058" i="71"/>
  <c r="G1058" i="71"/>
  <c r="K1057" i="71"/>
  <c r="I1057" i="71"/>
  <c r="G1057" i="71"/>
  <c r="K1056" i="71"/>
  <c r="I1056" i="71"/>
  <c r="G1056" i="71"/>
  <c r="K1055" i="71"/>
  <c r="I1055" i="71"/>
  <c r="G1055" i="71"/>
  <c r="K1054" i="71"/>
  <c r="I1054" i="71"/>
  <c r="G1054" i="71"/>
  <c r="K1053" i="71"/>
  <c r="I1053" i="71"/>
  <c r="G1053" i="71"/>
  <c r="K1052" i="71"/>
  <c r="I1052" i="71"/>
  <c r="G1052" i="71"/>
  <c r="K1051" i="71"/>
  <c r="I1051" i="71"/>
  <c r="G1051" i="71"/>
  <c r="K1050" i="71"/>
  <c r="I1050" i="71"/>
  <c r="G1050" i="71"/>
  <c r="K1049" i="71"/>
  <c r="I1049" i="71"/>
  <c r="G1049" i="71"/>
  <c r="K1048" i="71"/>
  <c r="I1048" i="71"/>
  <c r="G1048" i="71"/>
  <c r="K1047" i="71"/>
  <c r="I1047" i="71"/>
  <c r="G1047" i="71"/>
  <c r="K1046" i="71"/>
  <c r="I1046" i="71"/>
  <c r="G1046" i="71"/>
  <c r="K1045" i="71"/>
  <c r="I1045" i="71"/>
  <c r="G1045" i="71"/>
  <c r="K1044" i="71"/>
  <c r="I1044" i="71"/>
  <c r="G1044" i="71"/>
  <c r="K1043" i="71"/>
  <c r="I1043" i="71"/>
  <c r="G1043" i="71"/>
  <c r="K1042" i="71"/>
  <c r="I1042" i="71"/>
  <c r="G1042" i="71"/>
  <c r="K1041" i="71"/>
  <c r="I1041" i="71"/>
  <c r="G1041" i="71"/>
  <c r="K1040" i="71"/>
  <c r="I1040" i="71"/>
  <c r="G1040" i="71"/>
  <c r="K1039" i="71"/>
  <c r="I1039" i="71"/>
  <c r="G1039" i="71"/>
  <c r="K1038" i="71"/>
  <c r="I1038" i="71"/>
  <c r="G1038" i="71"/>
  <c r="K1037" i="71"/>
  <c r="I1037" i="71"/>
  <c r="G1037" i="71"/>
  <c r="K1036" i="71"/>
  <c r="I1036" i="71"/>
  <c r="G1036" i="71"/>
  <c r="K1035" i="71"/>
  <c r="I1035" i="71"/>
  <c r="G1035" i="71"/>
  <c r="K1034" i="71"/>
  <c r="I1034" i="71"/>
  <c r="G1034" i="71"/>
  <c r="K1033" i="71"/>
  <c r="I1033" i="71"/>
  <c r="G1033" i="71"/>
  <c r="K1032" i="71"/>
  <c r="I1032" i="71"/>
  <c r="G1032" i="71"/>
  <c r="K1031" i="71"/>
  <c r="I1031" i="71"/>
  <c r="G1031" i="71"/>
  <c r="K1030" i="71"/>
  <c r="I1030" i="71"/>
  <c r="G1030" i="71"/>
  <c r="K1029" i="71"/>
  <c r="I1029" i="71"/>
  <c r="G1029" i="71"/>
  <c r="K1028" i="71"/>
  <c r="I1028" i="71"/>
  <c r="G1028" i="71"/>
  <c r="K1027" i="71"/>
  <c r="I1027" i="71"/>
  <c r="G1027" i="71"/>
  <c r="K1026" i="71"/>
  <c r="I1026" i="71"/>
  <c r="G1026" i="71"/>
  <c r="K1025" i="71"/>
  <c r="I1025" i="71"/>
  <c r="G1025" i="71"/>
  <c r="K1024" i="71"/>
  <c r="I1024" i="71"/>
  <c r="G1024" i="71"/>
  <c r="K1023" i="71"/>
  <c r="I1023" i="71"/>
  <c r="G1023" i="71"/>
  <c r="K1022" i="71"/>
  <c r="I1022" i="71"/>
  <c r="G1022" i="71"/>
  <c r="K1021" i="71"/>
  <c r="I1021" i="71"/>
  <c r="G1021" i="71"/>
  <c r="K1020" i="71"/>
  <c r="I1020" i="71"/>
  <c r="G1020" i="71"/>
  <c r="K1019" i="71"/>
  <c r="I1019" i="71"/>
  <c r="G1019" i="71"/>
  <c r="K1018" i="71"/>
  <c r="I1018" i="71"/>
  <c r="G1018" i="71"/>
  <c r="K1017" i="71"/>
  <c r="I1017" i="71"/>
  <c r="G1017" i="71"/>
  <c r="K1016" i="71"/>
  <c r="I1016" i="71"/>
  <c r="G1016" i="71"/>
  <c r="K1015" i="71"/>
  <c r="I1015" i="71"/>
  <c r="G1015" i="71"/>
  <c r="K1014" i="71"/>
  <c r="I1014" i="71"/>
  <c r="G1014" i="71"/>
  <c r="K1013" i="71"/>
  <c r="I1013" i="71"/>
  <c r="G1013" i="71"/>
  <c r="K1012" i="71"/>
  <c r="I1012" i="71"/>
  <c r="G1012" i="71"/>
  <c r="K1011" i="71"/>
  <c r="I1011" i="71"/>
  <c r="G1011" i="71"/>
  <c r="K1010" i="71"/>
  <c r="I1010" i="71"/>
  <c r="G1010" i="71"/>
  <c r="K1009" i="71"/>
  <c r="I1009" i="71"/>
  <c r="G1009" i="71"/>
  <c r="K1008" i="71"/>
  <c r="I1008" i="71"/>
  <c r="G1008" i="71"/>
  <c r="K1007" i="71"/>
  <c r="I1007" i="71"/>
  <c r="G1007" i="71"/>
  <c r="K1006" i="71"/>
  <c r="I1006" i="71"/>
  <c r="G1006" i="71"/>
  <c r="K1005" i="71"/>
  <c r="I1005" i="71"/>
  <c r="G1005" i="71"/>
  <c r="K1004" i="71"/>
  <c r="I1004" i="71"/>
  <c r="G1004" i="71"/>
  <c r="K1003" i="71"/>
  <c r="I1003" i="71"/>
  <c r="G1003" i="71"/>
  <c r="K1002" i="71"/>
  <c r="I1002" i="71"/>
  <c r="G1002" i="71"/>
  <c r="K1001" i="71"/>
  <c r="I1001" i="71"/>
  <c r="G1001" i="71"/>
  <c r="K1000" i="71"/>
  <c r="I1000" i="71"/>
  <c r="G1000" i="71"/>
  <c r="K999" i="71"/>
  <c r="I999" i="71"/>
  <c r="G999" i="71"/>
  <c r="K998" i="71"/>
  <c r="I998" i="71"/>
  <c r="G998" i="71"/>
  <c r="K997" i="71"/>
  <c r="I997" i="71"/>
  <c r="G997" i="71"/>
  <c r="K996" i="71"/>
  <c r="I996" i="71"/>
  <c r="G996" i="71"/>
  <c r="K995" i="71"/>
  <c r="I995" i="71"/>
  <c r="G995" i="71"/>
  <c r="K994" i="71"/>
  <c r="I994" i="71"/>
  <c r="G994" i="71"/>
  <c r="K993" i="71"/>
  <c r="I993" i="71"/>
  <c r="G993" i="71"/>
  <c r="K992" i="71"/>
  <c r="I992" i="71"/>
  <c r="G992" i="71"/>
  <c r="K991" i="71"/>
  <c r="I991" i="71"/>
  <c r="G991" i="71"/>
  <c r="K990" i="71"/>
  <c r="I990" i="71"/>
  <c r="G990" i="71"/>
  <c r="K989" i="71"/>
  <c r="I989" i="71"/>
  <c r="G989" i="71"/>
  <c r="K988" i="71"/>
  <c r="I988" i="71"/>
  <c r="G988" i="71"/>
  <c r="K987" i="71"/>
  <c r="I987" i="71"/>
  <c r="G987" i="71"/>
  <c r="K986" i="71"/>
  <c r="I986" i="71"/>
  <c r="G986" i="71"/>
  <c r="K985" i="71"/>
  <c r="I985" i="71"/>
  <c r="G985" i="71"/>
  <c r="K984" i="71"/>
  <c r="I984" i="71"/>
  <c r="G984" i="71"/>
  <c r="K983" i="71"/>
  <c r="I983" i="71"/>
  <c r="G983" i="71"/>
  <c r="K982" i="71"/>
  <c r="I982" i="71"/>
  <c r="G982" i="71"/>
  <c r="K981" i="71"/>
  <c r="I981" i="71"/>
  <c r="G981" i="71"/>
  <c r="K980" i="71"/>
  <c r="I980" i="71"/>
  <c r="G980" i="71"/>
  <c r="K979" i="71"/>
  <c r="I979" i="71"/>
  <c r="G979" i="71"/>
  <c r="K978" i="71"/>
  <c r="I978" i="71"/>
  <c r="G978" i="71"/>
  <c r="K977" i="71"/>
  <c r="I977" i="71"/>
  <c r="G977" i="71"/>
  <c r="K976" i="71"/>
  <c r="I976" i="71"/>
  <c r="G976" i="71"/>
  <c r="K975" i="71"/>
  <c r="I975" i="71"/>
  <c r="G975" i="71"/>
  <c r="K974" i="71"/>
  <c r="I974" i="71"/>
  <c r="G974" i="71"/>
  <c r="K973" i="71"/>
  <c r="I973" i="71"/>
  <c r="G973" i="71"/>
  <c r="K972" i="71"/>
  <c r="I972" i="71"/>
  <c r="G972" i="71"/>
  <c r="K971" i="71"/>
  <c r="I971" i="71"/>
  <c r="G971" i="71"/>
  <c r="K970" i="71"/>
  <c r="I970" i="71"/>
  <c r="G970" i="71"/>
  <c r="K969" i="71"/>
  <c r="I969" i="71"/>
  <c r="G969" i="71"/>
  <c r="K968" i="71"/>
  <c r="I968" i="71"/>
  <c r="G968" i="71"/>
  <c r="K967" i="71"/>
  <c r="I967" i="71"/>
  <c r="G967" i="71"/>
  <c r="K966" i="71"/>
  <c r="I966" i="71"/>
  <c r="G966" i="71"/>
  <c r="K965" i="71"/>
  <c r="I965" i="71"/>
  <c r="G965" i="71"/>
  <c r="K964" i="71"/>
  <c r="I964" i="71"/>
  <c r="G964" i="71"/>
  <c r="K963" i="71"/>
  <c r="I963" i="71"/>
  <c r="G963" i="71"/>
  <c r="K962" i="71"/>
  <c r="I962" i="71"/>
  <c r="G962" i="71"/>
  <c r="K961" i="71"/>
  <c r="I961" i="71"/>
  <c r="G961" i="71"/>
  <c r="K960" i="71"/>
  <c r="I960" i="71"/>
  <c r="G960" i="71"/>
  <c r="K959" i="71"/>
  <c r="I959" i="71"/>
  <c r="G959" i="71"/>
  <c r="K958" i="71"/>
  <c r="I958" i="71"/>
  <c r="G958" i="71"/>
  <c r="K957" i="71"/>
  <c r="I957" i="71"/>
  <c r="G957" i="71"/>
  <c r="K956" i="71"/>
  <c r="I956" i="71"/>
  <c r="G956" i="71"/>
  <c r="K955" i="71"/>
  <c r="I955" i="71"/>
  <c r="G955" i="71"/>
  <c r="K954" i="71"/>
  <c r="I954" i="71"/>
  <c r="G954" i="71"/>
  <c r="K953" i="71"/>
  <c r="I953" i="71"/>
  <c r="G953" i="71"/>
  <c r="K952" i="71"/>
  <c r="I952" i="71"/>
  <c r="G952" i="71"/>
  <c r="K951" i="71"/>
  <c r="I951" i="71"/>
  <c r="G951" i="71"/>
  <c r="K950" i="71"/>
  <c r="I950" i="71"/>
  <c r="G950" i="71"/>
  <c r="K949" i="71"/>
  <c r="I949" i="71"/>
  <c r="G949" i="71"/>
  <c r="K948" i="71"/>
  <c r="I948" i="71"/>
  <c r="G948" i="71"/>
  <c r="K947" i="71"/>
  <c r="I947" i="71"/>
  <c r="G947" i="71"/>
  <c r="K946" i="71"/>
  <c r="I946" i="71"/>
  <c r="G946" i="71"/>
  <c r="K945" i="71"/>
  <c r="I945" i="71"/>
  <c r="G945" i="71"/>
  <c r="K944" i="71"/>
  <c r="I944" i="71"/>
  <c r="G944" i="71"/>
  <c r="K943" i="71"/>
  <c r="I943" i="71"/>
  <c r="G943" i="71"/>
  <c r="K942" i="71"/>
  <c r="I942" i="71"/>
  <c r="G942" i="71"/>
  <c r="K941" i="71"/>
  <c r="I941" i="71"/>
  <c r="G941" i="71"/>
  <c r="K940" i="71"/>
  <c r="I940" i="71"/>
  <c r="G940" i="71"/>
  <c r="K939" i="71"/>
  <c r="I939" i="71"/>
  <c r="G939" i="71"/>
  <c r="K938" i="71"/>
  <c r="I938" i="71"/>
  <c r="G938" i="71"/>
  <c r="K937" i="71"/>
  <c r="I937" i="71"/>
  <c r="G937" i="71"/>
  <c r="K936" i="71"/>
  <c r="I936" i="71"/>
  <c r="G936" i="71"/>
  <c r="K935" i="71"/>
  <c r="I935" i="71"/>
  <c r="G935" i="71"/>
  <c r="K934" i="71"/>
  <c r="I934" i="71"/>
  <c r="G934" i="71"/>
  <c r="K933" i="71"/>
  <c r="I933" i="71"/>
  <c r="G933" i="71"/>
  <c r="K932" i="71"/>
  <c r="I932" i="71"/>
  <c r="G932" i="71"/>
  <c r="K931" i="71"/>
  <c r="I931" i="71"/>
  <c r="G931" i="71"/>
  <c r="K930" i="71"/>
  <c r="I930" i="71"/>
  <c r="G930" i="71"/>
  <c r="K929" i="71"/>
  <c r="I929" i="71"/>
  <c r="G929" i="71"/>
  <c r="K928" i="71"/>
  <c r="I928" i="71"/>
  <c r="G928" i="71"/>
  <c r="K927" i="71"/>
  <c r="I927" i="71"/>
  <c r="G927" i="71"/>
  <c r="K926" i="71"/>
  <c r="I926" i="71"/>
  <c r="G926" i="71"/>
  <c r="K925" i="71"/>
  <c r="I925" i="71"/>
  <c r="G925" i="71"/>
  <c r="K924" i="71"/>
  <c r="I924" i="71"/>
  <c r="G924" i="71"/>
  <c r="K923" i="71"/>
  <c r="I923" i="71"/>
  <c r="G923" i="71"/>
  <c r="K922" i="71"/>
  <c r="I922" i="71"/>
  <c r="G922" i="71"/>
  <c r="K921" i="71"/>
  <c r="I921" i="71"/>
  <c r="G921" i="71"/>
  <c r="K920" i="71"/>
  <c r="I920" i="71"/>
  <c r="G920" i="71"/>
  <c r="K919" i="71"/>
  <c r="I919" i="71"/>
  <c r="G919" i="71"/>
  <c r="K918" i="71"/>
  <c r="I918" i="71"/>
  <c r="G918" i="71"/>
  <c r="K917" i="71"/>
  <c r="I917" i="71"/>
  <c r="G917" i="71"/>
  <c r="K916" i="71"/>
  <c r="I916" i="71"/>
  <c r="G916" i="71"/>
  <c r="K915" i="71"/>
  <c r="I915" i="71"/>
  <c r="G915" i="71"/>
  <c r="K914" i="71"/>
  <c r="I914" i="71"/>
  <c r="G914" i="71"/>
  <c r="K913" i="71"/>
  <c r="I913" i="71"/>
  <c r="G913" i="71"/>
  <c r="K912" i="71"/>
  <c r="I912" i="71"/>
  <c r="G912" i="71"/>
  <c r="K911" i="71"/>
  <c r="I911" i="71"/>
  <c r="G911" i="71"/>
  <c r="K910" i="71"/>
  <c r="I910" i="71"/>
  <c r="G910" i="71"/>
  <c r="K909" i="71"/>
  <c r="I909" i="71"/>
  <c r="G909" i="71"/>
  <c r="K908" i="71"/>
  <c r="I908" i="71"/>
  <c r="G908" i="71"/>
  <c r="K907" i="71"/>
  <c r="I907" i="71"/>
  <c r="G907" i="71"/>
  <c r="K906" i="71"/>
  <c r="I906" i="71"/>
  <c r="G906" i="71"/>
  <c r="K905" i="71"/>
  <c r="I905" i="71"/>
  <c r="G905" i="71"/>
  <c r="K904" i="71"/>
  <c r="I904" i="71"/>
  <c r="G904" i="71"/>
  <c r="K903" i="71"/>
  <c r="I903" i="71"/>
  <c r="G903" i="71"/>
  <c r="K902" i="71"/>
  <c r="I902" i="71"/>
  <c r="G902" i="71"/>
  <c r="K901" i="71"/>
  <c r="I901" i="71"/>
  <c r="G901" i="71"/>
  <c r="M900" i="71"/>
  <c r="K900" i="71" s="1"/>
  <c r="I900" i="71"/>
  <c r="K899" i="71"/>
  <c r="I899" i="71"/>
  <c r="G899" i="71"/>
  <c r="K898" i="71"/>
  <c r="I898" i="71"/>
  <c r="G898" i="71"/>
  <c r="K897" i="71"/>
  <c r="I897" i="71"/>
  <c r="G897" i="71"/>
  <c r="K896" i="71"/>
  <c r="I896" i="71"/>
  <c r="G896" i="71"/>
  <c r="K895" i="71"/>
  <c r="I895" i="71"/>
  <c r="G895" i="71"/>
  <c r="K894" i="71"/>
  <c r="I894" i="71"/>
  <c r="G894" i="71"/>
  <c r="K893" i="71"/>
  <c r="I893" i="71"/>
  <c r="G893" i="71"/>
  <c r="K892" i="71"/>
  <c r="I892" i="71"/>
  <c r="G892" i="71"/>
  <c r="K891" i="71"/>
  <c r="I891" i="71"/>
  <c r="G891" i="71"/>
  <c r="K890" i="71"/>
  <c r="I890" i="71"/>
  <c r="G890" i="71"/>
  <c r="K889" i="71"/>
  <c r="I889" i="71"/>
  <c r="G889" i="71"/>
  <c r="K888" i="71"/>
  <c r="I888" i="71"/>
  <c r="G888" i="71"/>
  <c r="K887" i="71"/>
  <c r="I887" i="71"/>
  <c r="G887" i="71"/>
  <c r="K886" i="71"/>
  <c r="I886" i="71"/>
  <c r="G886" i="71"/>
  <c r="K885" i="71"/>
  <c r="I885" i="71"/>
  <c r="G885" i="71"/>
  <c r="K884" i="71"/>
  <c r="I884" i="71"/>
  <c r="G884" i="71"/>
  <c r="K883" i="71"/>
  <c r="I883" i="71"/>
  <c r="G883" i="71"/>
  <c r="K882" i="71"/>
  <c r="I882" i="71"/>
  <c r="G882" i="71"/>
  <c r="K881" i="71"/>
  <c r="I881" i="71"/>
  <c r="G881" i="71"/>
  <c r="K880" i="71"/>
  <c r="I880" i="71"/>
  <c r="G880" i="71"/>
  <c r="K879" i="71"/>
  <c r="I879" i="71"/>
  <c r="G879" i="71"/>
  <c r="K878" i="71"/>
  <c r="I878" i="71"/>
  <c r="G878" i="71"/>
  <c r="K877" i="71"/>
  <c r="I877" i="71"/>
  <c r="G877" i="71"/>
  <c r="K876" i="71"/>
  <c r="I876" i="71"/>
  <c r="G876" i="71"/>
  <c r="K875" i="71"/>
  <c r="I875" i="71"/>
  <c r="G875" i="71"/>
  <c r="K874" i="71"/>
  <c r="I874" i="71"/>
  <c r="G874" i="71"/>
  <c r="K873" i="71"/>
  <c r="I873" i="71"/>
  <c r="G873" i="71"/>
  <c r="K872" i="71"/>
  <c r="I872" i="71"/>
  <c r="G872" i="71"/>
  <c r="K871" i="71"/>
  <c r="I871" i="71"/>
  <c r="G871" i="71"/>
  <c r="K870" i="71"/>
  <c r="I870" i="71"/>
  <c r="G870" i="71"/>
  <c r="K869" i="71"/>
  <c r="I869" i="71"/>
  <c r="G869" i="71"/>
  <c r="K868" i="71"/>
  <c r="I868" i="71"/>
  <c r="G868" i="71"/>
  <c r="K867" i="71"/>
  <c r="I867" i="71"/>
  <c r="G867" i="71"/>
  <c r="K866" i="71"/>
  <c r="I866" i="71"/>
  <c r="G866" i="71"/>
  <c r="K865" i="71"/>
  <c r="I865" i="71"/>
  <c r="G865" i="71"/>
  <c r="K864" i="71"/>
  <c r="I864" i="71"/>
  <c r="G864" i="71"/>
  <c r="K863" i="71"/>
  <c r="I863" i="71"/>
  <c r="G863" i="71"/>
  <c r="K862" i="71"/>
  <c r="I862" i="71"/>
  <c r="G862" i="71"/>
  <c r="K861" i="71"/>
  <c r="I861" i="71"/>
  <c r="G861" i="71"/>
  <c r="K860" i="71"/>
  <c r="I860" i="71"/>
  <c r="G860" i="71"/>
  <c r="K859" i="71"/>
  <c r="I859" i="71"/>
  <c r="G859" i="71"/>
  <c r="K858" i="71"/>
  <c r="I858" i="71"/>
  <c r="G858" i="71"/>
  <c r="K857" i="71"/>
  <c r="I857" i="71"/>
  <c r="G857" i="71"/>
  <c r="K856" i="71"/>
  <c r="I856" i="71"/>
  <c r="G856" i="71"/>
  <c r="K855" i="71"/>
  <c r="I855" i="71"/>
  <c r="G855" i="71"/>
  <c r="K854" i="71"/>
  <c r="I854" i="71"/>
  <c r="G854" i="71"/>
  <c r="K853" i="71"/>
  <c r="I853" i="71"/>
  <c r="G853" i="71"/>
  <c r="K852" i="71"/>
  <c r="I852" i="71"/>
  <c r="G852" i="71"/>
  <c r="K851" i="71"/>
  <c r="I851" i="71"/>
  <c r="G851" i="71"/>
  <c r="K850" i="71"/>
  <c r="I850" i="71"/>
  <c r="G850" i="71"/>
  <c r="K849" i="71"/>
  <c r="I849" i="71"/>
  <c r="G849" i="71"/>
  <c r="K848" i="71"/>
  <c r="I848" i="71"/>
  <c r="G848" i="71"/>
  <c r="K847" i="71"/>
  <c r="I847" i="71"/>
  <c r="G847" i="71"/>
  <c r="K846" i="71"/>
  <c r="I846" i="71"/>
  <c r="G846" i="71"/>
  <c r="K845" i="71"/>
  <c r="I845" i="71"/>
  <c r="G845" i="71"/>
  <c r="K844" i="71"/>
  <c r="I844" i="71"/>
  <c r="G844" i="71"/>
  <c r="K843" i="71"/>
  <c r="I843" i="71"/>
  <c r="G843" i="71"/>
  <c r="K842" i="71"/>
  <c r="I842" i="71"/>
  <c r="G842" i="71"/>
  <c r="K841" i="71"/>
  <c r="I841" i="71"/>
  <c r="G841" i="71"/>
  <c r="K840" i="71"/>
  <c r="I840" i="71"/>
  <c r="G840" i="71"/>
  <c r="K839" i="71"/>
  <c r="I839" i="71"/>
  <c r="G839" i="71"/>
  <c r="K838" i="71"/>
  <c r="I838" i="71"/>
  <c r="G838" i="71"/>
  <c r="K837" i="71"/>
  <c r="I837" i="71"/>
  <c r="G837" i="71"/>
  <c r="K836" i="71"/>
  <c r="I836" i="71"/>
  <c r="G836" i="71"/>
  <c r="K835" i="71"/>
  <c r="I835" i="71"/>
  <c r="G835" i="71"/>
  <c r="K834" i="71"/>
  <c r="I834" i="71"/>
  <c r="G834" i="71"/>
  <c r="K833" i="71"/>
  <c r="I833" i="71"/>
  <c r="G833" i="71"/>
  <c r="K832" i="71"/>
  <c r="I832" i="71"/>
  <c r="G832" i="71"/>
  <c r="K831" i="71"/>
  <c r="I831" i="71"/>
  <c r="G831" i="71"/>
  <c r="K830" i="71"/>
  <c r="I830" i="71"/>
  <c r="G830" i="71"/>
  <c r="K829" i="71"/>
  <c r="I829" i="71"/>
  <c r="G829" i="71"/>
  <c r="K828" i="71"/>
  <c r="I828" i="71"/>
  <c r="G828" i="71"/>
  <c r="K827" i="71"/>
  <c r="I827" i="71"/>
  <c r="G827" i="71"/>
  <c r="K826" i="71"/>
  <c r="I826" i="71"/>
  <c r="G826" i="71"/>
  <c r="K825" i="71"/>
  <c r="I825" i="71"/>
  <c r="G825" i="71"/>
  <c r="K824" i="71"/>
  <c r="I824" i="71"/>
  <c r="G824" i="71"/>
  <c r="K823" i="71"/>
  <c r="I823" i="71"/>
  <c r="G823" i="71"/>
  <c r="K822" i="71"/>
  <c r="I822" i="71"/>
  <c r="G822" i="71"/>
  <c r="K821" i="71"/>
  <c r="I821" i="71"/>
  <c r="G821" i="71"/>
  <c r="K820" i="71"/>
  <c r="I820" i="71"/>
  <c r="G820" i="71"/>
  <c r="K819" i="71"/>
  <c r="I819" i="71"/>
  <c r="G819" i="71"/>
  <c r="K818" i="71"/>
  <c r="I818" i="71"/>
  <c r="G818" i="71"/>
  <c r="K817" i="71"/>
  <c r="I817" i="71"/>
  <c r="G817" i="71"/>
  <c r="K816" i="71"/>
  <c r="I816" i="71"/>
  <c r="G816" i="71"/>
  <c r="K815" i="71"/>
  <c r="I815" i="71"/>
  <c r="G815" i="71"/>
  <c r="K814" i="71"/>
  <c r="I814" i="71"/>
  <c r="G814" i="71"/>
  <c r="K813" i="71"/>
  <c r="I813" i="71"/>
  <c r="G813" i="71"/>
  <c r="K812" i="71"/>
  <c r="I812" i="71"/>
  <c r="G812" i="71"/>
  <c r="K811" i="71"/>
  <c r="I811" i="71"/>
  <c r="G811" i="71"/>
  <c r="K810" i="71"/>
  <c r="I810" i="71"/>
  <c r="G810" i="71"/>
  <c r="K809" i="71"/>
  <c r="I809" i="71"/>
  <c r="G809" i="71"/>
  <c r="K808" i="71"/>
  <c r="I808" i="71"/>
  <c r="G808" i="71"/>
  <c r="K807" i="71"/>
  <c r="I807" i="71"/>
  <c r="G807" i="71"/>
  <c r="K806" i="71"/>
  <c r="I806" i="71"/>
  <c r="G806" i="71"/>
  <c r="K805" i="71"/>
  <c r="I805" i="71"/>
  <c r="G805" i="71"/>
  <c r="K804" i="71"/>
  <c r="I804" i="71"/>
  <c r="G804" i="71"/>
  <c r="K803" i="71"/>
  <c r="I803" i="71"/>
  <c r="G803" i="71"/>
  <c r="K802" i="71"/>
  <c r="I802" i="71"/>
  <c r="G802" i="71"/>
  <c r="K801" i="71"/>
  <c r="I801" i="71"/>
  <c r="G801" i="71"/>
  <c r="K800" i="71"/>
  <c r="I800" i="71"/>
  <c r="G800" i="71"/>
  <c r="K799" i="71"/>
  <c r="I799" i="71"/>
  <c r="G799" i="71"/>
  <c r="K798" i="71"/>
  <c r="I798" i="71"/>
  <c r="G798" i="71"/>
  <c r="K797" i="71"/>
  <c r="I797" i="71"/>
  <c r="G797" i="71"/>
  <c r="K796" i="71"/>
  <c r="I796" i="71"/>
  <c r="G796" i="71"/>
  <c r="K795" i="71"/>
  <c r="I795" i="71"/>
  <c r="G795" i="71"/>
  <c r="K794" i="71"/>
  <c r="I794" i="71"/>
  <c r="G794" i="71"/>
  <c r="K793" i="71"/>
  <c r="I793" i="71"/>
  <c r="G793" i="71"/>
  <c r="K792" i="71"/>
  <c r="I792" i="71"/>
  <c r="G792" i="71"/>
  <c r="K791" i="71"/>
  <c r="I791" i="71"/>
  <c r="G791" i="71"/>
  <c r="K790" i="71"/>
  <c r="I790" i="71"/>
  <c r="G790" i="71"/>
  <c r="K789" i="71"/>
  <c r="I789" i="71"/>
  <c r="G789" i="71"/>
  <c r="K788" i="71"/>
  <c r="I788" i="71"/>
  <c r="G788" i="71"/>
  <c r="K787" i="71"/>
  <c r="I787" i="71"/>
  <c r="G787" i="71"/>
  <c r="K786" i="71"/>
  <c r="I786" i="71"/>
  <c r="G786" i="71"/>
  <c r="K785" i="71"/>
  <c r="I785" i="71"/>
  <c r="G785" i="71"/>
  <c r="K784" i="71"/>
  <c r="I784" i="71"/>
  <c r="G784" i="71"/>
  <c r="K783" i="71"/>
  <c r="I783" i="71"/>
  <c r="G783" i="71"/>
  <c r="K782" i="71"/>
  <c r="I782" i="71"/>
  <c r="G782" i="71"/>
  <c r="K781" i="71"/>
  <c r="I781" i="71"/>
  <c r="G781" i="71"/>
  <c r="K780" i="71"/>
  <c r="I780" i="71"/>
  <c r="G780" i="71"/>
  <c r="K779" i="71"/>
  <c r="I779" i="71"/>
  <c r="G779" i="71"/>
  <c r="K778" i="71"/>
  <c r="I778" i="71"/>
  <c r="G778" i="71"/>
  <c r="K777" i="71"/>
  <c r="I777" i="71"/>
  <c r="G777" i="71"/>
  <c r="K776" i="71"/>
  <c r="I776" i="71"/>
  <c r="G776" i="71"/>
  <c r="K775" i="71"/>
  <c r="I775" i="71"/>
  <c r="G775" i="71"/>
  <c r="K774" i="71"/>
  <c r="I774" i="71"/>
  <c r="G774" i="71"/>
  <c r="K773" i="71"/>
  <c r="I773" i="71"/>
  <c r="G773" i="71"/>
  <c r="K772" i="71"/>
  <c r="I772" i="71"/>
  <c r="G772" i="71"/>
  <c r="K771" i="71"/>
  <c r="I771" i="71"/>
  <c r="G771" i="71"/>
  <c r="K770" i="71"/>
  <c r="I770" i="71"/>
  <c r="G770" i="71"/>
  <c r="K769" i="71"/>
  <c r="I769" i="71"/>
  <c r="G769" i="71"/>
  <c r="K768" i="71"/>
  <c r="I768" i="71"/>
  <c r="G768" i="71"/>
  <c r="K767" i="71"/>
  <c r="I767" i="71"/>
  <c r="G767" i="71"/>
  <c r="K766" i="71"/>
  <c r="I766" i="71"/>
  <c r="G766" i="71"/>
  <c r="K765" i="71"/>
  <c r="I765" i="71"/>
  <c r="G765" i="71"/>
  <c r="K764" i="71"/>
  <c r="I764" i="71"/>
  <c r="G764" i="71"/>
  <c r="K763" i="71"/>
  <c r="I763" i="71"/>
  <c r="G763" i="71"/>
  <c r="K762" i="71"/>
  <c r="I762" i="71"/>
  <c r="G762" i="71"/>
  <c r="K761" i="71"/>
  <c r="I761" i="71"/>
  <c r="G761" i="71"/>
  <c r="K760" i="71"/>
  <c r="I760" i="71"/>
  <c r="G760" i="71"/>
  <c r="K759" i="71"/>
  <c r="I759" i="71"/>
  <c r="G759" i="71"/>
  <c r="K758" i="71"/>
  <c r="I758" i="71"/>
  <c r="G758" i="71"/>
  <c r="K757" i="71"/>
  <c r="I757" i="71"/>
  <c r="G757" i="71"/>
  <c r="K756" i="71"/>
  <c r="I756" i="71"/>
  <c r="G756" i="71"/>
  <c r="K755" i="71"/>
  <c r="I755" i="71"/>
  <c r="G755" i="71"/>
  <c r="K754" i="71"/>
  <c r="I754" i="71"/>
  <c r="G754" i="71"/>
  <c r="K753" i="71"/>
  <c r="I753" i="71"/>
  <c r="G753" i="71"/>
  <c r="K752" i="71"/>
  <c r="I752" i="71"/>
  <c r="G752" i="71"/>
  <c r="K751" i="71"/>
  <c r="I751" i="71"/>
  <c r="G751" i="71"/>
  <c r="K750" i="71"/>
  <c r="I750" i="71"/>
  <c r="G750" i="71"/>
  <c r="K749" i="71"/>
  <c r="I749" i="71"/>
  <c r="G749" i="71"/>
  <c r="K748" i="71"/>
  <c r="I748" i="71"/>
  <c r="G748" i="71"/>
  <c r="K747" i="71"/>
  <c r="I747" i="71"/>
  <c r="G747" i="71"/>
  <c r="K746" i="71"/>
  <c r="I746" i="71"/>
  <c r="G746" i="71"/>
  <c r="K745" i="71"/>
  <c r="I745" i="71"/>
  <c r="G745" i="71"/>
  <c r="K744" i="71"/>
  <c r="I744" i="71"/>
  <c r="G744" i="71"/>
  <c r="K743" i="71"/>
  <c r="I743" i="71"/>
  <c r="G743" i="71"/>
  <c r="K742" i="71"/>
  <c r="I742" i="71"/>
  <c r="G742" i="71"/>
  <c r="K741" i="71"/>
  <c r="I741" i="71"/>
  <c r="G741" i="71"/>
  <c r="K740" i="71"/>
  <c r="I740" i="71"/>
  <c r="G740" i="71"/>
  <c r="K739" i="71"/>
  <c r="I739" i="71"/>
  <c r="G739" i="71"/>
  <c r="K738" i="71"/>
  <c r="I738" i="71"/>
  <c r="G738" i="71"/>
  <c r="K737" i="71"/>
  <c r="I737" i="71"/>
  <c r="G737" i="71"/>
  <c r="K736" i="71"/>
  <c r="I736" i="71"/>
  <c r="G736" i="71"/>
  <c r="K735" i="71"/>
  <c r="I735" i="71"/>
  <c r="G735" i="71"/>
  <c r="K734" i="71"/>
  <c r="I734" i="71"/>
  <c r="G734" i="71"/>
  <c r="K733" i="71"/>
  <c r="I733" i="71"/>
  <c r="G733" i="71"/>
  <c r="K732" i="71"/>
  <c r="I732" i="71"/>
  <c r="G732" i="71"/>
  <c r="K731" i="71"/>
  <c r="I731" i="71"/>
  <c r="G731" i="71"/>
  <c r="K730" i="71"/>
  <c r="I730" i="71"/>
  <c r="G730" i="71"/>
  <c r="K729" i="71"/>
  <c r="I729" i="71"/>
  <c r="G729" i="71"/>
  <c r="K728" i="71"/>
  <c r="I728" i="71"/>
  <c r="G728" i="71"/>
  <c r="K727" i="71"/>
  <c r="I727" i="71"/>
  <c r="G727" i="71"/>
  <c r="K726" i="71"/>
  <c r="I726" i="71"/>
  <c r="G726" i="71"/>
  <c r="K725" i="71"/>
  <c r="I725" i="71"/>
  <c r="G725" i="71"/>
  <c r="K724" i="71"/>
  <c r="I724" i="71"/>
  <c r="G724" i="71"/>
  <c r="K723" i="71"/>
  <c r="I723" i="71"/>
  <c r="G723" i="71"/>
  <c r="K722" i="71"/>
  <c r="I722" i="71"/>
  <c r="G722" i="71"/>
  <c r="K721" i="71"/>
  <c r="I721" i="71"/>
  <c r="G721" i="71"/>
  <c r="K720" i="71"/>
  <c r="I720" i="71"/>
  <c r="G720" i="71"/>
  <c r="K719" i="71"/>
  <c r="I719" i="71"/>
  <c r="G719" i="71"/>
  <c r="K718" i="71"/>
  <c r="I718" i="71"/>
  <c r="G718" i="71"/>
  <c r="K717" i="71"/>
  <c r="I717" i="71"/>
  <c r="G717" i="71"/>
  <c r="K716" i="71"/>
  <c r="I716" i="71"/>
  <c r="G716" i="71"/>
  <c r="K715" i="71"/>
  <c r="I715" i="71"/>
  <c r="G715" i="71"/>
  <c r="K714" i="71"/>
  <c r="I714" i="71"/>
  <c r="G714" i="71"/>
  <c r="K713" i="71"/>
  <c r="I713" i="71"/>
  <c r="G713" i="71"/>
  <c r="K712" i="71"/>
  <c r="I712" i="71"/>
  <c r="G712" i="71"/>
  <c r="K711" i="71"/>
  <c r="I711" i="71"/>
  <c r="G711" i="71"/>
  <c r="K710" i="71"/>
  <c r="I710" i="71"/>
  <c r="G710" i="71"/>
  <c r="K709" i="71"/>
  <c r="I709" i="71"/>
  <c r="G709" i="71"/>
  <c r="K708" i="71"/>
  <c r="I708" i="71"/>
  <c r="G708" i="71"/>
  <c r="K707" i="71"/>
  <c r="I707" i="71"/>
  <c r="G707" i="71"/>
  <c r="K706" i="71"/>
  <c r="I706" i="71"/>
  <c r="G706" i="71"/>
  <c r="K705" i="71"/>
  <c r="I705" i="71"/>
  <c r="G705" i="71"/>
  <c r="K704" i="71"/>
  <c r="I704" i="71"/>
  <c r="G704" i="71"/>
  <c r="K703" i="71"/>
  <c r="I703" i="71"/>
  <c r="G703" i="71"/>
  <c r="K702" i="71"/>
  <c r="I702" i="71"/>
  <c r="G702" i="71"/>
  <c r="K701" i="71"/>
  <c r="I701" i="71"/>
  <c r="G701" i="71"/>
  <c r="K700" i="71"/>
  <c r="I700" i="71"/>
  <c r="G700" i="71"/>
  <c r="K699" i="71"/>
  <c r="I699" i="71"/>
  <c r="G699" i="71"/>
  <c r="K698" i="71"/>
  <c r="I698" i="71"/>
  <c r="G698" i="71"/>
  <c r="K697" i="71"/>
  <c r="I697" i="71"/>
  <c r="G697" i="71"/>
  <c r="K696" i="71"/>
  <c r="I696" i="71"/>
  <c r="G696" i="71"/>
  <c r="K695" i="71"/>
  <c r="I695" i="71"/>
  <c r="G695" i="71"/>
  <c r="K694" i="71"/>
  <c r="I694" i="71"/>
  <c r="G694" i="71"/>
  <c r="K693" i="71"/>
  <c r="I693" i="71"/>
  <c r="G693" i="71"/>
  <c r="K692" i="71"/>
  <c r="I692" i="71"/>
  <c r="G692" i="71"/>
  <c r="K691" i="71"/>
  <c r="I691" i="71"/>
  <c r="G691" i="71"/>
  <c r="K690" i="71"/>
  <c r="I690" i="71"/>
  <c r="G690" i="71"/>
  <c r="K689" i="71"/>
  <c r="I689" i="71"/>
  <c r="G689" i="71"/>
  <c r="K688" i="71"/>
  <c r="I688" i="71"/>
  <c r="G688" i="71"/>
  <c r="K687" i="71"/>
  <c r="I687" i="71"/>
  <c r="G687" i="71"/>
  <c r="K686" i="71"/>
  <c r="I686" i="71"/>
  <c r="G686" i="71"/>
  <c r="K685" i="71"/>
  <c r="I685" i="71"/>
  <c r="G685" i="71"/>
  <c r="K684" i="71"/>
  <c r="I684" i="71"/>
  <c r="G684" i="71"/>
  <c r="K683" i="71"/>
  <c r="I683" i="71"/>
  <c r="G683" i="71"/>
  <c r="K682" i="71"/>
  <c r="I682" i="71"/>
  <c r="G682" i="71"/>
  <c r="K681" i="71"/>
  <c r="I681" i="71"/>
  <c r="G681" i="71"/>
  <c r="K680" i="71"/>
  <c r="I680" i="71"/>
  <c r="G680" i="71"/>
  <c r="K679" i="71"/>
  <c r="I679" i="71"/>
  <c r="G679" i="71"/>
  <c r="K678" i="71"/>
  <c r="I678" i="71"/>
  <c r="G678" i="71"/>
  <c r="K677" i="71"/>
  <c r="I677" i="71"/>
  <c r="G677" i="71"/>
  <c r="K676" i="71"/>
  <c r="I676" i="71"/>
  <c r="G676" i="71"/>
  <c r="K675" i="71"/>
  <c r="I675" i="71"/>
  <c r="G675" i="71"/>
  <c r="K674" i="71"/>
  <c r="I674" i="71"/>
  <c r="G674" i="71"/>
  <c r="K673" i="71"/>
  <c r="I673" i="71"/>
  <c r="G673" i="71"/>
  <c r="K672" i="71"/>
  <c r="I672" i="71"/>
  <c r="G672" i="71"/>
  <c r="K671" i="71"/>
  <c r="I671" i="71"/>
  <c r="G671" i="71"/>
  <c r="K670" i="71"/>
  <c r="I670" i="71"/>
  <c r="G670" i="71"/>
  <c r="K669" i="71"/>
  <c r="I669" i="71"/>
  <c r="G669" i="71"/>
  <c r="K668" i="71"/>
  <c r="I668" i="71"/>
  <c r="G668" i="71"/>
  <c r="K667" i="71"/>
  <c r="I667" i="71"/>
  <c r="G667" i="71"/>
  <c r="K666" i="71"/>
  <c r="I666" i="71"/>
  <c r="G666" i="71"/>
  <c r="K665" i="71"/>
  <c r="I665" i="71"/>
  <c r="G665" i="71"/>
  <c r="K664" i="71"/>
  <c r="I664" i="71"/>
  <c r="G664" i="71"/>
  <c r="K663" i="71"/>
  <c r="I663" i="71"/>
  <c r="G663" i="71"/>
  <c r="K662" i="71"/>
  <c r="I662" i="71"/>
  <c r="G662" i="71"/>
  <c r="K661" i="71"/>
  <c r="I661" i="71"/>
  <c r="G661" i="71"/>
  <c r="K660" i="71"/>
  <c r="I660" i="71"/>
  <c r="G660" i="71"/>
  <c r="K659" i="71"/>
  <c r="I659" i="71"/>
  <c r="G659" i="71"/>
  <c r="K658" i="71"/>
  <c r="I658" i="71"/>
  <c r="G658" i="71"/>
  <c r="K657" i="71"/>
  <c r="I657" i="71"/>
  <c r="G657" i="71"/>
  <c r="K656" i="71"/>
  <c r="I656" i="71"/>
  <c r="G656" i="71"/>
  <c r="K655" i="71"/>
  <c r="I655" i="71"/>
  <c r="G655" i="71"/>
  <c r="K654" i="71"/>
  <c r="I654" i="71"/>
  <c r="G654" i="71"/>
  <c r="K653" i="71"/>
  <c r="I653" i="71"/>
  <c r="G653" i="71"/>
  <c r="K652" i="71"/>
  <c r="I652" i="71"/>
  <c r="G652" i="71"/>
  <c r="K651" i="71"/>
  <c r="I651" i="71"/>
  <c r="G651" i="71"/>
  <c r="K650" i="71"/>
  <c r="I650" i="71"/>
  <c r="G650" i="71"/>
  <c r="K649" i="71"/>
  <c r="I649" i="71"/>
  <c r="G649" i="71"/>
  <c r="K648" i="71"/>
  <c r="I648" i="71"/>
  <c r="G648" i="71"/>
  <c r="K647" i="71"/>
  <c r="I647" i="71"/>
  <c r="G647" i="71"/>
  <c r="K646" i="71"/>
  <c r="I646" i="71"/>
  <c r="G646" i="71"/>
  <c r="K645" i="71"/>
  <c r="I645" i="71"/>
  <c r="G645" i="71"/>
  <c r="K644" i="71"/>
  <c r="I644" i="71"/>
  <c r="G644" i="71"/>
  <c r="K643" i="71"/>
  <c r="I643" i="71"/>
  <c r="G643" i="71"/>
  <c r="K642" i="71"/>
  <c r="I642" i="71"/>
  <c r="G642" i="71"/>
  <c r="K641" i="71"/>
  <c r="I641" i="71"/>
  <c r="G641" i="71"/>
  <c r="K640" i="71"/>
  <c r="I640" i="71"/>
  <c r="G640" i="71"/>
  <c r="K639" i="71"/>
  <c r="I639" i="71"/>
  <c r="G639" i="71"/>
  <c r="K638" i="71"/>
  <c r="I638" i="71"/>
  <c r="G638" i="71"/>
  <c r="K637" i="71"/>
  <c r="I637" i="71"/>
  <c r="G637" i="71"/>
  <c r="K636" i="71"/>
  <c r="I636" i="71"/>
  <c r="G636" i="71"/>
  <c r="K635" i="71"/>
  <c r="I635" i="71"/>
  <c r="G635" i="71"/>
  <c r="K634" i="71"/>
  <c r="I634" i="71"/>
  <c r="G634" i="71"/>
  <c r="K633" i="71"/>
  <c r="I633" i="71"/>
  <c r="G633" i="71"/>
  <c r="K632" i="71"/>
  <c r="I632" i="71"/>
  <c r="G632" i="71"/>
  <c r="K631" i="71"/>
  <c r="I631" i="71"/>
  <c r="G631" i="71"/>
  <c r="K630" i="71"/>
  <c r="I630" i="71"/>
  <c r="G630" i="71"/>
  <c r="K629" i="71"/>
  <c r="I629" i="71"/>
  <c r="G629" i="71"/>
  <c r="K628" i="71"/>
  <c r="I628" i="71"/>
  <c r="G628" i="71"/>
  <c r="K627" i="71"/>
  <c r="I627" i="71"/>
  <c r="G627" i="71"/>
  <c r="K626" i="71"/>
  <c r="I626" i="71"/>
  <c r="G626" i="71"/>
  <c r="K625" i="71"/>
  <c r="I625" i="71"/>
  <c r="G625" i="71"/>
  <c r="K624" i="71"/>
  <c r="I624" i="71"/>
  <c r="G624" i="71"/>
  <c r="K623" i="71"/>
  <c r="I623" i="71"/>
  <c r="G623" i="71"/>
  <c r="K622" i="71"/>
  <c r="I622" i="71"/>
  <c r="G622" i="71"/>
  <c r="K621" i="71"/>
  <c r="I621" i="71"/>
  <c r="G621" i="71"/>
  <c r="K620" i="71"/>
  <c r="I620" i="71"/>
  <c r="G620" i="71"/>
  <c r="K619" i="71"/>
  <c r="I619" i="71"/>
  <c r="G619" i="71"/>
  <c r="K618" i="71"/>
  <c r="I618" i="71"/>
  <c r="G618" i="71"/>
  <c r="K617" i="71"/>
  <c r="I617" i="71"/>
  <c r="G617" i="71"/>
  <c r="K616" i="71"/>
  <c r="I616" i="71"/>
  <c r="G616" i="71"/>
  <c r="K615" i="71"/>
  <c r="I615" i="71"/>
  <c r="G615" i="71"/>
  <c r="K614" i="71"/>
  <c r="I614" i="71"/>
  <c r="G614" i="71"/>
  <c r="K613" i="71"/>
  <c r="I613" i="71"/>
  <c r="G613" i="71"/>
  <c r="K612" i="71"/>
  <c r="I612" i="71"/>
  <c r="G612" i="71"/>
  <c r="K611" i="71"/>
  <c r="I611" i="71"/>
  <c r="G611" i="71"/>
  <c r="K610" i="71"/>
  <c r="I610" i="71"/>
  <c r="G610" i="71"/>
  <c r="K609" i="71"/>
  <c r="I609" i="71"/>
  <c r="G609" i="71"/>
  <c r="K608" i="71"/>
  <c r="I608" i="71"/>
  <c r="G608" i="71"/>
  <c r="K607" i="71"/>
  <c r="I607" i="71"/>
  <c r="G607" i="71"/>
  <c r="K606" i="71"/>
  <c r="I606" i="71"/>
  <c r="G606" i="71"/>
  <c r="K605" i="71"/>
  <c r="I605" i="71"/>
  <c r="G605" i="71"/>
  <c r="K604" i="71"/>
  <c r="I604" i="71"/>
  <c r="G604" i="71"/>
  <c r="K603" i="71"/>
  <c r="I603" i="71"/>
  <c r="G603" i="71"/>
  <c r="K602" i="71"/>
  <c r="I602" i="71"/>
  <c r="G602" i="71"/>
  <c r="K601" i="71"/>
  <c r="I601" i="71"/>
  <c r="G601" i="71"/>
  <c r="K600" i="71"/>
  <c r="I600" i="71"/>
  <c r="G600" i="71"/>
  <c r="K599" i="71"/>
  <c r="I599" i="71"/>
  <c r="G599" i="71"/>
  <c r="K598" i="71"/>
  <c r="I598" i="71"/>
  <c r="G598" i="71"/>
  <c r="K597" i="71"/>
  <c r="I597" i="71"/>
  <c r="G597" i="71"/>
  <c r="K596" i="71"/>
  <c r="I596" i="71"/>
  <c r="G596" i="71"/>
  <c r="K595" i="71"/>
  <c r="I595" i="71"/>
  <c r="G595" i="71"/>
  <c r="K594" i="71"/>
  <c r="I594" i="71"/>
  <c r="G594" i="71"/>
  <c r="K593" i="71"/>
  <c r="I593" i="71"/>
  <c r="G593" i="71"/>
  <c r="K592" i="71"/>
  <c r="I592" i="71"/>
  <c r="G592" i="71"/>
  <c r="K591" i="71"/>
  <c r="I591" i="71"/>
  <c r="G591" i="71"/>
  <c r="K590" i="71"/>
  <c r="I590" i="71"/>
  <c r="G590" i="71"/>
  <c r="K589" i="71"/>
  <c r="I589" i="71"/>
  <c r="G589" i="71"/>
  <c r="K588" i="71"/>
  <c r="I588" i="71"/>
  <c r="G588" i="71"/>
  <c r="K587" i="71"/>
  <c r="I587" i="71"/>
  <c r="G587" i="71"/>
  <c r="K586" i="71"/>
  <c r="I586" i="71"/>
  <c r="G586" i="71"/>
  <c r="K585" i="71"/>
  <c r="I585" i="71"/>
  <c r="G585" i="71"/>
  <c r="K584" i="71"/>
  <c r="I584" i="71"/>
  <c r="G584" i="71"/>
  <c r="K583" i="71"/>
  <c r="I583" i="71"/>
  <c r="G583" i="71"/>
  <c r="K582" i="71"/>
  <c r="I582" i="71"/>
  <c r="G582" i="71"/>
  <c r="K581" i="71"/>
  <c r="I581" i="71"/>
  <c r="G581" i="71"/>
  <c r="K580" i="71"/>
  <c r="I580" i="71"/>
  <c r="G580" i="71"/>
  <c r="K579" i="71"/>
  <c r="I579" i="71"/>
  <c r="G579" i="71"/>
  <c r="K578" i="71"/>
  <c r="I578" i="71"/>
  <c r="G578" i="71"/>
  <c r="K577" i="71"/>
  <c r="I577" i="71"/>
  <c r="G577" i="71"/>
  <c r="K576" i="71"/>
  <c r="I576" i="71"/>
  <c r="G576" i="71"/>
  <c r="K575" i="71"/>
  <c r="I575" i="71"/>
  <c r="G575" i="71"/>
  <c r="K574" i="71"/>
  <c r="I574" i="71"/>
  <c r="G574" i="71"/>
  <c r="K573" i="71"/>
  <c r="I573" i="71"/>
  <c r="G573" i="71"/>
  <c r="K572" i="71"/>
  <c r="I572" i="71"/>
  <c r="G572" i="71"/>
  <c r="K571" i="71"/>
  <c r="I571" i="71"/>
  <c r="G571" i="71"/>
  <c r="K570" i="71"/>
  <c r="I570" i="71"/>
  <c r="G570" i="71"/>
  <c r="K569" i="71"/>
  <c r="I569" i="71"/>
  <c r="G569" i="71"/>
  <c r="K568" i="71"/>
  <c r="I568" i="71"/>
  <c r="G568" i="71"/>
  <c r="K567" i="71"/>
  <c r="I567" i="71"/>
  <c r="G567" i="71"/>
  <c r="K566" i="71"/>
  <c r="I566" i="71"/>
  <c r="G566" i="71"/>
  <c r="K565" i="71"/>
  <c r="I565" i="71"/>
  <c r="G565" i="71"/>
  <c r="K564" i="71"/>
  <c r="I564" i="71"/>
  <c r="G564" i="71"/>
  <c r="K563" i="71"/>
  <c r="I563" i="71"/>
  <c r="G563" i="71"/>
  <c r="K562" i="71"/>
  <c r="I562" i="71"/>
  <c r="G562" i="71"/>
  <c r="K561" i="71"/>
  <c r="I561" i="71"/>
  <c r="G561" i="71"/>
  <c r="K560" i="71"/>
  <c r="I560" i="71"/>
  <c r="G560" i="71"/>
  <c r="K559" i="71"/>
  <c r="I559" i="71"/>
  <c r="G559" i="71"/>
  <c r="K558" i="71"/>
  <c r="I558" i="71"/>
  <c r="G558" i="71"/>
  <c r="K557" i="71"/>
  <c r="I557" i="71"/>
  <c r="G557" i="71"/>
  <c r="K556" i="71"/>
  <c r="I556" i="71"/>
  <c r="G556" i="71"/>
  <c r="K555" i="71"/>
  <c r="I555" i="71"/>
  <c r="G555" i="71"/>
  <c r="K554" i="71"/>
  <c r="I554" i="71"/>
  <c r="G554" i="71"/>
  <c r="K553" i="71"/>
  <c r="I553" i="71"/>
  <c r="G553" i="71"/>
  <c r="K552" i="71"/>
  <c r="I552" i="71"/>
  <c r="G552" i="71"/>
  <c r="K551" i="71"/>
  <c r="I551" i="71"/>
  <c r="G551" i="71"/>
  <c r="K550" i="71"/>
  <c r="I550" i="71"/>
  <c r="G550" i="71"/>
  <c r="K549" i="71"/>
  <c r="I549" i="71"/>
  <c r="G549" i="71"/>
  <c r="K548" i="71"/>
  <c r="I548" i="71"/>
  <c r="G548" i="71"/>
  <c r="K547" i="71"/>
  <c r="I547" i="71"/>
  <c r="G547" i="71"/>
  <c r="K546" i="71"/>
  <c r="I546" i="71"/>
  <c r="G546" i="71"/>
  <c r="K545" i="71"/>
  <c r="I545" i="71"/>
  <c r="G545" i="71"/>
  <c r="K544" i="71"/>
  <c r="I544" i="71"/>
  <c r="G544" i="71"/>
  <c r="K543" i="71"/>
  <c r="I543" i="71"/>
  <c r="G543" i="71"/>
  <c r="K542" i="71"/>
  <c r="I542" i="71"/>
  <c r="G542" i="71"/>
  <c r="K541" i="71"/>
  <c r="I541" i="71"/>
  <c r="G541" i="71"/>
  <c r="K540" i="71"/>
  <c r="I540" i="71"/>
  <c r="G540" i="71"/>
  <c r="K539" i="71"/>
  <c r="I539" i="71"/>
  <c r="G539" i="71"/>
  <c r="K538" i="71"/>
  <c r="I538" i="71"/>
  <c r="G538" i="71"/>
  <c r="K537" i="71"/>
  <c r="I537" i="71"/>
  <c r="G537" i="71"/>
  <c r="K536" i="71"/>
  <c r="I536" i="71"/>
  <c r="G536" i="71"/>
  <c r="K535" i="71"/>
  <c r="I535" i="71"/>
  <c r="G535" i="71"/>
  <c r="K534" i="71"/>
  <c r="I534" i="71"/>
  <c r="G534" i="71"/>
  <c r="K533" i="71"/>
  <c r="I533" i="71"/>
  <c r="G533" i="71"/>
  <c r="K532" i="71"/>
  <c r="I532" i="71"/>
  <c r="G532" i="71"/>
  <c r="K531" i="71"/>
  <c r="I531" i="71"/>
  <c r="G531" i="71"/>
  <c r="K530" i="71"/>
  <c r="I530" i="71"/>
  <c r="G530" i="71"/>
  <c r="K529" i="71"/>
  <c r="I529" i="71"/>
  <c r="G529" i="71"/>
  <c r="K528" i="71"/>
  <c r="I528" i="71"/>
  <c r="G528" i="71"/>
  <c r="K527" i="71"/>
  <c r="I527" i="71"/>
  <c r="G527" i="71"/>
  <c r="K526" i="71"/>
  <c r="I526" i="71"/>
  <c r="G526" i="71"/>
  <c r="K525" i="71"/>
  <c r="I525" i="71"/>
  <c r="G525" i="71"/>
  <c r="K524" i="71"/>
  <c r="I524" i="71"/>
  <c r="G524" i="71"/>
  <c r="K523" i="71"/>
  <c r="I523" i="71"/>
  <c r="G523" i="71"/>
  <c r="K522" i="71"/>
  <c r="I522" i="71"/>
  <c r="G522" i="71"/>
  <c r="K521" i="71"/>
  <c r="I521" i="71"/>
  <c r="G521" i="71"/>
  <c r="K520" i="71"/>
  <c r="I520" i="71"/>
  <c r="G520" i="71"/>
  <c r="K519" i="71"/>
  <c r="I519" i="71"/>
  <c r="G519" i="71"/>
  <c r="K518" i="71"/>
  <c r="I518" i="71"/>
  <c r="G518" i="71"/>
  <c r="K517" i="71"/>
  <c r="I517" i="71"/>
  <c r="G517" i="71"/>
  <c r="K516" i="71"/>
  <c r="I516" i="71"/>
  <c r="G516" i="71"/>
  <c r="K515" i="71"/>
  <c r="I515" i="71"/>
  <c r="G515" i="71"/>
  <c r="K514" i="71"/>
  <c r="I514" i="71"/>
  <c r="G514" i="71"/>
  <c r="K513" i="71"/>
  <c r="I513" i="71"/>
  <c r="G513" i="71"/>
  <c r="K512" i="71"/>
  <c r="I512" i="71"/>
  <c r="G512" i="71"/>
  <c r="K511" i="71"/>
  <c r="I511" i="71"/>
  <c r="G511" i="71"/>
  <c r="K510" i="71"/>
  <c r="I510" i="71"/>
  <c r="G510" i="71"/>
  <c r="K509" i="71"/>
  <c r="I509" i="71"/>
  <c r="G509" i="71"/>
  <c r="K508" i="71"/>
  <c r="I508" i="71"/>
  <c r="G508" i="71"/>
  <c r="K507" i="71"/>
  <c r="I507" i="71"/>
  <c r="G507" i="71"/>
  <c r="K506" i="71"/>
  <c r="I506" i="71"/>
  <c r="G506" i="71"/>
  <c r="K505" i="71"/>
  <c r="I505" i="71"/>
  <c r="G505" i="71"/>
  <c r="K504" i="71"/>
  <c r="I504" i="71"/>
  <c r="G504" i="71"/>
  <c r="K503" i="71"/>
  <c r="I503" i="71"/>
  <c r="G503" i="71"/>
  <c r="K502" i="71"/>
  <c r="I502" i="71"/>
  <c r="G502" i="71"/>
  <c r="K501" i="71"/>
  <c r="I501" i="71"/>
  <c r="G501" i="71"/>
  <c r="K500" i="71"/>
  <c r="I500" i="71"/>
  <c r="G500" i="71"/>
  <c r="K499" i="71"/>
  <c r="I499" i="71"/>
  <c r="G499" i="71"/>
  <c r="K498" i="71"/>
  <c r="I498" i="71"/>
  <c r="G498" i="71"/>
  <c r="K497" i="71"/>
  <c r="I497" i="71"/>
  <c r="G497" i="71"/>
  <c r="K496" i="71"/>
  <c r="I496" i="71"/>
  <c r="G496" i="71"/>
  <c r="K495" i="71"/>
  <c r="I495" i="71"/>
  <c r="G495" i="71"/>
  <c r="K494" i="71"/>
  <c r="I494" i="71"/>
  <c r="G494" i="71"/>
  <c r="K493" i="71"/>
  <c r="I493" i="71"/>
  <c r="G493" i="71"/>
  <c r="K492" i="71"/>
  <c r="I492" i="71"/>
  <c r="G492" i="71"/>
  <c r="K491" i="71"/>
  <c r="I491" i="71"/>
  <c r="G491" i="71"/>
  <c r="K490" i="71"/>
  <c r="I490" i="71"/>
  <c r="G490" i="71"/>
  <c r="K489" i="71"/>
  <c r="I489" i="71"/>
  <c r="G489" i="71"/>
  <c r="K488" i="71"/>
  <c r="I488" i="71"/>
  <c r="G488" i="71"/>
  <c r="K487" i="71"/>
  <c r="I487" i="71"/>
  <c r="G487" i="71"/>
  <c r="K486" i="71"/>
  <c r="I486" i="71"/>
  <c r="G486" i="71"/>
  <c r="K485" i="71"/>
  <c r="I485" i="71"/>
  <c r="G485" i="71"/>
  <c r="K484" i="71"/>
  <c r="I484" i="71"/>
  <c r="G484" i="71"/>
  <c r="K483" i="71"/>
  <c r="I483" i="71"/>
  <c r="G483" i="71"/>
  <c r="K482" i="71"/>
  <c r="I482" i="71"/>
  <c r="G482" i="71"/>
  <c r="K481" i="71"/>
  <c r="I481" i="71"/>
  <c r="G481" i="71"/>
  <c r="K480" i="71"/>
  <c r="I480" i="71"/>
  <c r="G480" i="71"/>
  <c r="K479" i="71"/>
  <c r="I479" i="71"/>
  <c r="G479" i="71"/>
  <c r="K478" i="71"/>
  <c r="I478" i="71"/>
  <c r="G478" i="71"/>
  <c r="K477" i="71"/>
  <c r="I477" i="71"/>
  <c r="G477" i="71"/>
  <c r="K476" i="71"/>
  <c r="I476" i="71"/>
  <c r="G476" i="71"/>
  <c r="K475" i="71"/>
  <c r="I475" i="71"/>
  <c r="G475" i="71"/>
  <c r="K474" i="71"/>
  <c r="I474" i="71"/>
  <c r="G474" i="71"/>
  <c r="K473" i="71"/>
  <c r="I473" i="71"/>
  <c r="G473" i="71"/>
  <c r="K472" i="71"/>
  <c r="I472" i="71"/>
  <c r="G472" i="71"/>
  <c r="K471" i="71"/>
  <c r="I471" i="71"/>
  <c r="G471" i="71"/>
  <c r="K470" i="71"/>
  <c r="I470" i="71"/>
  <c r="G470" i="71"/>
  <c r="K469" i="71"/>
  <c r="I469" i="71"/>
  <c r="G469" i="71"/>
  <c r="K468" i="71"/>
  <c r="I468" i="71"/>
  <c r="G468" i="71"/>
  <c r="K467" i="71"/>
  <c r="I467" i="71"/>
  <c r="G467" i="71"/>
  <c r="K466" i="71"/>
  <c r="I466" i="71"/>
  <c r="G466" i="71"/>
  <c r="K465" i="71"/>
  <c r="I465" i="71"/>
  <c r="G465" i="71"/>
  <c r="K464" i="71"/>
  <c r="I464" i="71"/>
  <c r="G464" i="71"/>
  <c r="K463" i="71"/>
  <c r="I463" i="71"/>
  <c r="G463" i="71"/>
  <c r="K462" i="71"/>
  <c r="I462" i="71"/>
  <c r="G462" i="71"/>
  <c r="K461" i="71"/>
  <c r="I461" i="71"/>
  <c r="G461" i="71"/>
  <c r="K460" i="71"/>
  <c r="I460" i="71"/>
  <c r="G460" i="71"/>
  <c r="K459" i="71"/>
  <c r="I459" i="71"/>
  <c r="G459" i="71"/>
  <c r="K458" i="71"/>
  <c r="I458" i="71"/>
  <c r="G458" i="71"/>
  <c r="K457" i="71"/>
  <c r="I457" i="71"/>
  <c r="G457" i="71"/>
  <c r="K456" i="71"/>
  <c r="I456" i="71"/>
  <c r="G456" i="71"/>
  <c r="K455" i="71"/>
  <c r="I455" i="71"/>
  <c r="G455" i="71"/>
  <c r="K454" i="71"/>
  <c r="I454" i="71"/>
  <c r="G454" i="71"/>
  <c r="K453" i="71"/>
  <c r="I453" i="71"/>
  <c r="G453" i="71"/>
  <c r="K452" i="71"/>
  <c r="I452" i="71"/>
  <c r="G452" i="71"/>
  <c r="K451" i="71"/>
  <c r="I451" i="71"/>
  <c r="G451" i="71"/>
  <c r="K450" i="71"/>
  <c r="I450" i="71"/>
  <c r="G450" i="71"/>
  <c r="K449" i="71"/>
  <c r="I449" i="71"/>
  <c r="G449" i="71"/>
  <c r="K448" i="71"/>
  <c r="I448" i="71"/>
  <c r="G448" i="71"/>
  <c r="K447" i="71"/>
  <c r="I447" i="71"/>
  <c r="G447" i="71"/>
  <c r="K446" i="71"/>
  <c r="I446" i="71"/>
  <c r="G446" i="71"/>
  <c r="K445" i="71"/>
  <c r="I445" i="71"/>
  <c r="G445" i="71"/>
  <c r="K444" i="71"/>
  <c r="I444" i="71"/>
  <c r="G444" i="71"/>
  <c r="K443" i="71"/>
  <c r="I443" i="71"/>
  <c r="G443" i="71"/>
  <c r="K442" i="71"/>
  <c r="I442" i="71"/>
  <c r="G442" i="71"/>
  <c r="K441" i="71"/>
  <c r="I441" i="71"/>
  <c r="G441" i="71"/>
  <c r="K440" i="71"/>
  <c r="I440" i="71"/>
  <c r="G440" i="71"/>
  <c r="K439" i="71"/>
  <c r="I439" i="71"/>
  <c r="G439" i="71"/>
  <c r="K438" i="71"/>
  <c r="I438" i="71"/>
  <c r="G438" i="71"/>
  <c r="K437" i="71"/>
  <c r="I437" i="71"/>
  <c r="G437" i="71"/>
  <c r="K436" i="71"/>
  <c r="I436" i="71"/>
  <c r="G436" i="71"/>
  <c r="K435" i="71"/>
  <c r="I435" i="71"/>
  <c r="G435" i="71"/>
  <c r="K434" i="71"/>
  <c r="I434" i="71"/>
  <c r="G434" i="71"/>
  <c r="K433" i="71"/>
  <c r="I433" i="71"/>
  <c r="G433" i="71"/>
  <c r="K432" i="71"/>
  <c r="I432" i="71"/>
  <c r="G432" i="71"/>
  <c r="K431" i="71"/>
  <c r="I431" i="71"/>
  <c r="G431" i="71"/>
  <c r="K430" i="71"/>
  <c r="I430" i="71"/>
  <c r="G430" i="71"/>
  <c r="K429" i="71"/>
  <c r="I429" i="71"/>
  <c r="G429" i="71"/>
  <c r="K428" i="71"/>
  <c r="I428" i="71"/>
  <c r="G428" i="71"/>
  <c r="K427" i="71"/>
  <c r="I427" i="71"/>
  <c r="G427" i="71"/>
  <c r="K426" i="71"/>
  <c r="I426" i="71"/>
  <c r="G426" i="71"/>
  <c r="K425" i="71"/>
  <c r="I425" i="71"/>
  <c r="G425" i="71"/>
  <c r="K424" i="71"/>
  <c r="I424" i="71"/>
  <c r="G424" i="71"/>
  <c r="K423" i="71"/>
  <c r="I423" i="71"/>
  <c r="G423" i="71"/>
  <c r="K422" i="71"/>
  <c r="I422" i="71"/>
  <c r="G422" i="71"/>
  <c r="K421" i="71"/>
  <c r="I421" i="71"/>
  <c r="G421" i="71"/>
  <c r="K420" i="71"/>
  <c r="I420" i="71"/>
  <c r="G420" i="71"/>
  <c r="K419" i="71"/>
  <c r="I419" i="71"/>
  <c r="G419" i="71"/>
  <c r="K418" i="71"/>
  <c r="I418" i="71"/>
  <c r="G418" i="71"/>
  <c r="K417" i="71"/>
  <c r="I417" i="71"/>
  <c r="G417" i="71"/>
  <c r="K416" i="71"/>
  <c r="I416" i="71"/>
  <c r="G416" i="71"/>
  <c r="K415" i="71"/>
  <c r="I415" i="71"/>
  <c r="G415" i="71"/>
  <c r="K414" i="71"/>
  <c r="I414" i="71"/>
  <c r="G414" i="71"/>
  <c r="K413" i="71"/>
  <c r="I413" i="71"/>
  <c r="G413" i="71"/>
  <c r="K412" i="71"/>
  <c r="I412" i="71"/>
  <c r="G412" i="71"/>
  <c r="K411" i="71"/>
  <c r="I411" i="71"/>
  <c r="G411" i="71"/>
  <c r="K410" i="71"/>
  <c r="I410" i="71"/>
  <c r="G410" i="71"/>
  <c r="K409" i="71"/>
  <c r="I409" i="71"/>
  <c r="G409" i="71"/>
  <c r="K408" i="71"/>
  <c r="I408" i="71"/>
  <c r="G408" i="71"/>
  <c r="K407" i="71"/>
  <c r="I407" i="71"/>
  <c r="G407" i="71"/>
  <c r="K406" i="71"/>
  <c r="I406" i="71"/>
  <c r="G406" i="71"/>
  <c r="K405" i="71"/>
  <c r="I405" i="71"/>
  <c r="G405" i="71"/>
  <c r="K404" i="71"/>
  <c r="I404" i="71"/>
  <c r="G404" i="71"/>
  <c r="K403" i="71"/>
  <c r="I403" i="71"/>
  <c r="G403" i="71"/>
  <c r="K402" i="71"/>
  <c r="I402" i="71"/>
  <c r="G402" i="71"/>
  <c r="K401" i="71"/>
  <c r="I401" i="71"/>
  <c r="G401" i="71"/>
  <c r="K400" i="71"/>
  <c r="I400" i="71"/>
  <c r="G400" i="71"/>
  <c r="K399" i="71"/>
  <c r="I399" i="71"/>
  <c r="G399" i="71"/>
  <c r="K398" i="71"/>
  <c r="I398" i="71"/>
  <c r="G398" i="71"/>
  <c r="K397" i="71"/>
  <c r="I397" i="71"/>
  <c r="G397" i="71"/>
  <c r="K396" i="71"/>
  <c r="I396" i="71"/>
  <c r="G396" i="71"/>
  <c r="K395" i="71"/>
  <c r="I395" i="71"/>
  <c r="G395" i="71"/>
  <c r="K394" i="71"/>
  <c r="I394" i="71"/>
  <c r="G394" i="71"/>
  <c r="K393" i="71"/>
  <c r="I393" i="71"/>
  <c r="G393" i="71"/>
  <c r="K392" i="71"/>
  <c r="I392" i="71"/>
  <c r="G392" i="71"/>
  <c r="K391" i="71"/>
  <c r="I391" i="71"/>
  <c r="G391" i="71"/>
  <c r="K390" i="71"/>
  <c r="I390" i="71"/>
  <c r="G390" i="71"/>
  <c r="K389" i="71"/>
  <c r="I389" i="71"/>
  <c r="G389" i="71"/>
  <c r="K388" i="71"/>
  <c r="I388" i="71"/>
  <c r="G388" i="71"/>
  <c r="K387" i="71"/>
  <c r="I387" i="71"/>
  <c r="G387" i="71"/>
  <c r="K386" i="71"/>
  <c r="I386" i="71"/>
  <c r="G386" i="71"/>
  <c r="K385" i="71"/>
  <c r="I385" i="71"/>
  <c r="G385" i="71"/>
  <c r="K384" i="71"/>
  <c r="I384" i="71"/>
  <c r="G384" i="71"/>
  <c r="K383" i="71"/>
  <c r="I383" i="71"/>
  <c r="G383" i="71"/>
  <c r="K382" i="71"/>
  <c r="I382" i="71"/>
  <c r="G382" i="71"/>
  <c r="K381" i="71"/>
  <c r="I381" i="71"/>
  <c r="G381" i="71"/>
  <c r="K380" i="71"/>
  <c r="I380" i="71"/>
  <c r="G380" i="71"/>
  <c r="K379" i="71"/>
  <c r="I379" i="71"/>
  <c r="G379" i="71"/>
  <c r="K378" i="71"/>
  <c r="I378" i="71"/>
  <c r="G378" i="71"/>
  <c r="K377" i="71"/>
  <c r="I377" i="71"/>
  <c r="G377" i="71"/>
  <c r="K376" i="71"/>
  <c r="I376" i="71"/>
  <c r="G376" i="71"/>
  <c r="K375" i="71"/>
  <c r="I375" i="71"/>
  <c r="G375" i="71"/>
  <c r="K374" i="71"/>
  <c r="I374" i="71"/>
  <c r="G374" i="71"/>
  <c r="K373" i="71"/>
  <c r="I373" i="71"/>
  <c r="G373" i="71"/>
  <c r="K372" i="71"/>
  <c r="I372" i="71"/>
  <c r="G372" i="71"/>
  <c r="K371" i="71"/>
  <c r="I371" i="71"/>
  <c r="G371" i="71"/>
  <c r="K370" i="71"/>
  <c r="I370" i="71"/>
  <c r="G370" i="71"/>
  <c r="K369" i="71"/>
  <c r="I369" i="71"/>
  <c r="G369" i="71"/>
  <c r="K368" i="71"/>
  <c r="I368" i="71"/>
  <c r="G368" i="71"/>
  <c r="K366" i="71"/>
  <c r="I366" i="71"/>
  <c r="G366" i="71"/>
  <c r="K365" i="71"/>
  <c r="I365" i="71"/>
  <c r="G365" i="71"/>
  <c r="K364" i="71"/>
  <c r="I364" i="71"/>
  <c r="G364" i="71"/>
  <c r="K363" i="71"/>
  <c r="I363" i="71"/>
  <c r="G363" i="71"/>
  <c r="K362" i="71"/>
  <c r="I362" i="71"/>
  <c r="G362" i="71"/>
  <c r="K361" i="71"/>
  <c r="I361" i="71"/>
  <c r="G361" i="71"/>
  <c r="K360" i="71"/>
  <c r="I360" i="71"/>
  <c r="G360" i="71"/>
  <c r="K359" i="71"/>
  <c r="I359" i="71"/>
  <c r="G359" i="71"/>
  <c r="K357" i="71"/>
  <c r="I357" i="71"/>
  <c r="G357" i="71"/>
  <c r="K356" i="71"/>
  <c r="I356" i="71"/>
  <c r="G356" i="71"/>
  <c r="K355" i="71"/>
  <c r="I355" i="71"/>
  <c r="G355" i="71"/>
  <c r="K354" i="71"/>
  <c r="I354" i="71"/>
  <c r="G354" i="71"/>
  <c r="K352" i="71"/>
  <c r="I352" i="71"/>
  <c r="G352" i="71"/>
  <c r="K351" i="71"/>
  <c r="I351" i="71"/>
  <c r="G351" i="71"/>
  <c r="K350" i="71"/>
  <c r="I350" i="71"/>
  <c r="G350" i="71"/>
  <c r="K349" i="71"/>
  <c r="I349" i="71"/>
  <c r="G349" i="71"/>
  <c r="K348" i="71"/>
  <c r="I348" i="71"/>
  <c r="G348" i="71"/>
  <c r="K347" i="71"/>
  <c r="I347" i="71"/>
  <c r="G347" i="71"/>
  <c r="K346" i="71"/>
  <c r="I346" i="71"/>
  <c r="G346" i="71"/>
  <c r="K345" i="71"/>
  <c r="I345" i="71"/>
  <c r="G345" i="71"/>
  <c r="K344" i="71"/>
  <c r="I344" i="71"/>
  <c r="G344" i="71"/>
  <c r="K343" i="71"/>
  <c r="I343" i="71"/>
  <c r="G343" i="71"/>
  <c r="K342" i="71"/>
  <c r="I342" i="71"/>
  <c r="G342" i="71"/>
  <c r="K341" i="71"/>
  <c r="I341" i="71"/>
  <c r="G341" i="71"/>
  <c r="K340" i="71"/>
  <c r="I340" i="71"/>
  <c r="G340" i="71"/>
  <c r="K339" i="71"/>
  <c r="I339" i="71"/>
  <c r="G339" i="71"/>
  <c r="K338" i="71"/>
  <c r="I338" i="71"/>
  <c r="G338" i="71"/>
  <c r="K337" i="71"/>
  <c r="I337" i="71"/>
  <c r="G337" i="71"/>
  <c r="K336" i="71"/>
  <c r="I336" i="71"/>
  <c r="G336" i="71"/>
  <c r="K335" i="71"/>
  <c r="I335" i="71"/>
  <c r="G335" i="71"/>
  <c r="K334" i="71"/>
  <c r="I334" i="71"/>
  <c r="G334" i="71"/>
  <c r="K333" i="71"/>
  <c r="I333" i="71"/>
  <c r="G333" i="71"/>
  <c r="K332" i="71"/>
  <c r="I332" i="71"/>
  <c r="G332" i="71"/>
  <c r="K331" i="71"/>
  <c r="I331" i="71"/>
  <c r="G331" i="71"/>
  <c r="K330" i="71"/>
  <c r="I330" i="71"/>
  <c r="G330" i="71"/>
  <c r="K329" i="71"/>
  <c r="I329" i="71"/>
  <c r="G329" i="71"/>
  <c r="K328" i="71"/>
  <c r="I328" i="71"/>
  <c r="G328" i="71"/>
  <c r="K327" i="71"/>
  <c r="I327" i="71"/>
  <c r="G327" i="71"/>
  <c r="K326" i="71"/>
  <c r="I326" i="71"/>
  <c r="G326" i="71"/>
  <c r="K325" i="71"/>
  <c r="I325" i="71"/>
  <c r="G325" i="71"/>
  <c r="K324" i="71"/>
  <c r="I324" i="71"/>
  <c r="G324" i="71"/>
  <c r="K323" i="71"/>
  <c r="I323" i="71"/>
  <c r="G323" i="71"/>
  <c r="K322" i="71"/>
  <c r="I322" i="71"/>
  <c r="G322" i="71"/>
  <c r="K321" i="71"/>
  <c r="I321" i="71"/>
  <c r="G321" i="71"/>
  <c r="K320" i="71"/>
  <c r="I320" i="71"/>
  <c r="G320" i="71"/>
  <c r="K319" i="71"/>
  <c r="I319" i="71"/>
  <c r="G319" i="71"/>
  <c r="K318" i="71"/>
  <c r="I318" i="71"/>
  <c r="G318" i="71"/>
  <c r="K317" i="71"/>
  <c r="I317" i="71"/>
  <c r="G317" i="71"/>
  <c r="K316" i="71"/>
  <c r="I316" i="71"/>
  <c r="G316" i="71"/>
  <c r="K315" i="71"/>
  <c r="I315" i="71"/>
  <c r="G315" i="71"/>
  <c r="K314" i="71"/>
  <c r="I314" i="71"/>
  <c r="G314" i="71"/>
  <c r="K313" i="71"/>
  <c r="I313" i="71"/>
  <c r="G313" i="71"/>
  <c r="K312" i="71"/>
  <c r="I312" i="71"/>
  <c r="G312" i="71"/>
  <c r="K311" i="71"/>
  <c r="I311" i="71"/>
  <c r="G311" i="71"/>
  <c r="K310" i="71"/>
  <c r="I310" i="71"/>
  <c r="G310" i="71"/>
  <c r="K309" i="71"/>
  <c r="I309" i="71"/>
  <c r="G309" i="71"/>
  <c r="K308" i="71"/>
  <c r="I308" i="71"/>
  <c r="G308" i="71"/>
  <c r="K307" i="71"/>
  <c r="I307" i="71"/>
  <c r="G307" i="71"/>
  <c r="K306" i="71"/>
  <c r="I306" i="71"/>
  <c r="G306" i="71"/>
  <c r="K305" i="71"/>
  <c r="I305" i="71"/>
  <c r="G305" i="71"/>
  <c r="K304" i="71"/>
  <c r="I304" i="71"/>
  <c r="G304" i="71"/>
  <c r="K303" i="71"/>
  <c r="I303" i="71"/>
  <c r="G303" i="71"/>
  <c r="K302" i="71"/>
  <c r="I302" i="71"/>
  <c r="G302" i="71"/>
  <c r="K301" i="71"/>
  <c r="I301" i="71"/>
  <c r="G301" i="71"/>
  <c r="K300" i="71"/>
  <c r="I300" i="71"/>
  <c r="G300" i="71"/>
  <c r="K299" i="71"/>
  <c r="I299" i="71"/>
  <c r="G299" i="71"/>
  <c r="K298" i="71"/>
  <c r="I298" i="71"/>
  <c r="G298" i="71"/>
  <c r="K297" i="71"/>
  <c r="I297" i="71"/>
  <c r="G297" i="71"/>
  <c r="K296" i="71"/>
  <c r="I296" i="71"/>
  <c r="G296" i="71"/>
  <c r="K295" i="71"/>
  <c r="I295" i="71"/>
  <c r="G295" i="71"/>
  <c r="K294" i="71"/>
  <c r="I294" i="71"/>
  <c r="G294" i="71"/>
  <c r="K293" i="71"/>
  <c r="I293" i="71"/>
  <c r="G293" i="71"/>
  <c r="K292" i="71"/>
  <c r="I292" i="71"/>
  <c r="G292" i="71"/>
  <c r="K291" i="71"/>
  <c r="I291" i="71"/>
  <c r="G291" i="71"/>
  <c r="K290" i="71"/>
  <c r="I290" i="71"/>
  <c r="G290" i="71"/>
  <c r="K289" i="71"/>
  <c r="I289" i="71"/>
  <c r="G289" i="71"/>
  <c r="K288" i="71"/>
  <c r="I288" i="71"/>
  <c r="G288" i="71"/>
  <c r="K287" i="71"/>
  <c r="I287" i="71"/>
  <c r="G287" i="71"/>
  <c r="K286" i="71"/>
  <c r="I286" i="71"/>
  <c r="G286" i="71"/>
  <c r="K285" i="71"/>
  <c r="I285" i="71"/>
  <c r="G285" i="71"/>
  <c r="K284" i="71"/>
  <c r="I284" i="71"/>
  <c r="G284" i="71"/>
  <c r="K283" i="71"/>
  <c r="I283" i="71"/>
  <c r="G283" i="71"/>
  <c r="K282" i="71"/>
  <c r="I282" i="71"/>
  <c r="G282" i="71"/>
  <c r="K281" i="71"/>
  <c r="I281" i="71"/>
  <c r="G281" i="71"/>
  <c r="K280" i="71"/>
  <c r="I280" i="71"/>
  <c r="G280" i="71"/>
  <c r="K279" i="71"/>
  <c r="I279" i="71"/>
  <c r="G279" i="71"/>
  <c r="K278" i="71"/>
  <c r="I278" i="71"/>
  <c r="G278" i="71"/>
  <c r="K277" i="71"/>
  <c r="I277" i="71"/>
  <c r="G277" i="71"/>
  <c r="K276" i="71"/>
  <c r="I276" i="71"/>
  <c r="G276" i="71"/>
  <c r="K275" i="71"/>
  <c r="I275" i="71"/>
  <c r="G275" i="71"/>
  <c r="K274" i="71"/>
  <c r="I274" i="71"/>
  <c r="G274" i="71"/>
  <c r="K273" i="71"/>
  <c r="I273" i="71"/>
  <c r="G273" i="71"/>
  <c r="K272" i="71"/>
  <c r="I272" i="71"/>
  <c r="G272" i="71"/>
  <c r="K271" i="71"/>
  <c r="I271" i="71"/>
  <c r="G271" i="71"/>
  <c r="K270" i="71"/>
  <c r="I270" i="71"/>
  <c r="G270" i="71"/>
  <c r="K269" i="71"/>
  <c r="I269" i="71"/>
  <c r="G269" i="71"/>
  <c r="K268" i="71"/>
  <c r="I268" i="71"/>
  <c r="G268" i="71"/>
  <c r="K267" i="71"/>
  <c r="I267" i="71"/>
  <c r="G267" i="71"/>
  <c r="K266" i="71"/>
  <c r="I266" i="71"/>
  <c r="G266" i="71"/>
  <c r="K265" i="71"/>
  <c r="I265" i="71"/>
  <c r="G265" i="71"/>
  <c r="K264" i="71"/>
  <c r="I264" i="71"/>
  <c r="G264" i="71"/>
  <c r="K263" i="71"/>
  <c r="I263" i="71"/>
  <c r="G263" i="71"/>
  <c r="K262" i="71"/>
  <c r="I262" i="71"/>
  <c r="G262" i="71"/>
  <c r="K261" i="71"/>
  <c r="I261" i="71"/>
  <c r="G261" i="71"/>
  <c r="K260" i="71"/>
  <c r="I260" i="71"/>
  <c r="G260" i="71"/>
  <c r="K259" i="71"/>
  <c r="I259" i="71"/>
  <c r="G259" i="71"/>
  <c r="K258" i="71"/>
  <c r="I258" i="71"/>
  <c r="G258" i="71"/>
  <c r="K257" i="71"/>
  <c r="I257" i="71"/>
  <c r="G257" i="71"/>
  <c r="K256" i="71"/>
  <c r="I256" i="71"/>
  <c r="G256" i="71"/>
  <c r="K255" i="71"/>
  <c r="I255" i="71"/>
  <c r="G255" i="71"/>
  <c r="K254" i="71"/>
  <c r="I254" i="71"/>
  <c r="G254" i="71"/>
  <c r="K253" i="71"/>
  <c r="I253" i="71"/>
  <c r="G253" i="71"/>
  <c r="K252" i="71"/>
  <c r="I252" i="71"/>
  <c r="G252" i="71"/>
  <c r="K251" i="71"/>
  <c r="I251" i="71"/>
  <c r="G251" i="71"/>
  <c r="K250" i="71"/>
  <c r="I250" i="71"/>
  <c r="G250" i="71"/>
  <c r="K249" i="71"/>
  <c r="I249" i="71"/>
  <c r="G249" i="71"/>
  <c r="K248" i="71"/>
  <c r="I248" i="71"/>
  <c r="G248" i="71"/>
  <c r="K247" i="71"/>
  <c r="I247" i="71"/>
  <c r="G247" i="71"/>
  <c r="K246" i="71"/>
  <c r="I246" i="71"/>
  <c r="G246" i="71"/>
  <c r="K245" i="71"/>
  <c r="I245" i="71"/>
  <c r="G245" i="71"/>
  <c r="K244" i="71"/>
  <c r="I244" i="71"/>
  <c r="G244" i="71"/>
  <c r="K243" i="71"/>
  <c r="I243" i="71"/>
  <c r="G243" i="71"/>
  <c r="K242" i="71"/>
  <c r="I242" i="71"/>
  <c r="G242" i="71"/>
  <c r="K241" i="71"/>
  <c r="I241" i="71"/>
  <c r="G241" i="71"/>
  <c r="K240" i="71"/>
  <c r="I240" i="71"/>
  <c r="G240" i="71"/>
  <c r="K239" i="71"/>
  <c r="I239" i="71"/>
  <c r="G239" i="71"/>
  <c r="K238" i="71"/>
  <c r="I238" i="71"/>
  <c r="G238" i="71"/>
  <c r="K237" i="71"/>
  <c r="I237" i="71"/>
  <c r="G237" i="71"/>
  <c r="K236" i="71"/>
  <c r="I236" i="71"/>
  <c r="G236" i="71"/>
  <c r="K235" i="71"/>
  <c r="I235" i="71"/>
  <c r="G235" i="71"/>
  <c r="K234" i="71"/>
  <c r="I234" i="71"/>
  <c r="G234" i="71"/>
  <c r="K233" i="71"/>
  <c r="I233" i="71"/>
  <c r="G233" i="71"/>
  <c r="K232" i="71"/>
  <c r="I232" i="71"/>
  <c r="G232" i="71"/>
  <c r="K231" i="71"/>
  <c r="I231" i="71"/>
  <c r="G231" i="71"/>
  <c r="K230" i="71"/>
  <c r="I230" i="71"/>
  <c r="G230" i="71"/>
  <c r="K229" i="71"/>
  <c r="I229" i="71"/>
  <c r="G229" i="71"/>
  <c r="K228" i="71"/>
  <c r="I228" i="71"/>
  <c r="G228" i="71"/>
  <c r="K227" i="71"/>
  <c r="I227" i="71"/>
  <c r="G227" i="71"/>
  <c r="K226" i="71"/>
  <c r="I226" i="71"/>
  <c r="G226" i="71"/>
  <c r="K225" i="71"/>
  <c r="I225" i="71"/>
  <c r="G225" i="71"/>
  <c r="K224" i="71"/>
  <c r="I224" i="71"/>
  <c r="G224" i="71"/>
  <c r="K223" i="71"/>
  <c r="I223" i="71"/>
  <c r="G223" i="71"/>
  <c r="K222" i="71"/>
  <c r="I222" i="71"/>
  <c r="G222" i="71"/>
  <c r="K221" i="71"/>
  <c r="I221" i="71"/>
  <c r="G221" i="71"/>
  <c r="K220" i="71"/>
  <c r="I220" i="71"/>
  <c r="G220" i="71"/>
  <c r="K219" i="71"/>
  <c r="I219" i="71"/>
  <c r="G219" i="71"/>
  <c r="K218" i="71"/>
  <c r="I218" i="71"/>
  <c r="G218" i="71"/>
  <c r="K217" i="71"/>
  <c r="I217" i="71"/>
  <c r="G217" i="71"/>
  <c r="K216" i="71"/>
  <c r="I216" i="71"/>
  <c r="G216" i="71"/>
  <c r="K215" i="71"/>
  <c r="I215" i="71"/>
  <c r="G215" i="71"/>
  <c r="K214" i="71"/>
  <c r="I214" i="71"/>
  <c r="G214" i="71"/>
  <c r="K213" i="71"/>
  <c r="I213" i="71"/>
  <c r="G213" i="71"/>
  <c r="K212" i="71"/>
  <c r="I212" i="71"/>
  <c r="G212" i="71"/>
  <c r="K211" i="71"/>
  <c r="I211" i="71"/>
  <c r="G211" i="71"/>
  <c r="K210" i="71"/>
  <c r="I210" i="71"/>
  <c r="G210" i="71"/>
  <c r="K209" i="71"/>
  <c r="I209" i="71"/>
  <c r="G209" i="71"/>
  <c r="K208" i="71"/>
  <c r="I208" i="71"/>
  <c r="G208" i="71"/>
  <c r="K207" i="71"/>
  <c r="I207" i="71"/>
  <c r="G207" i="71"/>
  <c r="K206" i="71"/>
  <c r="I206" i="71"/>
  <c r="G206" i="71"/>
  <c r="K205" i="71"/>
  <c r="I205" i="71"/>
  <c r="G205" i="71"/>
  <c r="K204" i="71"/>
  <c r="I204" i="71"/>
  <c r="G204" i="71"/>
  <c r="K203" i="71"/>
  <c r="I203" i="71"/>
  <c r="G203" i="71"/>
  <c r="K202" i="71"/>
  <c r="I202" i="71"/>
  <c r="G202" i="71"/>
  <c r="K201" i="71"/>
  <c r="I201" i="71"/>
  <c r="G201" i="71"/>
  <c r="K200" i="71"/>
  <c r="I200" i="71"/>
  <c r="G200" i="71"/>
  <c r="K199" i="71"/>
  <c r="I199" i="71"/>
  <c r="G199" i="71"/>
  <c r="K198" i="71"/>
  <c r="I198" i="71"/>
  <c r="G198" i="71"/>
  <c r="K197" i="71"/>
  <c r="I197" i="71"/>
  <c r="G197" i="71"/>
  <c r="K196" i="71"/>
  <c r="I196" i="71"/>
  <c r="G196" i="71"/>
  <c r="K195" i="71"/>
  <c r="I195" i="71"/>
  <c r="G195" i="71"/>
  <c r="K194" i="71"/>
  <c r="I194" i="71"/>
  <c r="G194" i="71"/>
  <c r="K193" i="71"/>
  <c r="I193" i="71"/>
  <c r="G193" i="71"/>
  <c r="K192" i="71"/>
  <c r="I192" i="71"/>
  <c r="G192" i="71"/>
  <c r="K191" i="71"/>
  <c r="I191" i="71"/>
  <c r="G191" i="71"/>
  <c r="K190" i="71"/>
  <c r="I190" i="71"/>
  <c r="G190" i="71"/>
  <c r="K189" i="71"/>
  <c r="I189" i="71"/>
  <c r="G189" i="71"/>
  <c r="K188" i="71"/>
  <c r="I188" i="71"/>
  <c r="G188" i="71"/>
  <c r="K187" i="71"/>
  <c r="I187" i="71"/>
  <c r="G187" i="71"/>
  <c r="K186" i="71"/>
  <c r="I186" i="71"/>
  <c r="G186" i="71"/>
  <c r="K185" i="71"/>
  <c r="I185" i="71"/>
  <c r="G185" i="71"/>
  <c r="K184" i="71"/>
  <c r="I184" i="71"/>
  <c r="G184" i="71"/>
  <c r="K183" i="71"/>
  <c r="I183" i="71"/>
  <c r="G183" i="71"/>
  <c r="K182" i="71"/>
  <c r="I182" i="71"/>
  <c r="G182" i="71"/>
  <c r="K181" i="71"/>
  <c r="I181" i="71"/>
  <c r="G181" i="71"/>
  <c r="K180" i="71"/>
  <c r="I180" i="71"/>
  <c r="G180" i="71"/>
  <c r="K179" i="71"/>
  <c r="I179" i="71"/>
  <c r="G179" i="71"/>
  <c r="K178" i="71"/>
  <c r="I178" i="71"/>
  <c r="G178" i="71"/>
  <c r="K177" i="71"/>
  <c r="I177" i="71"/>
  <c r="G177" i="71"/>
  <c r="K176" i="71"/>
  <c r="I176" i="71"/>
  <c r="G176" i="71"/>
  <c r="K175" i="71"/>
  <c r="I175" i="71"/>
  <c r="G175" i="71"/>
  <c r="K174" i="71"/>
  <c r="I174" i="71"/>
  <c r="G174" i="71"/>
  <c r="K173" i="71"/>
  <c r="I173" i="71"/>
  <c r="G173" i="71"/>
  <c r="K172" i="71"/>
  <c r="I172" i="71"/>
  <c r="G172" i="71"/>
  <c r="K171" i="71"/>
  <c r="I171" i="71"/>
  <c r="G171" i="71"/>
  <c r="K170" i="71"/>
  <c r="I170" i="71"/>
  <c r="G170" i="71"/>
  <c r="K169" i="71"/>
  <c r="I169" i="71"/>
  <c r="G169" i="71"/>
  <c r="K168" i="71"/>
  <c r="I168" i="71"/>
  <c r="G168" i="71"/>
  <c r="K166" i="71"/>
  <c r="I166" i="71"/>
  <c r="G166" i="71"/>
  <c r="K165" i="71"/>
  <c r="I165" i="71"/>
  <c r="G165" i="71"/>
  <c r="K164" i="71"/>
  <c r="I164" i="71"/>
  <c r="G164" i="71"/>
  <c r="K163" i="71"/>
  <c r="I163" i="71"/>
  <c r="G163" i="71"/>
  <c r="K162" i="71"/>
  <c r="I162" i="71"/>
  <c r="G162" i="71"/>
  <c r="K161" i="71"/>
  <c r="I161" i="71"/>
  <c r="G161" i="71"/>
  <c r="K160" i="71"/>
  <c r="I160" i="71"/>
  <c r="G160" i="71"/>
  <c r="K159" i="71"/>
  <c r="I159" i="71"/>
  <c r="G159" i="71"/>
  <c r="K158" i="71"/>
  <c r="I158" i="71"/>
  <c r="G158" i="71"/>
  <c r="K157" i="71"/>
  <c r="I157" i="71"/>
  <c r="G157" i="71"/>
  <c r="K156" i="71"/>
  <c r="I156" i="71"/>
  <c r="G156" i="71"/>
  <c r="K155" i="71"/>
  <c r="I155" i="71"/>
  <c r="G155" i="71"/>
  <c r="K154" i="71"/>
  <c r="I154" i="71"/>
  <c r="G154" i="71"/>
  <c r="K153" i="71"/>
  <c r="I153" i="71"/>
  <c r="G153" i="71"/>
  <c r="K152" i="71"/>
  <c r="I152" i="71"/>
  <c r="G152" i="71"/>
  <c r="K151" i="71"/>
  <c r="I151" i="71"/>
  <c r="G151" i="71"/>
  <c r="K150" i="71"/>
  <c r="I150" i="71"/>
  <c r="G150" i="71"/>
  <c r="K149" i="71"/>
  <c r="I149" i="71"/>
  <c r="G149" i="71"/>
  <c r="K148" i="71"/>
  <c r="I148" i="71"/>
  <c r="G148" i="71"/>
  <c r="K147" i="71"/>
  <c r="I147" i="71"/>
  <c r="G147" i="71"/>
  <c r="K146" i="71"/>
  <c r="I146" i="71"/>
  <c r="G146" i="71"/>
  <c r="K145" i="71"/>
  <c r="I145" i="71"/>
  <c r="G145" i="71"/>
  <c r="K144" i="71"/>
  <c r="I144" i="71"/>
  <c r="G144" i="71"/>
  <c r="K143" i="71"/>
  <c r="I143" i="71"/>
  <c r="G143" i="71"/>
  <c r="K142" i="71"/>
  <c r="I142" i="71"/>
  <c r="G142" i="71"/>
  <c r="K141" i="71"/>
  <c r="I141" i="71"/>
  <c r="G141" i="71"/>
  <c r="K140" i="71"/>
  <c r="I140" i="71"/>
  <c r="G140" i="71"/>
  <c r="K139" i="71"/>
  <c r="I139" i="71"/>
  <c r="G139" i="71"/>
  <c r="K138" i="71"/>
  <c r="I138" i="71"/>
  <c r="G138" i="71"/>
  <c r="K137" i="71"/>
  <c r="I137" i="71"/>
  <c r="G137" i="71"/>
  <c r="K136" i="71"/>
  <c r="I136" i="71"/>
  <c r="G136" i="71"/>
  <c r="K135" i="71"/>
  <c r="I135" i="71"/>
  <c r="G135" i="71"/>
  <c r="K134" i="71"/>
  <c r="I134" i="71"/>
  <c r="G134" i="71"/>
  <c r="K133" i="71"/>
  <c r="I133" i="71"/>
  <c r="G133" i="71"/>
  <c r="K132" i="71"/>
  <c r="I132" i="71"/>
  <c r="G132" i="71"/>
  <c r="K131" i="71"/>
  <c r="I131" i="71"/>
  <c r="G131" i="71"/>
  <c r="K130" i="71"/>
  <c r="I130" i="71"/>
  <c r="G130" i="71"/>
  <c r="K129" i="71"/>
  <c r="I129" i="71"/>
  <c r="G129" i="71"/>
  <c r="K128" i="71"/>
  <c r="I128" i="71"/>
  <c r="G128" i="71"/>
  <c r="K127" i="71"/>
  <c r="I127" i="71"/>
  <c r="G127" i="71"/>
  <c r="K126" i="71"/>
  <c r="I126" i="71"/>
  <c r="G126" i="71"/>
  <c r="K125" i="71"/>
  <c r="I125" i="71"/>
  <c r="G125" i="71"/>
  <c r="K124" i="71"/>
  <c r="I124" i="71"/>
  <c r="G124" i="71"/>
  <c r="K123" i="71"/>
  <c r="I123" i="71"/>
  <c r="G123" i="71"/>
  <c r="K122" i="71"/>
  <c r="I122" i="71"/>
  <c r="G122" i="71"/>
  <c r="K121" i="71"/>
  <c r="I121" i="71"/>
  <c r="G121" i="71"/>
  <c r="K120" i="71"/>
  <c r="I120" i="71"/>
  <c r="G120" i="71"/>
  <c r="K119" i="71"/>
  <c r="I119" i="71"/>
  <c r="G119" i="71"/>
  <c r="K118" i="71"/>
  <c r="I118" i="71"/>
  <c r="G118" i="71"/>
  <c r="K117" i="71"/>
  <c r="I117" i="71"/>
  <c r="G117" i="71"/>
  <c r="K116" i="71"/>
  <c r="I116" i="71"/>
  <c r="G116" i="71"/>
  <c r="K115" i="71"/>
  <c r="I115" i="71"/>
  <c r="G115" i="71"/>
  <c r="K114" i="71"/>
  <c r="I114" i="71"/>
  <c r="G114" i="71"/>
  <c r="K113" i="71"/>
  <c r="I113" i="71"/>
  <c r="G113" i="71"/>
  <c r="K112" i="71"/>
  <c r="I112" i="71"/>
  <c r="G112" i="71"/>
  <c r="K111" i="71"/>
  <c r="I111" i="71"/>
  <c r="G111" i="71"/>
  <c r="K110" i="71"/>
  <c r="I110" i="71"/>
  <c r="G110" i="71"/>
  <c r="K109" i="71"/>
  <c r="I109" i="71"/>
  <c r="G109" i="71"/>
  <c r="K108" i="71"/>
  <c r="I108" i="71"/>
  <c r="G108" i="71"/>
  <c r="K107" i="71"/>
  <c r="I107" i="71"/>
  <c r="G107" i="71"/>
  <c r="K106" i="71"/>
  <c r="I106" i="71"/>
  <c r="G106" i="71"/>
  <c r="K105" i="71"/>
  <c r="I105" i="71"/>
  <c r="G105" i="71"/>
  <c r="K104" i="71"/>
  <c r="I104" i="71"/>
  <c r="G104" i="71"/>
  <c r="K103" i="71"/>
  <c r="I103" i="71"/>
  <c r="G103" i="71"/>
  <c r="K102" i="71"/>
  <c r="I102" i="71"/>
  <c r="G102" i="71"/>
  <c r="K101" i="71"/>
  <c r="I101" i="71"/>
  <c r="G101" i="71"/>
  <c r="K100" i="71"/>
  <c r="I100" i="71"/>
  <c r="G100" i="71"/>
  <c r="K99" i="71"/>
  <c r="I99" i="71"/>
  <c r="G99" i="71"/>
  <c r="K98" i="71"/>
  <c r="I98" i="71"/>
  <c r="G98" i="71"/>
  <c r="K97" i="71"/>
  <c r="I97" i="71"/>
  <c r="G97" i="71"/>
  <c r="K96" i="71"/>
  <c r="I96" i="71"/>
  <c r="G96" i="71"/>
  <c r="K95" i="71"/>
  <c r="I95" i="71"/>
  <c r="G95" i="71"/>
  <c r="K94" i="71"/>
  <c r="I94" i="71"/>
  <c r="G94" i="71"/>
  <c r="K93" i="71"/>
  <c r="I93" i="71"/>
  <c r="G93" i="71"/>
  <c r="K92" i="71"/>
  <c r="I92" i="71"/>
  <c r="G92" i="71"/>
  <c r="K91" i="71"/>
  <c r="I91" i="71"/>
  <c r="G91" i="71"/>
  <c r="K90" i="71"/>
  <c r="I90" i="71"/>
  <c r="G90" i="71"/>
  <c r="K89" i="71"/>
  <c r="I89" i="71"/>
  <c r="G89" i="71"/>
  <c r="K88" i="71"/>
  <c r="I88" i="71"/>
  <c r="G88" i="71"/>
  <c r="K87" i="71"/>
  <c r="I87" i="71"/>
  <c r="G87" i="71"/>
  <c r="K86" i="71"/>
  <c r="I86" i="71"/>
  <c r="G86" i="71"/>
  <c r="K85" i="71"/>
  <c r="I85" i="71"/>
  <c r="G85" i="71"/>
  <c r="K84" i="71"/>
  <c r="I84" i="71"/>
  <c r="G84" i="71"/>
  <c r="K83" i="71"/>
  <c r="I83" i="71"/>
  <c r="G83" i="71"/>
  <c r="K82" i="71"/>
  <c r="I82" i="71"/>
  <c r="G82" i="71"/>
  <c r="K81" i="71"/>
  <c r="I81" i="71"/>
  <c r="G81" i="71"/>
  <c r="K80" i="71"/>
  <c r="I80" i="71"/>
  <c r="G80" i="71"/>
  <c r="K79" i="71"/>
  <c r="I79" i="71"/>
  <c r="G79" i="71"/>
  <c r="K78" i="71"/>
  <c r="I78" i="71"/>
  <c r="G78" i="71"/>
  <c r="K77" i="71"/>
  <c r="I77" i="71"/>
  <c r="G77" i="71"/>
  <c r="K76" i="71"/>
  <c r="I76" i="71"/>
  <c r="G76" i="71"/>
  <c r="K75" i="71"/>
  <c r="I75" i="71"/>
  <c r="G75" i="71"/>
  <c r="K74" i="71"/>
  <c r="I74" i="71"/>
  <c r="G74" i="71"/>
  <c r="K73" i="71"/>
  <c r="I73" i="71"/>
  <c r="G73" i="71"/>
  <c r="K72" i="71"/>
  <c r="I72" i="71"/>
  <c r="G72" i="71"/>
  <c r="K71" i="71"/>
  <c r="I71" i="71"/>
  <c r="G71" i="71"/>
  <c r="K70" i="71"/>
  <c r="I70" i="71"/>
  <c r="G70" i="71"/>
  <c r="K69" i="71"/>
  <c r="I69" i="71"/>
  <c r="G69" i="71"/>
  <c r="K68" i="71"/>
  <c r="I68" i="71"/>
  <c r="G68" i="71"/>
  <c r="K67" i="71"/>
  <c r="I67" i="71"/>
  <c r="G67" i="71"/>
  <c r="K66" i="71"/>
  <c r="I66" i="71"/>
  <c r="G66" i="71"/>
  <c r="K65" i="71"/>
  <c r="I65" i="71"/>
  <c r="G65" i="71"/>
  <c r="K64" i="71"/>
  <c r="I64" i="71"/>
  <c r="G64" i="71"/>
  <c r="K63" i="71"/>
  <c r="I63" i="71"/>
  <c r="G63" i="71"/>
  <c r="K62" i="71"/>
  <c r="I62" i="71"/>
  <c r="G62" i="71"/>
  <c r="K61" i="71"/>
  <c r="I61" i="71"/>
  <c r="G61" i="71"/>
  <c r="K60" i="71"/>
  <c r="I60" i="71"/>
  <c r="G60" i="71"/>
  <c r="K59" i="71"/>
  <c r="I59" i="71"/>
  <c r="G59" i="71"/>
  <c r="K58" i="71"/>
  <c r="I58" i="71"/>
  <c r="G58" i="71"/>
  <c r="K57" i="71"/>
  <c r="I57" i="71"/>
  <c r="G57" i="71"/>
  <c r="K56" i="71"/>
  <c r="I56" i="71"/>
  <c r="G56" i="71"/>
  <c r="K55" i="71"/>
  <c r="I55" i="71"/>
  <c r="G55" i="71"/>
  <c r="K54" i="71"/>
  <c r="I54" i="71"/>
  <c r="G54" i="71"/>
  <c r="K53" i="71"/>
  <c r="I53" i="71"/>
  <c r="G53" i="71"/>
  <c r="K52" i="71"/>
  <c r="I52" i="71"/>
  <c r="G52" i="71"/>
  <c r="K51" i="71"/>
  <c r="I51" i="71"/>
  <c r="G51" i="71"/>
  <c r="K50" i="71"/>
  <c r="I50" i="71"/>
  <c r="G50" i="71"/>
  <c r="K49" i="71"/>
  <c r="I49" i="71"/>
  <c r="G49" i="71"/>
  <c r="K48" i="71"/>
  <c r="I48" i="71"/>
  <c r="G48" i="71"/>
  <c r="K47" i="71"/>
  <c r="I47" i="71"/>
  <c r="G47" i="71"/>
  <c r="K46" i="71"/>
  <c r="I46" i="71"/>
  <c r="G46" i="71"/>
  <c r="K45" i="71"/>
  <c r="I45" i="71"/>
  <c r="G45" i="71"/>
  <c r="K44" i="71"/>
  <c r="I44" i="71"/>
  <c r="G44" i="71"/>
  <c r="K43" i="71"/>
  <c r="I43" i="71"/>
  <c r="G43" i="71"/>
  <c r="K42" i="71"/>
  <c r="I42" i="71"/>
  <c r="G42" i="71"/>
  <c r="K41" i="71"/>
  <c r="I41" i="71"/>
  <c r="G41" i="71"/>
  <c r="K40" i="71"/>
  <c r="I40" i="71"/>
  <c r="G40" i="71"/>
  <c r="K39" i="71"/>
  <c r="I39" i="71"/>
  <c r="G39" i="71"/>
  <c r="K38" i="71"/>
  <c r="I38" i="71"/>
  <c r="G38" i="71"/>
  <c r="K37" i="71"/>
  <c r="I37" i="71"/>
  <c r="G37" i="71"/>
  <c r="K36" i="71"/>
  <c r="I36" i="71"/>
  <c r="G36" i="71"/>
  <c r="K35" i="71"/>
  <c r="I35" i="71"/>
  <c r="G35" i="71"/>
  <c r="K34" i="71"/>
  <c r="I34" i="71"/>
  <c r="G34" i="71"/>
  <c r="K33" i="71"/>
  <c r="I33" i="71"/>
  <c r="G33" i="71"/>
  <c r="K32" i="71"/>
  <c r="I32" i="71"/>
  <c r="G32" i="71"/>
  <c r="K31" i="71"/>
  <c r="I31" i="71"/>
  <c r="G31" i="71"/>
  <c r="K30" i="71"/>
  <c r="I30" i="71"/>
  <c r="G30" i="71"/>
  <c r="K29" i="71"/>
  <c r="I29" i="71"/>
  <c r="G29" i="71"/>
  <c r="K28" i="71"/>
  <c r="I28" i="71"/>
  <c r="G28" i="71"/>
  <c r="K27" i="71"/>
  <c r="I27" i="71"/>
  <c r="G27" i="71"/>
  <c r="K26" i="71"/>
  <c r="I26" i="71"/>
  <c r="G26" i="71"/>
  <c r="K25" i="71"/>
  <c r="I25" i="71"/>
  <c r="G25" i="71"/>
  <c r="K24" i="71"/>
  <c r="I24" i="71"/>
  <c r="G24" i="71"/>
  <c r="K23" i="71"/>
  <c r="I23" i="71"/>
  <c r="G23" i="71"/>
  <c r="K22" i="71"/>
  <c r="I22" i="71"/>
  <c r="G22" i="71"/>
  <c r="K21" i="71"/>
  <c r="I21" i="71"/>
  <c r="G21" i="71"/>
  <c r="K20" i="71"/>
  <c r="I20" i="71"/>
  <c r="G20" i="71"/>
  <c r="K19" i="71"/>
  <c r="I19" i="71"/>
  <c r="G19" i="71"/>
  <c r="K18" i="71"/>
  <c r="I18" i="71"/>
  <c r="G18" i="71"/>
  <c r="K17" i="71"/>
  <c r="I17" i="71"/>
  <c r="G17" i="71"/>
  <c r="K16" i="71"/>
  <c r="I16" i="71"/>
  <c r="G16" i="71"/>
  <c r="K15" i="71"/>
  <c r="I15" i="71"/>
  <c r="G15" i="71"/>
  <c r="K14" i="71"/>
  <c r="I14" i="71"/>
  <c r="G14" i="71"/>
  <c r="K13" i="71"/>
  <c r="I13" i="71"/>
  <c r="G13" i="71"/>
  <c r="K12" i="71"/>
  <c r="I12" i="71"/>
  <c r="G12" i="71"/>
  <c r="K11" i="71"/>
  <c r="I11" i="71"/>
  <c r="G11" i="71"/>
  <c r="I10" i="71"/>
  <c r="G10" i="71"/>
  <c r="I9" i="71"/>
  <c r="G9" i="71"/>
  <c r="I8" i="71"/>
  <c r="G8" i="71"/>
  <c r="L7" i="71"/>
  <c r="I7" i="71"/>
  <c r="L6" i="71"/>
  <c r="I6" i="71"/>
  <c r="K1483" i="71" l="1"/>
  <c r="K2209" i="71" s="1"/>
  <c r="G900" i="71"/>
  <c r="G2070" i="71"/>
  <c r="M2209" i="71"/>
  <c r="G1967" i="71"/>
  <c r="I2209" i="71"/>
  <c r="I8" i="69" l="1"/>
  <c r="M36" i="50"/>
  <c r="J36" i="50"/>
  <c r="H36" i="50"/>
  <c r="K34" i="69" l="1"/>
  <c r="I34" i="69"/>
  <c r="G34" i="69"/>
  <c r="K14" i="69" l="1"/>
  <c r="I14" i="69"/>
  <c r="G14" i="69"/>
  <c r="P121" i="63" l="1"/>
  <c r="M35" i="50" l="1"/>
  <c r="J35" i="50"/>
  <c r="H35" i="50"/>
  <c r="J6" i="50" l="1"/>
  <c r="J7" i="50"/>
  <c r="J8" i="50"/>
  <c r="J9" i="50"/>
  <c r="J10" i="50"/>
  <c r="J11" i="50"/>
  <c r="J12" i="50"/>
  <c r="J13" i="50"/>
  <c r="J14" i="50"/>
  <c r="J15" i="50"/>
  <c r="J16" i="50"/>
  <c r="J17" i="50"/>
  <c r="J18" i="50"/>
  <c r="J19" i="50"/>
  <c r="J20" i="50"/>
  <c r="J21" i="50"/>
  <c r="J22" i="50"/>
  <c r="J23" i="50"/>
  <c r="J24" i="50"/>
  <c r="J25" i="50"/>
  <c r="J26" i="50"/>
  <c r="J27" i="50"/>
  <c r="J28" i="50"/>
  <c r="J29" i="50"/>
  <c r="J30" i="50"/>
  <c r="J31" i="50"/>
  <c r="J32" i="50"/>
  <c r="J33" i="50"/>
  <c r="J34" i="50"/>
  <c r="J37" i="50"/>
  <c r="K8" i="69" l="1"/>
  <c r="M11" i="68" l="1"/>
  <c r="H7" i="50" l="1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7" i="50"/>
  <c r="H6" i="50"/>
  <c r="L76" i="69"/>
  <c r="I76" i="69"/>
  <c r="K40" i="69" l="1"/>
  <c r="I40" i="69"/>
  <c r="G40" i="69"/>
  <c r="K22" i="69"/>
  <c r="I22" i="69"/>
  <c r="G22" i="69"/>
  <c r="K21" i="69"/>
  <c r="I21" i="69"/>
  <c r="G21" i="69"/>
  <c r="L75" i="69" l="1"/>
  <c r="I75" i="69"/>
  <c r="G75" i="69"/>
  <c r="K68" i="69"/>
  <c r="L67" i="69" l="1"/>
  <c r="L68" i="69"/>
  <c r="L69" i="69"/>
  <c r="L70" i="69"/>
  <c r="L71" i="69"/>
  <c r="L72" i="69"/>
  <c r="L73" i="69"/>
  <c r="L74" i="69"/>
  <c r="L66" i="69"/>
  <c r="M56" i="50" l="1"/>
  <c r="K20" i="69" l="1"/>
  <c r="I20" i="69"/>
  <c r="G20" i="69"/>
  <c r="K56" i="69"/>
  <c r="I56" i="69"/>
  <c r="G56" i="69"/>
  <c r="K27" i="69"/>
  <c r="I27" i="69"/>
  <c r="G27" i="69"/>
  <c r="K15" i="69"/>
  <c r="I15" i="69"/>
  <c r="G15" i="69"/>
  <c r="K13" i="69"/>
  <c r="I13" i="69"/>
  <c r="G13" i="69"/>
  <c r="K12" i="69"/>
  <c r="I12" i="69"/>
  <c r="G12" i="69"/>
  <c r="K42" i="69"/>
  <c r="I42" i="69"/>
  <c r="G42" i="69"/>
  <c r="K19" i="69"/>
  <c r="I19" i="69"/>
  <c r="G19" i="69"/>
  <c r="K18" i="69"/>
  <c r="I18" i="69"/>
  <c r="G18" i="69"/>
  <c r="M91" i="69"/>
  <c r="J91" i="69"/>
  <c r="H91" i="69"/>
  <c r="K61" i="69"/>
  <c r="I61" i="69"/>
  <c r="G61" i="69"/>
  <c r="K33" i="69"/>
  <c r="I33" i="69"/>
  <c r="G33" i="69"/>
  <c r="K32" i="69"/>
  <c r="I32" i="69"/>
  <c r="G32" i="69"/>
  <c r="K31" i="69"/>
  <c r="I31" i="69"/>
  <c r="G31" i="69"/>
  <c r="I83" i="69"/>
  <c r="I74" i="69"/>
  <c r="G74" i="69"/>
  <c r="I73" i="69"/>
  <c r="G73" i="69"/>
  <c r="I72" i="69"/>
  <c r="G72" i="69"/>
  <c r="I71" i="69"/>
  <c r="G71" i="69"/>
  <c r="I70" i="69"/>
  <c r="G70" i="69"/>
  <c r="I69" i="69"/>
  <c r="G69" i="69"/>
  <c r="K17" i="69"/>
  <c r="I17" i="69"/>
  <c r="G17" i="69"/>
  <c r="K16" i="69"/>
  <c r="I16" i="69"/>
  <c r="G16" i="69"/>
  <c r="K11" i="69"/>
  <c r="I11" i="69"/>
  <c r="G11" i="69"/>
  <c r="P97" i="69"/>
  <c r="O97" i="69" s="1"/>
  <c r="L97" i="69"/>
  <c r="I97" i="69"/>
  <c r="G97" i="69"/>
  <c r="P96" i="69"/>
  <c r="O96" i="69" s="1"/>
  <c r="L96" i="69"/>
  <c r="I96" i="69"/>
  <c r="G96" i="69"/>
  <c r="P95" i="69"/>
  <c r="O95" i="69" s="1"/>
  <c r="L95" i="69"/>
  <c r="I95" i="69"/>
  <c r="G95" i="69"/>
  <c r="I68" i="69"/>
  <c r="G68" i="69"/>
  <c r="I67" i="69"/>
  <c r="G67" i="69"/>
  <c r="I66" i="69"/>
  <c r="G66" i="69"/>
  <c r="K62" i="69"/>
  <c r="I62" i="69"/>
  <c r="G62" i="69"/>
  <c r="K60" i="69"/>
  <c r="I60" i="69"/>
  <c r="G60" i="69"/>
  <c r="K59" i="69"/>
  <c r="I59" i="69"/>
  <c r="G59" i="69"/>
  <c r="K58" i="69"/>
  <c r="I58" i="69"/>
  <c r="G58" i="69"/>
  <c r="K55" i="69"/>
  <c r="I55" i="69"/>
  <c r="G55" i="69"/>
  <c r="K54" i="69"/>
  <c r="I54" i="69"/>
  <c r="G54" i="69"/>
  <c r="K53" i="69"/>
  <c r="I53" i="69"/>
  <c r="G53" i="69"/>
  <c r="K52" i="69"/>
  <c r="I52" i="69"/>
  <c r="G52" i="69"/>
  <c r="K51" i="69"/>
  <c r="I51" i="69"/>
  <c r="G51" i="69"/>
  <c r="K50" i="69"/>
  <c r="I50" i="69"/>
  <c r="G50" i="69"/>
  <c r="K49" i="69"/>
  <c r="I49" i="69"/>
  <c r="G49" i="69"/>
  <c r="K48" i="69"/>
  <c r="I48" i="69"/>
  <c r="G48" i="69"/>
  <c r="K47" i="69"/>
  <c r="I47" i="69"/>
  <c r="G47" i="69"/>
  <c r="K46" i="69"/>
  <c r="I46" i="69"/>
  <c r="G46" i="69"/>
  <c r="K45" i="69"/>
  <c r="I45" i="69"/>
  <c r="G45" i="69"/>
  <c r="K44" i="69"/>
  <c r="I44" i="69"/>
  <c r="G44" i="69"/>
  <c r="K43" i="69"/>
  <c r="I43" i="69"/>
  <c r="G43" i="69"/>
  <c r="K10" i="69"/>
  <c r="I10" i="69"/>
  <c r="G10" i="69"/>
  <c r="I91" i="69" l="1"/>
  <c r="R96" i="69"/>
  <c r="R95" i="69"/>
  <c r="R97" i="69"/>
  <c r="P38" i="68" l="1"/>
  <c r="J38" i="68"/>
  <c r="H38" i="68"/>
  <c r="F38" i="68"/>
  <c r="O37" i="68" l="1"/>
  <c r="P37" i="68" s="1"/>
  <c r="O39" i="68"/>
  <c r="P39" i="68" s="1"/>
  <c r="N36" i="68"/>
  <c r="N31" i="68" l="1"/>
  <c r="N41" i="68" l="1"/>
  <c r="N34" i="68" l="1"/>
  <c r="N32" i="68"/>
  <c r="N30" i="68"/>
  <c r="N29" i="68"/>
  <c r="N27" i="68"/>
  <c r="N23" i="68"/>
  <c r="N33" i="68" l="1"/>
  <c r="N14" i="68"/>
  <c r="N16" i="68"/>
  <c r="N17" i="68"/>
  <c r="N9" i="68" l="1"/>
  <c r="F5" i="68"/>
  <c r="L100" i="68" l="1"/>
  <c r="L3" i="68" s="1"/>
  <c r="K100" i="68"/>
  <c r="K3" i="68" s="1"/>
  <c r="I100" i="68"/>
  <c r="I3" i="68" s="1"/>
  <c r="G100" i="68"/>
  <c r="G3" i="68" s="1"/>
  <c r="H99" i="68"/>
  <c r="F99" i="68"/>
  <c r="O44" i="68"/>
  <c r="P44" i="68" s="1"/>
  <c r="J44" i="68"/>
  <c r="H44" i="68"/>
  <c r="F44" i="68"/>
  <c r="O43" i="68"/>
  <c r="P43" i="68" s="1"/>
  <c r="J43" i="68"/>
  <c r="H43" i="68"/>
  <c r="F43" i="68"/>
  <c r="O42" i="68"/>
  <c r="P42" i="68" s="1"/>
  <c r="J42" i="68"/>
  <c r="H42" i="68"/>
  <c r="F42" i="68"/>
  <c r="O41" i="68"/>
  <c r="P41" i="68" s="1"/>
  <c r="J41" i="68"/>
  <c r="H41" i="68"/>
  <c r="F41" i="68"/>
  <c r="O40" i="68"/>
  <c r="P40" i="68" s="1"/>
  <c r="N40" i="68"/>
  <c r="J40" i="68"/>
  <c r="H40" i="68"/>
  <c r="F40" i="68"/>
  <c r="J39" i="68"/>
  <c r="H39" i="68"/>
  <c r="F39" i="68"/>
  <c r="J37" i="68"/>
  <c r="H37" i="68"/>
  <c r="F37" i="68"/>
  <c r="O36" i="68"/>
  <c r="P36" i="68" s="1"/>
  <c r="J36" i="68"/>
  <c r="H36" i="68"/>
  <c r="F36" i="68"/>
  <c r="O35" i="68"/>
  <c r="P35" i="68" s="1"/>
  <c r="J35" i="68"/>
  <c r="H35" i="68"/>
  <c r="F35" i="68"/>
  <c r="O34" i="68"/>
  <c r="P34" i="68" s="1"/>
  <c r="J34" i="68"/>
  <c r="H34" i="68"/>
  <c r="F34" i="68"/>
  <c r="M33" i="68"/>
  <c r="J33" i="68"/>
  <c r="H33" i="68"/>
  <c r="F33" i="68"/>
  <c r="O32" i="68"/>
  <c r="P32" i="68" s="1"/>
  <c r="J32" i="68"/>
  <c r="H32" i="68"/>
  <c r="F32" i="68"/>
  <c r="O31" i="68"/>
  <c r="P31" i="68" s="1"/>
  <c r="J31" i="68"/>
  <c r="H31" i="68"/>
  <c r="F31" i="68"/>
  <c r="O30" i="68"/>
  <c r="P30" i="68" s="1"/>
  <c r="J30" i="68"/>
  <c r="H30" i="68"/>
  <c r="F30" i="68"/>
  <c r="O29" i="68"/>
  <c r="P29" i="68" s="1"/>
  <c r="J29" i="68"/>
  <c r="H29" i="68"/>
  <c r="F29" i="68"/>
  <c r="O28" i="68"/>
  <c r="P28" i="68" s="1"/>
  <c r="J28" i="68"/>
  <c r="H28" i="68"/>
  <c r="F28" i="68"/>
  <c r="O27" i="68"/>
  <c r="P27" i="68" s="1"/>
  <c r="J27" i="68"/>
  <c r="H27" i="68"/>
  <c r="F27" i="68"/>
  <c r="O26" i="68"/>
  <c r="P26" i="68" s="1"/>
  <c r="J26" i="68"/>
  <c r="H26" i="68"/>
  <c r="F26" i="68"/>
  <c r="O25" i="68"/>
  <c r="P25" i="68" s="1"/>
  <c r="J25" i="68"/>
  <c r="H25" i="68"/>
  <c r="F25" i="68"/>
  <c r="N24" i="68"/>
  <c r="O24" i="68" s="1"/>
  <c r="P24" i="68" s="1"/>
  <c r="J24" i="68"/>
  <c r="H24" i="68"/>
  <c r="F24" i="68"/>
  <c r="O23" i="68"/>
  <c r="P23" i="68" s="1"/>
  <c r="J23" i="68"/>
  <c r="H23" i="68"/>
  <c r="F23" i="68"/>
  <c r="N22" i="68"/>
  <c r="O22" i="68" s="1"/>
  <c r="P22" i="68" s="1"/>
  <c r="J22" i="68"/>
  <c r="H22" i="68"/>
  <c r="F22" i="68"/>
  <c r="O21" i="68"/>
  <c r="P21" i="68" s="1"/>
  <c r="J21" i="68"/>
  <c r="H21" i="68"/>
  <c r="F21" i="68"/>
  <c r="O20" i="68"/>
  <c r="P20" i="68" s="1"/>
  <c r="J20" i="68"/>
  <c r="H20" i="68"/>
  <c r="F20" i="68"/>
  <c r="O19" i="68"/>
  <c r="P19" i="68" s="1"/>
  <c r="J19" i="68"/>
  <c r="H19" i="68"/>
  <c r="F19" i="68"/>
  <c r="N18" i="68"/>
  <c r="O18" i="68" s="1"/>
  <c r="P18" i="68" s="1"/>
  <c r="J18" i="68"/>
  <c r="H18" i="68"/>
  <c r="F18" i="68"/>
  <c r="M17" i="68"/>
  <c r="O17" i="68" s="1"/>
  <c r="P17" i="68" s="1"/>
  <c r="J17" i="68"/>
  <c r="H17" i="68"/>
  <c r="F17" i="68"/>
  <c r="M16" i="68"/>
  <c r="O16" i="68" s="1"/>
  <c r="P16" i="68" s="1"/>
  <c r="J16" i="68"/>
  <c r="H16" i="68"/>
  <c r="F16" i="68"/>
  <c r="M15" i="68"/>
  <c r="O15" i="68" s="1"/>
  <c r="P15" i="68" s="1"/>
  <c r="J15" i="68"/>
  <c r="H15" i="68"/>
  <c r="F15" i="68"/>
  <c r="M14" i="68"/>
  <c r="J14" i="68"/>
  <c r="H14" i="68"/>
  <c r="F14" i="68"/>
  <c r="M13" i="68"/>
  <c r="O13" i="68" s="1"/>
  <c r="P13" i="68" s="1"/>
  <c r="J13" i="68"/>
  <c r="H13" i="68"/>
  <c r="F13" i="68"/>
  <c r="O12" i="68"/>
  <c r="P12" i="68" s="1"/>
  <c r="J12" i="68"/>
  <c r="H12" i="68"/>
  <c r="F12" i="68"/>
  <c r="O11" i="68"/>
  <c r="P11" i="68" s="1"/>
  <c r="J11" i="68"/>
  <c r="H11" i="68"/>
  <c r="F11" i="68"/>
  <c r="M10" i="68"/>
  <c r="O10" i="68" s="1"/>
  <c r="P10" i="68" s="1"/>
  <c r="J10" i="68"/>
  <c r="H10" i="68"/>
  <c r="F10" i="68"/>
  <c r="M9" i="68"/>
  <c r="J9" i="68"/>
  <c r="H9" i="68"/>
  <c r="F9" i="68"/>
  <c r="M8" i="68"/>
  <c r="O8" i="68" s="1"/>
  <c r="P8" i="68" s="1"/>
  <c r="J8" i="68"/>
  <c r="H8" i="68"/>
  <c r="F8" i="68"/>
  <c r="M7" i="68"/>
  <c r="O7" i="68" s="1"/>
  <c r="P7" i="68" s="1"/>
  <c r="J7" i="68"/>
  <c r="H7" i="68"/>
  <c r="F7" i="68"/>
  <c r="N6" i="68"/>
  <c r="M6" i="68"/>
  <c r="J6" i="68"/>
  <c r="H6" i="68"/>
  <c r="F6" i="68"/>
  <c r="H5" i="68"/>
  <c r="O5" i="68"/>
  <c r="P5" i="68" s="1"/>
  <c r="O6" i="68" l="1"/>
  <c r="P6" i="68" s="1"/>
  <c r="F100" i="68"/>
  <c r="F3" i="68" s="1"/>
  <c r="M100" i="68"/>
  <c r="M3" i="68" s="1"/>
  <c r="O9" i="68"/>
  <c r="P9" i="68" s="1"/>
  <c r="O14" i="68"/>
  <c r="P14" i="68" s="1"/>
  <c r="O33" i="68"/>
  <c r="P33" i="68" s="1"/>
  <c r="H100" i="68"/>
  <c r="H3" i="68" s="1"/>
  <c r="N100" i="68"/>
  <c r="N3" i="68" s="1"/>
  <c r="L51" i="55"/>
  <c r="J51" i="55"/>
  <c r="H51" i="55"/>
  <c r="O100" i="68" l="1"/>
  <c r="O3" i="68" s="1"/>
  <c r="P100" i="68"/>
  <c r="P3" i="68" s="1"/>
  <c r="M34" i="50"/>
  <c r="M28" i="50" l="1"/>
  <c r="M33" i="50" l="1"/>
  <c r="M32" i="50"/>
  <c r="P95" i="63"/>
  <c r="O23" i="63"/>
  <c r="L23" i="63"/>
  <c r="I23" i="63"/>
  <c r="G23" i="63"/>
  <c r="R23" i="63" l="1"/>
  <c r="M8" i="50" l="1"/>
  <c r="M25" i="50" l="1"/>
  <c r="M27" i="50"/>
  <c r="M26" i="50"/>
  <c r="G97" i="63" l="1"/>
  <c r="L17" i="61" l="1"/>
  <c r="J17" i="61"/>
  <c r="H17" i="61"/>
  <c r="M37" i="50" l="1"/>
  <c r="P21" i="63" l="1"/>
  <c r="O21" i="63" s="1"/>
  <c r="P22" i="63"/>
  <c r="O22" i="63" s="1"/>
  <c r="P24" i="63"/>
  <c r="O24" i="63" s="1"/>
  <c r="P25" i="63"/>
  <c r="O25" i="63" s="1"/>
  <c r="P26" i="63"/>
  <c r="O26" i="63" s="1"/>
  <c r="P27" i="63"/>
  <c r="O27" i="63" s="1"/>
  <c r="P28" i="63"/>
  <c r="O28" i="63" s="1"/>
  <c r="P29" i="63"/>
  <c r="O29" i="63" s="1"/>
  <c r="P30" i="63"/>
  <c r="O30" i="63" s="1"/>
  <c r="P31" i="63"/>
  <c r="O31" i="63" s="1"/>
  <c r="P32" i="63"/>
  <c r="O32" i="63" s="1"/>
  <c r="P33" i="63"/>
  <c r="O33" i="63" s="1"/>
  <c r="P34" i="63"/>
  <c r="O34" i="63" s="1"/>
  <c r="P35" i="63"/>
  <c r="O35" i="63" s="1"/>
  <c r="P36" i="63"/>
  <c r="O36" i="63" s="1"/>
  <c r="P37" i="63"/>
  <c r="O37" i="63" s="1"/>
  <c r="P38" i="63"/>
  <c r="O38" i="63" s="1"/>
  <c r="P39" i="63"/>
  <c r="O39" i="63" s="1"/>
  <c r="P40" i="63"/>
  <c r="O40" i="63" s="1"/>
  <c r="P41" i="63"/>
  <c r="O41" i="63" s="1"/>
  <c r="P42" i="63"/>
  <c r="O42" i="63" s="1"/>
  <c r="P43" i="63"/>
  <c r="O43" i="63" s="1"/>
  <c r="P44" i="63"/>
  <c r="O44" i="63" s="1"/>
  <c r="P45" i="63"/>
  <c r="O45" i="63" s="1"/>
  <c r="P46" i="63"/>
  <c r="O46" i="63" s="1"/>
  <c r="P48" i="63"/>
  <c r="O48" i="63" s="1"/>
  <c r="P49" i="63"/>
  <c r="O49" i="63" s="1"/>
  <c r="P50" i="63"/>
  <c r="O50" i="63" s="1"/>
  <c r="P51" i="63"/>
  <c r="O51" i="63" s="1"/>
  <c r="P52" i="63"/>
  <c r="O52" i="63" s="1"/>
  <c r="P53" i="63"/>
  <c r="O53" i="63" s="1"/>
  <c r="P54" i="63"/>
  <c r="O54" i="63" s="1"/>
  <c r="P55" i="63"/>
  <c r="O55" i="63" s="1"/>
  <c r="P56" i="63"/>
  <c r="O56" i="63" s="1"/>
  <c r="P57" i="63"/>
  <c r="O57" i="63" s="1"/>
  <c r="P58" i="63"/>
  <c r="O58" i="63" s="1"/>
  <c r="P59" i="63"/>
  <c r="O59" i="63" s="1"/>
  <c r="P60" i="63"/>
  <c r="O60" i="63" s="1"/>
  <c r="P61" i="63"/>
  <c r="O61" i="63" s="1"/>
  <c r="P62" i="63"/>
  <c r="O62" i="63" s="1"/>
  <c r="P63" i="63"/>
  <c r="O63" i="63" s="1"/>
  <c r="P64" i="63"/>
  <c r="O64" i="63" s="1"/>
  <c r="P65" i="63"/>
  <c r="O65" i="63" s="1"/>
  <c r="P66" i="63"/>
  <c r="O66" i="63" s="1"/>
  <c r="P67" i="63"/>
  <c r="O67" i="63" s="1"/>
  <c r="P68" i="63"/>
  <c r="O68" i="63" s="1"/>
  <c r="P69" i="63"/>
  <c r="O69" i="63" s="1"/>
  <c r="P70" i="63"/>
  <c r="O70" i="63" s="1"/>
  <c r="P71" i="63"/>
  <c r="O71" i="63" s="1"/>
  <c r="P72" i="63"/>
  <c r="O72" i="63" s="1"/>
  <c r="P73" i="63"/>
  <c r="O73" i="63" s="1"/>
  <c r="P74" i="63"/>
  <c r="O74" i="63" s="1"/>
  <c r="P75" i="63"/>
  <c r="O75" i="63" s="1"/>
  <c r="P76" i="63"/>
  <c r="O76" i="63" s="1"/>
  <c r="P77" i="63"/>
  <c r="O77" i="63" s="1"/>
  <c r="P78" i="63"/>
  <c r="O78" i="63" s="1"/>
  <c r="P79" i="63"/>
  <c r="O79" i="63" s="1"/>
  <c r="P80" i="63"/>
  <c r="O80" i="63" s="1"/>
  <c r="P81" i="63"/>
  <c r="O81" i="63" s="1"/>
  <c r="P82" i="63"/>
  <c r="O82" i="63" s="1"/>
  <c r="P83" i="63"/>
  <c r="O83" i="63" s="1"/>
  <c r="P84" i="63"/>
  <c r="O84" i="63" s="1"/>
  <c r="P85" i="63"/>
  <c r="O85" i="63" s="1"/>
  <c r="P86" i="63"/>
  <c r="O86" i="63" s="1"/>
  <c r="P87" i="63"/>
  <c r="O87" i="63" s="1"/>
  <c r="P88" i="63"/>
  <c r="O88" i="63" s="1"/>
  <c r="P89" i="63"/>
  <c r="O89" i="63" s="1"/>
  <c r="P90" i="63"/>
  <c r="O90" i="63" s="1"/>
  <c r="P91" i="63"/>
  <c r="O91" i="63" s="1"/>
  <c r="P92" i="63"/>
  <c r="O92" i="63" s="1"/>
  <c r="P93" i="63"/>
  <c r="O93" i="63" s="1"/>
  <c r="P94" i="63"/>
  <c r="O94" i="63" s="1"/>
  <c r="O95" i="63"/>
  <c r="P96" i="63"/>
  <c r="O96" i="63" s="1"/>
  <c r="P97" i="63"/>
  <c r="O97" i="63" s="1"/>
  <c r="P98" i="63"/>
  <c r="O98" i="63" s="1"/>
  <c r="P99" i="63"/>
  <c r="O99" i="63" s="1"/>
  <c r="P100" i="63"/>
  <c r="O100" i="63" s="1"/>
  <c r="P101" i="63"/>
  <c r="O101" i="63" s="1"/>
  <c r="P102" i="63"/>
  <c r="O102" i="63" s="1"/>
  <c r="P103" i="63"/>
  <c r="O103" i="63" s="1"/>
  <c r="P104" i="63"/>
  <c r="O104" i="63" s="1"/>
  <c r="P105" i="63"/>
  <c r="O105" i="63" s="1"/>
  <c r="P106" i="63"/>
  <c r="O106" i="63" s="1"/>
  <c r="P107" i="63"/>
  <c r="O107" i="63" s="1"/>
  <c r="P108" i="63"/>
  <c r="O108" i="63" s="1"/>
  <c r="P109" i="63"/>
  <c r="O109" i="63" s="1"/>
  <c r="P110" i="63"/>
  <c r="O110" i="63" s="1"/>
  <c r="P111" i="63"/>
  <c r="O111" i="63" s="1"/>
  <c r="P112" i="63"/>
  <c r="O112" i="63" s="1"/>
  <c r="P113" i="63"/>
  <c r="O113" i="63" s="1"/>
  <c r="P114" i="63"/>
  <c r="O114" i="63" s="1"/>
  <c r="P115" i="63"/>
  <c r="O115" i="63" s="1"/>
  <c r="P116" i="63"/>
  <c r="O116" i="63" s="1"/>
  <c r="P117" i="63"/>
  <c r="O117" i="63" s="1"/>
  <c r="P118" i="63"/>
  <c r="O118" i="63" s="1"/>
  <c r="P119" i="63"/>
  <c r="O119" i="63" s="1"/>
  <c r="P120" i="63"/>
  <c r="O120" i="63" s="1"/>
  <c r="O121" i="63"/>
  <c r="P122" i="63"/>
  <c r="O122" i="63" s="1"/>
  <c r="P123" i="63"/>
  <c r="O123" i="63" s="1"/>
  <c r="P124" i="63"/>
  <c r="O124" i="63" s="1"/>
  <c r="P125" i="63"/>
  <c r="O125" i="63" s="1"/>
  <c r="P126" i="63"/>
  <c r="O126" i="63" s="1"/>
  <c r="P127" i="63"/>
  <c r="O127" i="63" s="1"/>
  <c r="P128" i="63"/>
  <c r="O128" i="63" s="1"/>
  <c r="P129" i="63"/>
  <c r="O129" i="63" s="1"/>
  <c r="P130" i="63"/>
  <c r="O130" i="63" s="1"/>
  <c r="P131" i="63"/>
  <c r="O131" i="63" s="1"/>
  <c r="P132" i="63"/>
  <c r="O132" i="63" s="1"/>
  <c r="P133" i="63"/>
  <c r="O133" i="63" s="1"/>
  <c r="P134" i="63"/>
  <c r="O134" i="63" s="1"/>
  <c r="P135" i="63"/>
  <c r="O135" i="63" s="1"/>
  <c r="P136" i="63"/>
  <c r="O136" i="63" s="1"/>
  <c r="P137" i="63"/>
  <c r="O137" i="63" s="1"/>
  <c r="P138" i="63"/>
  <c r="O138" i="63" s="1"/>
  <c r="P139" i="63"/>
  <c r="O139" i="63" s="1"/>
  <c r="P140" i="63"/>
  <c r="O140" i="63" s="1"/>
  <c r="P141" i="63"/>
  <c r="O141" i="63" s="1"/>
  <c r="P142" i="63"/>
  <c r="O142" i="63" s="1"/>
  <c r="P143" i="63"/>
  <c r="O143" i="63" s="1"/>
  <c r="P144" i="63"/>
  <c r="O144" i="63" s="1"/>
  <c r="P145" i="63"/>
  <c r="O145" i="63" s="1"/>
  <c r="P146" i="63"/>
  <c r="O146" i="63" s="1"/>
  <c r="P147" i="63"/>
  <c r="O147" i="63" s="1"/>
  <c r="P148" i="63"/>
  <c r="O148" i="63" s="1"/>
  <c r="P149" i="63"/>
  <c r="O149" i="63" s="1"/>
  <c r="P150" i="63"/>
  <c r="O150" i="63" s="1"/>
  <c r="P151" i="63"/>
  <c r="O151" i="63" s="1"/>
  <c r="P152" i="63"/>
  <c r="O152" i="63" s="1"/>
  <c r="P153" i="63"/>
  <c r="O153" i="63" s="1"/>
  <c r="P154" i="63"/>
  <c r="O154" i="63" s="1"/>
  <c r="P155" i="63"/>
  <c r="O155" i="63" s="1"/>
  <c r="P156" i="63"/>
  <c r="O156" i="63" s="1"/>
  <c r="P157" i="63"/>
  <c r="O157" i="63" s="1"/>
  <c r="P158" i="63"/>
  <c r="O158" i="63" s="1"/>
  <c r="P159" i="63"/>
  <c r="O159" i="63" s="1"/>
  <c r="P160" i="63"/>
  <c r="O160" i="63" s="1"/>
  <c r="P161" i="63"/>
  <c r="O161" i="63" s="1"/>
  <c r="P162" i="63"/>
  <c r="O162" i="63" s="1"/>
  <c r="P163" i="63"/>
  <c r="O163" i="63" s="1"/>
  <c r="P164" i="63"/>
  <c r="O164" i="63" s="1"/>
  <c r="P165" i="63"/>
  <c r="O165" i="63" s="1"/>
  <c r="P166" i="63"/>
  <c r="O166" i="63" s="1"/>
  <c r="P167" i="63"/>
  <c r="O167" i="63" s="1"/>
  <c r="P168" i="63"/>
  <c r="O168" i="63" s="1"/>
  <c r="P169" i="63"/>
  <c r="O169" i="63" s="1"/>
  <c r="P170" i="63"/>
  <c r="O170" i="63" s="1"/>
  <c r="P171" i="63"/>
  <c r="O171" i="63" s="1"/>
  <c r="P172" i="63"/>
  <c r="O172" i="63" s="1"/>
  <c r="P173" i="63"/>
  <c r="O173" i="63" s="1"/>
  <c r="P174" i="63"/>
  <c r="O174" i="63" s="1"/>
  <c r="P175" i="63"/>
  <c r="O175" i="63" s="1"/>
  <c r="P176" i="63"/>
  <c r="O176" i="63" s="1"/>
  <c r="P177" i="63"/>
  <c r="O177" i="63" s="1"/>
  <c r="P178" i="63"/>
  <c r="O178" i="63" s="1"/>
  <c r="P179" i="63"/>
  <c r="O179" i="63" s="1"/>
  <c r="P180" i="63"/>
  <c r="O180" i="63" s="1"/>
  <c r="P181" i="63"/>
  <c r="O181" i="63" s="1"/>
  <c r="P182" i="63"/>
  <c r="O182" i="63" s="1"/>
  <c r="P184" i="63"/>
  <c r="O184" i="63" s="1"/>
  <c r="P185" i="63"/>
  <c r="O185" i="63" s="1"/>
  <c r="P186" i="63"/>
  <c r="O186" i="63" s="1"/>
  <c r="P187" i="63"/>
  <c r="O187" i="63" s="1"/>
  <c r="P188" i="63"/>
  <c r="O188" i="63" s="1"/>
  <c r="P189" i="63"/>
  <c r="O189" i="63" s="1"/>
  <c r="P190" i="63"/>
  <c r="O190" i="63" s="1"/>
  <c r="P12" i="63"/>
  <c r="O12" i="63" s="1"/>
  <c r="P13" i="63"/>
  <c r="O13" i="63" s="1"/>
  <c r="P14" i="63"/>
  <c r="O14" i="63" s="1"/>
  <c r="P15" i="63"/>
  <c r="O15" i="63" s="1"/>
  <c r="P16" i="63"/>
  <c r="O16" i="63" s="1"/>
  <c r="P17" i="63"/>
  <c r="O17" i="63" s="1"/>
  <c r="P18" i="63"/>
  <c r="O18" i="63" s="1"/>
  <c r="P19" i="63"/>
  <c r="O19" i="63" s="1"/>
  <c r="P20" i="63"/>
  <c r="O20" i="63" s="1"/>
  <c r="P8" i="63"/>
  <c r="O8" i="63" s="1"/>
  <c r="P9" i="63"/>
  <c r="O9" i="63" s="1"/>
  <c r="P10" i="63"/>
  <c r="O10" i="63" s="1"/>
  <c r="P11" i="63"/>
  <c r="O11" i="63" s="1"/>
  <c r="P7" i="63"/>
  <c r="O7" i="63" s="1"/>
  <c r="L8" i="63"/>
  <c r="L9" i="63"/>
  <c r="L10" i="63"/>
  <c r="L11" i="63"/>
  <c r="L12" i="63"/>
  <c r="L13" i="63"/>
  <c r="L14" i="63"/>
  <c r="L15" i="63"/>
  <c r="L16" i="63"/>
  <c r="L17" i="63"/>
  <c r="L18" i="63"/>
  <c r="L19" i="63"/>
  <c r="L20" i="63"/>
  <c r="L21" i="63"/>
  <c r="L22" i="63"/>
  <c r="L24" i="63"/>
  <c r="L25" i="63"/>
  <c r="L26" i="63"/>
  <c r="L27" i="63"/>
  <c r="L28" i="63"/>
  <c r="L29" i="63"/>
  <c r="L30" i="63"/>
  <c r="L31" i="63"/>
  <c r="L32" i="63"/>
  <c r="L33" i="63"/>
  <c r="L34" i="63"/>
  <c r="L35" i="63"/>
  <c r="L36" i="63"/>
  <c r="L37" i="63"/>
  <c r="L38" i="63"/>
  <c r="L39" i="63"/>
  <c r="L40" i="63"/>
  <c r="L41" i="63"/>
  <c r="L42" i="63"/>
  <c r="L43" i="63"/>
  <c r="L44" i="63"/>
  <c r="L45" i="63"/>
  <c r="L46" i="63"/>
  <c r="L48" i="63"/>
  <c r="L49" i="63"/>
  <c r="L50" i="63"/>
  <c r="L51" i="63"/>
  <c r="L52" i="63"/>
  <c r="L53" i="63"/>
  <c r="L54" i="63"/>
  <c r="L55" i="63"/>
  <c r="L56" i="63"/>
  <c r="L57" i="63"/>
  <c r="L58" i="63"/>
  <c r="L59" i="63"/>
  <c r="L60" i="63"/>
  <c r="L61" i="63"/>
  <c r="L62" i="63"/>
  <c r="L63" i="63"/>
  <c r="L64" i="63"/>
  <c r="L65" i="63"/>
  <c r="L66" i="63"/>
  <c r="L67" i="63"/>
  <c r="L68" i="63"/>
  <c r="L69" i="63"/>
  <c r="L70" i="63"/>
  <c r="L71" i="63"/>
  <c r="L72" i="63"/>
  <c r="L73" i="63"/>
  <c r="L74" i="63"/>
  <c r="L75" i="63"/>
  <c r="L76" i="63"/>
  <c r="L77" i="63"/>
  <c r="L78" i="63"/>
  <c r="L79" i="63"/>
  <c r="L80" i="63"/>
  <c r="L81" i="63"/>
  <c r="L82" i="63"/>
  <c r="L83" i="63"/>
  <c r="L84" i="63"/>
  <c r="L85" i="63"/>
  <c r="L86" i="63"/>
  <c r="L87" i="63"/>
  <c r="L88" i="63"/>
  <c r="L89" i="63"/>
  <c r="L90" i="63"/>
  <c r="L91" i="63"/>
  <c r="L92" i="63"/>
  <c r="L93" i="63"/>
  <c r="L94" i="63"/>
  <c r="L95" i="63"/>
  <c r="L96" i="63"/>
  <c r="L97" i="63"/>
  <c r="L98" i="63"/>
  <c r="L99" i="63"/>
  <c r="L100" i="63"/>
  <c r="L101" i="63"/>
  <c r="L102" i="63"/>
  <c r="L103" i="63"/>
  <c r="L104" i="63"/>
  <c r="L105" i="63"/>
  <c r="L106" i="63"/>
  <c r="L107" i="63"/>
  <c r="L108" i="63"/>
  <c r="L109" i="63"/>
  <c r="L110" i="63"/>
  <c r="L111" i="63"/>
  <c r="L112" i="63"/>
  <c r="L113" i="63"/>
  <c r="L114" i="63"/>
  <c r="L115" i="63"/>
  <c r="L116" i="63"/>
  <c r="L117" i="63"/>
  <c r="L118" i="63"/>
  <c r="L119" i="63"/>
  <c r="L120" i="63"/>
  <c r="L121" i="63"/>
  <c r="L122" i="63"/>
  <c r="L123" i="63"/>
  <c r="L124" i="63"/>
  <c r="L125" i="63"/>
  <c r="L126" i="63"/>
  <c r="L127" i="63"/>
  <c r="L128" i="63"/>
  <c r="L129" i="63"/>
  <c r="L130" i="63"/>
  <c r="L131" i="63"/>
  <c r="L132" i="63"/>
  <c r="L133" i="63"/>
  <c r="L134" i="63"/>
  <c r="L135" i="63"/>
  <c r="L136" i="63"/>
  <c r="L137" i="63"/>
  <c r="L138" i="63"/>
  <c r="L139" i="63"/>
  <c r="L140" i="63"/>
  <c r="L141" i="63"/>
  <c r="L142" i="63"/>
  <c r="L143" i="63"/>
  <c r="L144" i="63"/>
  <c r="L145" i="63"/>
  <c r="L146" i="63"/>
  <c r="L147" i="63"/>
  <c r="L148" i="63"/>
  <c r="L149" i="63"/>
  <c r="L150" i="63"/>
  <c r="L151" i="63"/>
  <c r="L152" i="63"/>
  <c r="L153" i="63"/>
  <c r="L154" i="63"/>
  <c r="L155" i="63"/>
  <c r="L156" i="63"/>
  <c r="L157" i="63"/>
  <c r="L158" i="63"/>
  <c r="L159" i="63"/>
  <c r="L160" i="63"/>
  <c r="L161" i="63"/>
  <c r="L162" i="63"/>
  <c r="L163" i="63"/>
  <c r="L164" i="63"/>
  <c r="L165" i="63"/>
  <c r="L166" i="63"/>
  <c r="L167" i="63"/>
  <c r="L168" i="63"/>
  <c r="L169" i="63"/>
  <c r="L170" i="63"/>
  <c r="L171" i="63"/>
  <c r="L172" i="63"/>
  <c r="L173" i="63"/>
  <c r="L174" i="63"/>
  <c r="L175" i="63"/>
  <c r="L176" i="63"/>
  <c r="L178" i="63"/>
  <c r="L179" i="63"/>
  <c r="L180" i="63"/>
  <c r="L181" i="63"/>
  <c r="L182" i="63"/>
  <c r="L184" i="63"/>
  <c r="L185" i="63"/>
  <c r="L186" i="63"/>
  <c r="L187" i="63"/>
  <c r="L188" i="63"/>
  <c r="L189" i="63"/>
  <c r="L190" i="63"/>
  <c r="L7" i="63"/>
  <c r="I193" i="63"/>
  <c r="G193" i="63"/>
  <c r="I192" i="63"/>
  <c r="G192" i="63"/>
  <c r="I191" i="63"/>
  <c r="G191" i="63"/>
  <c r="I190" i="63"/>
  <c r="G190" i="63"/>
  <c r="I189" i="63"/>
  <c r="G189" i="63"/>
  <c r="I188" i="63"/>
  <c r="G188" i="63"/>
  <c r="I187" i="63"/>
  <c r="G187" i="63"/>
  <c r="I186" i="63"/>
  <c r="G186" i="63"/>
  <c r="I185" i="63"/>
  <c r="G185" i="63"/>
  <c r="I184" i="63"/>
  <c r="G184" i="63"/>
  <c r="L183" i="63"/>
  <c r="I183" i="63"/>
  <c r="G183" i="63"/>
  <c r="I182" i="63"/>
  <c r="G182" i="63"/>
  <c r="I181" i="63"/>
  <c r="G181" i="63"/>
  <c r="I180" i="63"/>
  <c r="G180" i="63"/>
  <c r="I179" i="63"/>
  <c r="G179" i="63"/>
  <c r="I178" i="63"/>
  <c r="G178" i="63"/>
  <c r="I177" i="63"/>
  <c r="G177" i="63"/>
  <c r="I176" i="63"/>
  <c r="G176" i="63"/>
  <c r="I175" i="63"/>
  <c r="G175" i="63"/>
  <c r="I174" i="63"/>
  <c r="G174" i="63"/>
  <c r="I173" i="63"/>
  <c r="G173" i="63"/>
  <c r="I172" i="63"/>
  <c r="G172" i="63"/>
  <c r="I171" i="63"/>
  <c r="G171" i="63"/>
  <c r="I170" i="63"/>
  <c r="G170" i="63"/>
  <c r="I169" i="63"/>
  <c r="G169" i="63"/>
  <c r="I168" i="63"/>
  <c r="G168" i="63"/>
  <c r="I167" i="63"/>
  <c r="G167" i="63"/>
  <c r="I166" i="63"/>
  <c r="G166" i="63"/>
  <c r="I165" i="63"/>
  <c r="G165" i="63"/>
  <c r="I164" i="63"/>
  <c r="G164" i="63"/>
  <c r="I163" i="63"/>
  <c r="G163" i="63"/>
  <c r="I162" i="63"/>
  <c r="G162" i="63"/>
  <c r="I161" i="63"/>
  <c r="G161" i="63"/>
  <c r="I160" i="63"/>
  <c r="G160" i="63"/>
  <c r="I159" i="63"/>
  <c r="G159" i="63"/>
  <c r="I158" i="63"/>
  <c r="G158" i="63"/>
  <c r="I157" i="63"/>
  <c r="G157" i="63"/>
  <c r="I156" i="63"/>
  <c r="G156" i="63"/>
  <c r="I155" i="63"/>
  <c r="G155" i="63"/>
  <c r="I154" i="63"/>
  <c r="G154" i="63"/>
  <c r="I153" i="63"/>
  <c r="G153" i="63"/>
  <c r="I152" i="63"/>
  <c r="G152" i="63"/>
  <c r="I151" i="63"/>
  <c r="G151" i="63"/>
  <c r="I150" i="63"/>
  <c r="G150" i="63"/>
  <c r="I149" i="63"/>
  <c r="G149" i="63"/>
  <c r="I148" i="63"/>
  <c r="G148" i="63"/>
  <c r="I147" i="63"/>
  <c r="G147" i="63"/>
  <c r="I146" i="63"/>
  <c r="G146" i="63"/>
  <c r="I145" i="63"/>
  <c r="G145" i="63"/>
  <c r="I144" i="63"/>
  <c r="G144" i="63"/>
  <c r="I143" i="63"/>
  <c r="G143" i="63"/>
  <c r="I142" i="63"/>
  <c r="G142" i="63"/>
  <c r="I141" i="63"/>
  <c r="G141" i="63"/>
  <c r="I140" i="63"/>
  <c r="G140" i="63"/>
  <c r="I139" i="63"/>
  <c r="G139" i="63"/>
  <c r="I138" i="63"/>
  <c r="G138" i="63"/>
  <c r="I137" i="63"/>
  <c r="G137" i="63"/>
  <c r="I136" i="63"/>
  <c r="G136" i="63"/>
  <c r="I135" i="63"/>
  <c r="G135" i="63"/>
  <c r="I134" i="63"/>
  <c r="G134" i="63"/>
  <c r="I133" i="63"/>
  <c r="G133" i="63"/>
  <c r="I132" i="63"/>
  <c r="G132" i="63"/>
  <c r="I131" i="63"/>
  <c r="G131" i="63"/>
  <c r="I130" i="63"/>
  <c r="G130" i="63"/>
  <c r="I129" i="63"/>
  <c r="G129" i="63"/>
  <c r="I128" i="63"/>
  <c r="G128" i="63"/>
  <c r="I127" i="63"/>
  <c r="G127" i="63"/>
  <c r="I126" i="63"/>
  <c r="G126" i="63"/>
  <c r="I125" i="63"/>
  <c r="G125" i="63"/>
  <c r="I124" i="63"/>
  <c r="G124" i="63"/>
  <c r="I123" i="63"/>
  <c r="G123" i="63"/>
  <c r="I122" i="63"/>
  <c r="G122" i="63"/>
  <c r="I121" i="63"/>
  <c r="G121" i="63"/>
  <c r="I120" i="63"/>
  <c r="G120" i="63"/>
  <c r="I119" i="63"/>
  <c r="G119" i="63"/>
  <c r="I118" i="63"/>
  <c r="G118" i="63"/>
  <c r="I117" i="63"/>
  <c r="G117" i="63"/>
  <c r="I116" i="63"/>
  <c r="G116" i="63"/>
  <c r="I115" i="63"/>
  <c r="G115" i="63"/>
  <c r="I114" i="63"/>
  <c r="G114" i="63"/>
  <c r="I113" i="63"/>
  <c r="G113" i="63"/>
  <c r="I112" i="63"/>
  <c r="G112" i="63"/>
  <c r="I111" i="63"/>
  <c r="G111" i="63"/>
  <c r="I110" i="63"/>
  <c r="G110" i="63"/>
  <c r="I109" i="63"/>
  <c r="G109" i="63"/>
  <c r="I108" i="63"/>
  <c r="G108" i="63"/>
  <c r="I107" i="63"/>
  <c r="G107" i="63"/>
  <c r="I106" i="63"/>
  <c r="G106" i="63"/>
  <c r="I105" i="63"/>
  <c r="G105" i="63"/>
  <c r="I104" i="63"/>
  <c r="G104" i="63"/>
  <c r="I103" i="63"/>
  <c r="G103" i="63"/>
  <c r="I102" i="63"/>
  <c r="G102" i="63"/>
  <c r="I101" i="63"/>
  <c r="G101" i="63"/>
  <c r="I100" i="63"/>
  <c r="G100" i="63"/>
  <c r="A100" i="63"/>
  <c r="A101" i="63" s="1"/>
  <c r="A102" i="63" s="1"/>
  <c r="A103" i="63" s="1"/>
  <c r="A104" i="63" s="1"/>
  <c r="A105" i="63" s="1"/>
  <c r="A106" i="63" s="1"/>
  <c r="A107" i="63" s="1"/>
  <c r="A108" i="63" s="1"/>
  <c r="A109" i="63" s="1"/>
  <c r="A110" i="63" s="1"/>
  <c r="A111" i="63" s="1"/>
  <c r="A112" i="63" s="1"/>
  <c r="I99" i="63"/>
  <c r="G99" i="63"/>
  <c r="I98" i="63"/>
  <c r="G98" i="63"/>
  <c r="I97" i="63"/>
  <c r="I96" i="63"/>
  <c r="G96" i="63"/>
  <c r="I95" i="63"/>
  <c r="G95" i="63"/>
  <c r="I94" i="63"/>
  <c r="G94" i="63"/>
  <c r="I93" i="63"/>
  <c r="G93" i="63"/>
  <c r="I92" i="63"/>
  <c r="G92" i="63"/>
  <c r="I91" i="63"/>
  <c r="G91" i="63"/>
  <c r="I90" i="63"/>
  <c r="G90" i="63"/>
  <c r="I89" i="63"/>
  <c r="G89" i="63"/>
  <c r="I88" i="63"/>
  <c r="G88" i="63"/>
  <c r="I87" i="63"/>
  <c r="G87" i="63"/>
  <c r="I86" i="63"/>
  <c r="G86" i="63"/>
  <c r="I85" i="63"/>
  <c r="G85" i="63"/>
  <c r="I84" i="63"/>
  <c r="G84" i="63"/>
  <c r="I83" i="63"/>
  <c r="G83" i="63"/>
  <c r="I82" i="63"/>
  <c r="G82" i="63"/>
  <c r="I81" i="63"/>
  <c r="G81" i="63"/>
  <c r="I80" i="63"/>
  <c r="G80" i="63"/>
  <c r="I79" i="63"/>
  <c r="G79" i="63"/>
  <c r="I78" i="63"/>
  <c r="G78" i="63"/>
  <c r="I77" i="63"/>
  <c r="G77" i="63"/>
  <c r="I76" i="63"/>
  <c r="G76" i="63"/>
  <c r="I75" i="63"/>
  <c r="G75" i="63"/>
  <c r="I74" i="63"/>
  <c r="G74" i="63"/>
  <c r="I73" i="63"/>
  <c r="G73" i="63"/>
  <c r="I72" i="63"/>
  <c r="G72" i="63"/>
  <c r="I71" i="63"/>
  <c r="G71" i="63"/>
  <c r="I70" i="63"/>
  <c r="G70" i="63"/>
  <c r="I69" i="63"/>
  <c r="G69" i="63"/>
  <c r="I68" i="63"/>
  <c r="G68" i="63"/>
  <c r="I67" i="63"/>
  <c r="G67" i="63"/>
  <c r="I66" i="63"/>
  <c r="G66" i="63"/>
  <c r="I65" i="63"/>
  <c r="G65" i="63"/>
  <c r="I64" i="63"/>
  <c r="G64" i="63"/>
  <c r="I63" i="63"/>
  <c r="G63" i="63"/>
  <c r="I62" i="63"/>
  <c r="G62" i="63"/>
  <c r="I61" i="63"/>
  <c r="G61" i="63"/>
  <c r="I60" i="63"/>
  <c r="G60" i="63"/>
  <c r="I59" i="63"/>
  <c r="G59" i="63"/>
  <c r="I58" i="63"/>
  <c r="G58" i="63"/>
  <c r="I57" i="63"/>
  <c r="G57" i="63"/>
  <c r="I56" i="63"/>
  <c r="G56" i="63"/>
  <c r="I55" i="63"/>
  <c r="G55" i="63"/>
  <c r="I54" i="63"/>
  <c r="G54" i="63"/>
  <c r="I53" i="63"/>
  <c r="G53" i="63"/>
  <c r="I52" i="63"/>
  <c r="G52" i="63"/>
  <c r="I51" i="63"/>
  <c r="G51" i="63"/>
  <c r="I50" i="63"/>
  <c r="G50" i="63"/>
  <c r="I49" i="63"/>
  <c r="G49" i="63"/>
  <c r="I48" i="63"/>
  <c r="G48" i="63"/>
  <c r="M47" i="63"/>
  <c r="P47" i="63" s="1"/>
  <c r="O47" i="63" s="1"/>
  <c r="I47" i="63"/>
  <c r="G47" i="63"/>
  <c r="I46" i="63"/>
  <c r="G46" i="63"/>
  <c r="I45" i="63"/>
  <c r="G45" i="63"/>
  <c r="I44" i="63"/>
  <c r="G44" i="63"/>
  <c r="I43" i="63"/>
  <c r="G43" i="63"/>
  <c r="I42" i="63"/>
  <c r="G42" i="63"/>
  <c r="I41" i="63"/>
  <c r="G41" i="63"/>
  <c r="I40" i="63"/>
  <c r="G40" i="63"/>
  <c r="I39" i="63"/>
  <c r="G39" i="63"/>
  <c r="I38" i="63"/>
  <c r="G38" i="63"/>
  <c r="I37" i="63"/>
  <c r="G37" i="63"/>
  <c r="I36" i="63"/>
  <c r="G36" i="63"/>
  <c r="I35" i="63"/>
  <c r="G35" i="63"/>
  <c r="I34" i="63"/>
  <c r="G34" i="63"/>
  <c r="I33" i="63"/>
  <c r="G33" i="63"/>
  <c r="I32" i="63"/>
  <c r="G32" i="63"/>
  <c r="I31" i="63"/>
  <c r="G31" i="63"/>
  <c r="I30" i="63"/>
  <c r="G30" i="63"/>
  <c r="I29" i="63"/>
  <c r="G29" i="63"/>
  <c r="I28" i="63"/>
  <c r="G28" i="63"/>
  <c r="I27" i="63"/>
  <c r="G27" i="63"/>
  <c r="I26" i="63"/>
  <c r="G26" i="63"/>
  <c r="I25" i="63"/>
  <c r="G25" i="63"/>
  <c r="I24" i="63"/>
  <c r="G24" i="63"/>
  <c r="I22" i="63"/>
  <c r="G22" i="63"/>
  <c r="I21" i="63"/>
  <c r="G21" i="63"/>
  <c r="I20" i="63"/>
  <c r="G20" i="63"/>
  <c r="I19" i="63"/>
  <c r="G19" i="63"/>
  <c r="I18" i="63"/>
  <c r="G18" i="63"/>
  <c r="I17" i="63"/>
  <c r="G17" i="63"/>
  <c r="I16" i="63"/>
  <c r="G16" i="63"/>
  <c r="I15" i="63"/>
  <c r="G15" i="63"/>
  <c r="I14" i="63"/>
  <c r="G14" i="63"/>
  <c r="I13" i="63"/>
  <c r="G13" i="63"/>
  <c r="I12" i="63"/>
  <c r="G12" i="63"/>
  <c r="I11" i="63"/>
  <c r="G11" i="63"/>
  <c r="I10" i="63"/>
  <c r="G10" i="63"/>
  <c r="I9" i="63"/>
  <c r="G9" i="63"/>
  <c r="I8" i="63"/>
  <c r="G8" i="63"/>
  <c r="I7" i="63"/>
  <c r="G7" i="63"/>
  <c r="R22" i="63" l="1"/>
  <c r="R48" i="63"/>
  <c r="R56" i="63"/>
  <c r="R31" i="63"/>
  <c r="R39" i="63"/>
  <c r="R64" i="63"/>
  <c r="R24" i="63"/>
  <c r="R97" i="63"/>
  <c r="R32" i="63"/>
  <c r="R40" i="63"/>
  <c r="R9" i="63"/>
  <c r="R17" i="63"/>
  <c r="R50" i="63"/>
  <c r="R58" i="63"/>
  <c r="R66" i="63"/>
  <c r="R72" i="63"/>
  <c r="R80" i="63"/>
  <c r="R88" i="63"/>
  <c r="R96" i="63"/>
  <c r="R104" i="63"/>
  <c r="R112" i="63"/>
  <c r="R120" i="63"/>
  <c r="R128" i="63"/>
  <c r="R136" i="63"/>
  <c r="R144" i="63"/>
  <c r="R152" i="63"/>
  <c r="R160" i="63"/>
  <c r="R168" i="63"/>
  <c r="R7" i="63"/>
  <c r="R78" i="63"/>
  <c r="R86" i="63"/>
  <c r="R94" i="63"/>
  <c r="R102" i="63"/>
  <c r="R110" i="63"/>
  <c r="R34" i="63"/>
  <c r="R42" i="63"/>
  <c r="R184" i="63"/>
  <c r="R188" i="63"/>
  <c r="R26" i="63"/>
  <c r="R176" i="63"/>
  <c r="R190" i="63"/>
  <c r="R118" i="63"/>
  <c r="R126" i="63"/>
  <c r="R134" i="63"/>
  <c r="R142" i="63"/>
  <c r="R150" i="63"/>
  <c r="R158" i="63"/>
  <c r="R166" i="63"/>
  <c r="R174" i="63"/>
  <c r="R16" i="63"/>
  <c r="R25" i="63"/>
  <c r="R33" i="63"/>
  <c r="R41" i="63"/>
  <c r="R51" i="63"/>
  <c r="R59" i="63"/>
  <c r="R67" i="63"/>
  <c r="R73" i="63"/>
  <c r="R81" i="63"/>
  <c r="R89" i="63"/>
  <c r="R105" i="63"/>
  <c r="R113" i="63"/>
  <c r="R121" i="63"/>
  <c r="R129" i="63"/>
  <c r="R137" i="63"/>
  <c r="R145" i="63"/>
  <c r="R153" i="63"/>
  <c r="R161" i="63"/>
  <c r="R169" i="63"/>
  <c r="R19" i="63"/>
  <c r="R52" i="63"/>
  <c r="R60" i="63"/>
  <c r="R68" i="63"/>
  <c r="R74" i="63"/>
  <c r="R82" i="63"/>
  <c r="R90" i="63"/>
  <c r="R106" i="63"/>
  <c r="R114" i="63"/>
  <c r="R122" i="63"/>
  <c r="R130" i="63"/>
  <c r="R138" i="63"/>
  <c r="R11" i="63"/>
  <c r="R182" i="63"/>
  <c r="R98" i="63"/>
  <c r="R146" i="63"/>
  <c r="R181" i="63"/>
  <c r="R21" i="63"/>
  <c r="R10" i="63"/>
  <c r="R13" i="63"/>
  <c r="R63" i="63"/>
  <c r="R71" i="63"/>
  <c r="R77" i="63"/>
  <c r="R85" i="63"/>
  <c r="R101" i="63"/>
  <c r="R109" i="63"/>
  <c r="R117" i="63"/>
  <c r="R125" i="63"/>
  <c r="R133" i="63"/>
  <c r="R141" i="63"/>
  <c r="R149" i="63"/>
  <c r="R55" i="63"/>
  <c r="R15" i="63"/>
  <c r="R30" i="63"/>
  <c r="R46" i="63"/>
  <c r="R179" i="63"/>
  <c r="R38" i="63"/>
  <c r="R28" i="63"/>
  <c r="R36" i="63"/>
  <c r="R44" i="63"/>
  <c r="R154" i="63"/>
  <c r="R162" i="63"/>
  <c r="R170" i="63"/>
  <c r="R99" i="63"/>
  <c r="R49" i="63"/>
  <c r="R53" i="63"/>
  <c r="R57" i="63"/>
  <c r="R61" i="63"/>
  <c r="R65" i="63"/>
  <c r="R69" i="63"/>
  <c r="R75" i="63"/>
  <c r="R79" i="63"/>
  <c r="R83" i="63"/>
  <c r="R87" i="63"/>
  <c r="R91" i="63"/>
  <c r="R103" i="63"/>
  <c r="R107" i="63"/>
  <c r="R111" i="63"/>
  <c r="R115" i="63"/>
  <c r="R119" i="63"/>
  <c r="R123" i="63"/>
  <c r="R127" i="63"/>
  <c r="R131" i="63"/>
  <c r="R135" i="63"/>
  <c r="R139" i="63"/>
  <c r="R143" i="63"/>
  <c r="R147" i="63"/>
  <c r="R151" i="63"/>
  <c r="R155" i="63"/>
  <c r="R159" i="63"/>
  <c r="R163" i="63"/>
  <c r="R167" i="63"/>
  <c r="R171" i="63"/>
  <c r="R175" i="63"/>
  <c r="R180" i="63"/>
  <c r="R14" i="63"/>
  <c r="R27" i="63"/>
  <c r="R35" i="63"/>
  <c r="R43" i="63"/>
  <c r="R185" i="63"/>
  <c r="R189" i="63"/>
  <c r="R18" i="63"/>
  <c r="R178" i="63"/>
  <c r="R54" i="63"/>
  <c r="R62" i="63"/>
  <c r="R70" i="63"/>
  <c r="R76" i="63"/>
  <c r="R84" i="63"/>
  <c r="R92" i="63"/>
  <c r="R100" i="63"/>
  <c r="R108" i="63"/>
  <c r="R116" i="63"/>
  <c r="R124" i="63"/>
  <c r="R132" i="63"/>
  <c r="R140" i="63"/>
  <c r="R148" i="63"/>
  <c r="R156" i="63"/>
  <c r="R164" i="63"/>
  <c r="R172" i="63"/>
  <c r="R157" i="63"/>
  <c r="R165" i="63"/>
  <c r="R173" i="63"/>
  <c r="R186" i="63"/>
  <c r="R12" i="63"/>
  <c r="R20" i="63"/>
  <c r="R29" i="63"/>
  <c r="R37" i="63"/>
  <c r="R45" i="63"/>
  <c r="R187" i="63"/>
  <c r="G196" i="63"/>
  <c r="R8" i="63"/>
  <c r="R93" i="63"/>
  <c r="R95" i="63"/>
  <c r="I197" i="63"/>
  <c r="G197" i="63"/>
  <c r="L47" i="63"/>
  <c r="R47" i="63" s="1"/>
  <c r="P183" i="63"/>
  <c r="O183" i="63" s="1"/>
  <c r="R183" i="63" s="1"/>
  <c r="A113" i="63"/>
  <c r="A114" i="63" s="1"/>
  <c r="A115" i="63" s="1"/>
  <c r="A116" i="63" s="1"/>
  <c r="A117" i="63" s="1"/>
  <c r="A118" i="63" s="1"/>
  <c r="A119" i="63" s="1"/>
  <c r="A120" i="63" s="1"/>
  <c r="A121" i="63" s="1"/>
  <c r="A122" i="63" s="1"/>
  <c r="A123" i="63" s="1"/>
  <c r="A124" i="63" s="1"/>
  <c r="A125" i="63" s="1"/>
  <c r="A126" i="63" s="1"/>
  <c r="A127" i="63" s="1"/>
  <c r="A128" i="63" s="1"/>
  <c r="A129" i="63" s="1"/>
  <c r="A130" i="63" s="1"/>
  <c r="A131" i="63" s="1"/>
  <c r="A132" i="63" s="1"/>
  <c r="A133" i="63" s="1"/>
  <c r="A134" i="63" s="1"/>
  <c r="A135" i="63" s="1"/>
  <c r="A136" i="63" s="1"/>
  <c r="A137" i="63" s="1"/>
  <c r="A138" i="63" s="1"/>
  <c r="A139" i="63" s="1"/>
  <c r="A140" i="63" s="1"/>
  <c r="A141" i="63" s="1"/>
  <c r="A142" i="63" s="1"/>
  <c r="A143" i="63" s="1"/>
  <c r="A144" i="63" s="1"/>
  <c r="A145" i="63" s="1"/>
  <c r="A146" i="63" s="1"/>
  <c r="A147" i="63" s="1"/>
  <c r="A148" i="63" s="1"/>
  <c r="A149" i="63" s="1"/>
  <c r="A150" i="63" s="1"/>
  <c r="A151" i="63" s="1"/>
  <c r="A152" i="63" s="1"/>
  <c r="A153" i="63" s="1"/>
  <c r="A154" i="63" s="1"/>
  <c r="A155" i="63" s="1"/>
  <c r="A156" i="63" s="1"/>
  <c r="A157" i="63" s="1"/>
  <c r="A158" i="63" s="1"/>
  <c r="A159" i="63" s="1"/>
  <c r="A160" i="63" s="1"/>
  <c r="A161" i="63" s="1"/>
  <c r="A162" i="63" s="1"/>
  <c r="A163" i="63" s="1"/>
  <c r="A164" i="63" s="1"/>
  <c r="A165" i="63" s="1"/>
  <c r="A166" i="63" s="1"/>
  <c r="A167" i="63" s="1"/>
  <c r="A168" i="63" s="1"/>
  <c r="A169" i="63" s="1"/>
  <c r="A170" i="63" s="1"/>
  <c r="A171" i="63" s="1"/>
  <c r="A172" i="63" s="1"/>
  <c r="A173" i="63" s="1"/>
  <c r="A174" i="63" s="1"/>
  <c r="A175" i="63" s="1"/>
  <c r="G198" i="63" l="1"/>
  <c r="K197" i="63"/>
  <c r="M11" i="60"/>
  <c r="M30" i="50"/>
  <c r="M13" i="60" l="1"/>
  <c r="M17" i="60"/>
  <c r="M8" i="60"/>
  <c r="M6" i="60"/>
  <c r="M20" i="60"/>
  <c r="M24" i="60"/>
  <c r="M22" i="60"/>
  <c r="M16" i="60"/>
  <c r="L16" i="61"/>
  <c r="J16" i="61"/>
  <c r="H16" i="61"/>
  <c r="L12" i="54" l="1"/>
  <c r="J12" i="54"/>
  <c r="H12" i="54"/>
  <c r="M12" i="60" l="1"/>
  <c r="M15" i="60"/>
  <c r="M23" i="60"/>
  <c r="M9" i="60"/>
  <c r="L15" i="61" l="1"/>
  <c r="J15" i="61"/>
  <c r="H15" i="61"/>
  <c r="L25" i="55" l="1"/>
  <c r="J25" i="55"/>
  <c r="H25" i="55"/>
  <c r="L26" i="55"/>
  <c r="J26" i="55"/>
  <c r="H26" i="55"/>
  <c r="L13" i="55"/>
  <c r="J13" i="55"/>
  <c r="H13" i="55"/>
  <c r="H52" i="55" l="1"/>
  <c r="J52" i="55"/>
  <c r="L52" i="55"/>
  <c r="H50" i="55"/>
  <c r="J50" i="55"/>
  <c r="L50" i="55"/>
  <c r="H49" i="55" l="1"/>
  <c r="J49" i="55"/>
  <c r="L49" i="55"/>
  <c r="H18" i="61"/>
  <c r="J18" i="61"/>
  <c r="L18" i="61"/>
  <c r="H9" i="61"/>
  <c r="J9" i="61"/>
  <c r="L9" i="61"/>
  <c r="O5" i="60" l="1"/>
  <c r="P5" i="60" s="1"/>
  <c r="F24" i="60" l="1"/>
  <c r="H24" i="60"/>
  <c r="J24" i="60"/>
  <c r="O24" i="60"/>
  <c r="P24" i="60" s="1"/>
  <c r="L7" i="60"/>
  <c r="O7" i="60" l="1"/>
  <c r="P7" i="60" s="1"/>
  <c r="O8" i="60"/>
  <c r="P8" i="60" s="1"/>
  <c r="O9" i="60"/>
  <c r="P9" i="60" s="1"/>
  <c r="O10" i="60"/>
  <c r="P10" i="60" s="1"/>
  <c r="O11" i="60"/>
  <c r="P11" i="60" s="1"/>
  <c r="O12" i="60"/>
  <c r="P12" i="60" s="1"/>
  <c r="O13" i="60"/>
  <c r="P13" i="60" s="1"/>
  <c r="O14" i="60"/>
  <c r="P14" i="60" s="1"/>
  <c r="O15" i="60"/>
  <c r="P15" i="60" s="1"/>
  <c r="O16" i="60"/>
  <c r="P16" i="60" s="1"/>
  <c r="O17" i="60"/>
  <c r="P17" i="60" s="1"/>
  <c r="O18" i="60"/>
  <c r="P18" i="60" s="1"/>
  <c r="O19" i="60"/>
  <c r="P19" i="60" s="1"/>
  <c r="O20" i="60"/>
  <c r="P20" i="60" s="1"/>
  <c r="O21" i="60"/>
  <c r="P21" i="60" s="1"/>
  <c r="O22" i="60"/>
  <c r="P22" i="60" s="1"/>
  <c r="O23" i="60"/>
  <c r="P23" i="60" s="1"/>
  <c r="O25" i="60"/>
  <c r="O26" i="60"/>
  <c r="O27" i="60"/>
  <c r="O28" i="60"/>
  <c r="O29" i="60"/>
  <c r="O30" i="60"/>
  <c r="O31" i="60"/>
  <c r="O32" i="60"/>
  <c r="O33" i="60"/>
  <c r="O34" i="60"/>
  <c r="O6" i="60"/>
  <c r="P6" i="60" s="1"/>
  <c r="N110" i="60"/>
  <c r="N3" i="60" s="1"/>
  <c r="M110" i="60"/>
  <c r="M3" i="60" s="1"/>
  <c r="F23" i="60"/>
  <c r="H23" i="60"/>
  <c r="J23" i="60"/>
  <c r="O110" i="60" l="1"/>
  <c r="O3" i="60" s="1"/>
  <c r="L46" i="55" l="1"/>
  <c r="J46" i="55"/>
  <c r="H46" i="55"/>
  <c r="L12" i="61" l="1"/>
  <c r="J12" i="61"/>
  <c r="H12" i="61"/>
  <c r="L11" i="61"/>
  <c r="J11" i="61"/>
  <c r="H11" i="61"/>
  <c r="L10" i="61"/>
  <c r="J10" i="61"/>
  <c r="H10" i="61"/>
  <c r="L31" i="55" l="1"/>
  <c r="J31" i="55"/>
  <c r="H31" i="55"/>
  <c r="L7" i="61"/>
  <c r="J7" i="61"/>
  <c r="H7" i="61"/>
  <c r="M95" i="61"/>
  <c r="M3" i="61" s="1"/>
  <c r="K95" i="61"/>
  <c r="K3" i="61" s="1"/>
  <c r="I95" i="61"/>
  <c r="I3" i="61" s="1"/>
  <c r="J94" i="61"/>
  <c r="H94" i="61"/>
  <c r="L14" i="61"/>
  <c r="J14" i="61"/>
  <c r="H14" i="61"/>
  <c r="L13" i="61"/>
  <c r="J13" i="61"/>
  <c r="H13" i="61"/>
  <c r="L8" i="61"/>
  <c r="J8" i="61"/>
  <c r="H8" i="61"/>
  <c r="L5" i="61"/>
  <c r="J5" i="61"/>
  <c r="L47" i="55"/>
  <c r="J47" i="55"/>
  <c r="H47" i="55"/>
  <c r="H23" i="55"/>
  <c r="L23" i="55"/>
  <c r="J23" i="55"/>
  <c r="L45" i="55"/>
  <c r="J45" i="55"/>
  <c r="H45" i="55"/>
  <c r="N95" i="61" l="1"/>
  <c r="N3" i="61" s="1"/>
  <c r="J95" i="61"/>
  <c r="J3" i="61" s="1"/>
  <c r="H95" i="61"/>
  <c r="H3" i="61" s="1"/>
  <c r="H5" i="60" l="1"/>
  <c r="L44" i="55" l="1"/>
  <c r="J44" i="55"/>
  <c r="H44" i="55"/>
  <c r="L38" i="55"/>
  <c r="J38" i="55"/>
  <c r="H38" i="55"/>
  <c r="J21" i="60" l="1"/>
  <c r="H21" i="60"/>
  <c r="F21" i="60"/>
  <c r="J20" i="60"/>
  <c r="H20" i="60"/>
  <c r="F20" i="60"/>
  <c r="J19" i="60"/>
  <c r="H19" i="60"/>
  <c r="F19" i="60"/>
  <c r="J18" i="60"/>
  <c r="H18" i="60"/>
  <c r="F18" i="60"/>
  <c r="J9" i="60"/>
  <c r="H9" i="60"/>
  <c r="F9" i="60"/>
  <c r="J17" i="60"/>
  <c r="H17" i="60"/>
  <c r="F17" i="60"/>
  <c r="J16" i="60"/>
  <c r="H16" i="60"/>
  <c r="F16" i="60"/>
  <c r="J22" i="60"/>
  <c r="H22" i="60"/>
  <c r="F22" i="60"/>
  <c r="J14" i="60"/>
  <c r="H14" i="60"/>
  <c r="F14" i="60"/>
  <c r="J15" i="60"/>
  <c r="H15" i="60"/>
  <c r="F15" i="60"/>
  <c r="P110" i="60"/>
  <c r="P3" i="60" s="1"/>
  <c r="L110" i="60"/>
  <c r="L3" i="60" s="1"/>
  <c r="K110" i="60"/>
  <c r="K3" i="60" s="1"/>
  <c r="I110" i="60"/>
  <c r="I3" i="60" s="1"/>
  <c r="G110" i="60"/>
  <c r="G3" i="60" s="1"/>
  <c r="H109" i="60"/>
  <c r="F109" i="60"/>
  <c r="J13" i="60"/>
  <c r="H13" i="60"/>
  <c r="F13" i="60"/>
  <c r="J12" i="60"/>
  <c r="H12" i="60"/>
  <c r="F12" i="60"/>
  <c r="J11" i="60"/>
  <c r="H11" i="60"/>
  <c r="F11" i="60"/>
  <c r="J10" i="60"/>
  <c r="H10" i="60"/>
  <c r="F10" i="60"/>
  <c r="J8" i="60"/>
  <c r="H8" i="60"/>
  <c r="F8" i="60"/>
  <c r="J7" i="60"/>
  <c r="H7" i="60"/>
  <c r="F7" i="60"/>
  <c r="J6" i="60"/>
  <c r="H6" i="60"/>
  <c r="F6" i="60"/>
  <c r="J5" i="60"/>
  <c r="F110" i="60" l="1"/>
  <c r="F3" i="60" s="1"/>
  <c r="H110" i="60"/>
  <c r="H3" i="60" s="1"/>
  <c r="H48" i="55" l="1"/>
  <c r="J48" i="55"/>
  <c r="L48" i="55"/>
  <c r="L42" i="55" l="1"/>
  <c r="J42" i="55"/>
  <c r="H42" i="55"/>
  <c r="L41" i="55"/>
  <c r="J41" i="55"/>
  <c r="H41" i="55"/>
  <c r="L43" i="55"/>
  <c r="J43" i="55"/>
  <c r="H43" i="55"/>
  <c r="L40" i="55"/>
  <c r="J40" i="55"/>
  <c r="H40" i="55"/>
  <c r="L37" i="55"/>
  <c r="J37" i="55"/>
  <c r="H37" i="55"/>
  <c r="L30" i="55"/>
  <c r="J30" i="55"/>
  <c r="H30" i="55"/>
  <c r="L16" i="55"/>
  <c r="J16" i="55"/>
  <c r="H16" i="55"/>
  <c r="L39" i="55"/>
  <c r="J39" i="55"/>
  <c r="H39" i="55"/>
  <c r="L35" i="55"/>
  <c r="J35" i="55"/>
  <c r="H35" i="55"/>
  <c r="L36" i="55"/>
  <c r="J36" i="55"/>
  <c r="H36" i="55"/>
  <c r="N24" i="55"/>
  <c r="L24" i="55" s="1"/>
  <c r="J24" i="55"/>
  <c r="H24" i="55" l="1"/>
  <c r="L11" i="54" l="1"/>
  <c r="J11" i="54"/>
  <c r="H11" i="54"/>
  <c r="L34" i="55"/>
  <c r="J34" i="55"/>
  <c r="H34" i="55"/>
  <c r="L33" i="55"/>
  <c r="J33" i="55"/>
  <c r="H33" i="55"/>
  <c r="L18" i="55"/>
  <c r="J18" i="55"/>
  <c r="H18" i="55"/>
  <c r="L32" i="55"/>
  <c r="J32" i="55"/>
  <c r="H32" i="55"/>
  <c r="L29" i="55"/>
  <c r="J29" i="55"/>
  <c r="H29" i="55"/>
  <c r="L28" i="55"/>
  <c r="J28" i="55"/>
  <c r="H28" i="55"/>
  <c r="H21" i="55" l="1"/>
  <c r="J21" i="55"/>
  <c r="L21" i="55"/>
  <c r="J27" i="55" l="1"/>
  <c r="H27" i="55"/>
  <c r="L27" i="55" l="1"/>
  <c r="N22" i="55"/>
  <c r="L22" i="55" s="1"/>
  <c r="J22" i="55"/>
  <c r="H22" i="55" l="1"/>
  <c r="L20" i="55" l="1"/>
  <c r="J20" i="55"/>
  <c r="H20" i="55"/>
  <c r="L13" i="54" l="1"/>
  <c r="J13" i="54"/>
  <c r="H13" i="54"/>
  <c r="L10" i="54"/>
  <c r="J10" i="54"/>
  <c r="H10" i="54"/>
  <c r="L9" i="54"/>
  <c r="J9" i="54"/>
  <c r="H9" i="54"/>
  <c r="J19" i="55" l="1"/>
  <c r="H19" i="55"/>
  <c r="L8" i="54"/>
  <c r="J8" i="54"/>
  <c r="H8" i="54"/>
  <c r="M31" i="50"/>
  <c r="L8" i="55"/>
  <c r="J8" i="55"/>
  <c r="H8" i="55"/>
  <c r="L7" i="55"/>
  <c r="J7" i="55"/>
  <c r="H7" i="55"/>
  <c r="L14" i="55"/>
  <c r="J14" i="55"/>
  <c r="H14" i="55"/>
  <c r="L15" i="55"/>
  <c r="J15" i="55"/>
  <c r="H15" i="55"/>
  <c r="L17" i="55"/>
  <c r="J17" i="55"/>
  <c r="H17" i="55"/>
  <c r="L12" i="55"/>
  <c r="J12" i="55"/>
  <c r="H12" i="55"/>
  <c r="L10" i="55" l="1"/>
  <c r="L11" i="55"/>
  <c r="L19" i="55"/>
  <c r="H10" i="55"/>
  <c r="H11" i="55"/>
  <c r="J10" i="55"/>
  <c r="J11" i="55"/>
  <c r="I128" i="55"/>
  <c r="I3" i="55" s="1"/>
  <c r="L9" i="55"/>
  <c r="J9" i="55"/>
  <c r="H9" i="55"/>
  <c r="L6" i="55"/>
  <c r="J6" i="55"/>
  <c r="H6" i="55"/>
  <c r="N128" i="55"/>
  <c r="N3" i="55" s="1"/>
  <c r="M128" i="55"/>
  <c r="M3" i="55" s="1"/>
  <c r="K128" i="55"/>
  <c r="K3" i="55" s="1"/>
  <c r="J127" i="55"/>
  <c r="H127" i="55"/>
  <c r="L5" i="55"/>
  <c r="J5" i="55"/>
  <c r="J128" i="55" l="1"/>
  <c r="J3" i="55" s="1"/>
  <c r="H128" i="55"/>
  <c r="H3" i="55" s="1"/>
  <c r="K101" i="54" l="1"/>
  <c r="K3" i="54" s="1"/>
  <c r="I101" i="54"/>
  <c r="I3" i="54" s="1"/>
  <c r="J100" i="54"/>
  <c r="H100" i="54"/>
  <c r="L7" i="54"/>
  <c r="J7" i="54"/>
  <c r="H7" i="54"/>
  <c r="L6" i="54"/>
  <c r="J6" i="54"/>
  <c r="H6" i="54"/>
  <c r="N101" i="54"/>
  <c r="N3" i="54" s="1"/>
  <c r="M101" i="54"/>
  <c r="M3" i="54" s="1"/>
  <c r="L5" i="54"/>
  <c r="J5" i="54"/>
  <c r="H101" i="54" l="1"/>
  <c r="H3" i="54" s="1"/>
  <c r="J101" i="54"/>
  <c r="J3" i="54" s="1"/>
  <c r="M9" i="50" l="1"/>
  <c r="M20" i="50" l="1"/>
  <c r="M23" i="50" l="1"/>
  <c r="L130" i="50"/>
  <c r="L3" i="50" s="1"/>
  <c r="N130" i="50"/>
  <c r="N3" i="50" s="1"/>
  <c r="O130" i="50"/>
  <c r="O3" i="50" s="1"/>
  <c r="M6" i="50"/>
  <c r="M7" i="50"/>
  <c r="M10" i="50"/>
  <c r="M11" i="50"/>
  <c r="M12" i="50"/>
  <c r="M17" i="50"/>
  <c r="M21" i="50"/>
  <c r="M22" i="50"/>
  <c r="M13" i="50"/>
  <c r="M14" i="50"/>
  <c r="M15" i="50"/>
  <c r="M16" i="50"/>
  <c r="M18" i="50"/>
  <c r="M19" i="50"/>
  <c r="M24" i="50"/>
  <c r="M29" i="50"/>
  <c r="M38" i="50"/>
  <c r="M39" i="50"/>
  <c r="M40" i="50"/>
  <c r="M41" i="50"/>
  <c r="M42" i="50"/>
  <c r="M43" i="50"/>
  <c r="M44" i="50"/>
  <c r="M45" i="50"/>
  <c r="M46" i="50"/>
  <c r="M47" i="50"/>
  <c r="M48" i="50"/>
  <c r="M49" i="50"/>
  <c r="M50" i="50"/>
  <c r="M51" i="50"/>
  <c r="M52" i="50"/>
  <c r="M53" i="50"/>
  <c r="M54" i="50"/>
  <c r="M55" i="50"/>
  <c r="M57" i="50"/>
  <c r="M58" i="50"/>
  <c r="M59" i="50"/>
  <c r="M60" i="50"/>
  <c r="M61" i="50"/>
  <c r="M62" i="50"/>
  <c r="M63" i="50"/>
  <c r="M64" i="50"/>
  <c r="M65" i="50"/>
  <c r="M66" i="50"/>
  <c r="M67" i="50"/>
  <c r="M68" i="50"/>
  <c r="M69" i="50"/>
  <c r="M70" i="50"/>
  <c r="M71" i="50"/>
  <c r="M72" i="50"/>
  <c r="M73" i="50"/>
  <c r="M74" i="50"/>
  <c r="M75" i="50"/>
  <c r="M76" i="50"/>
  <c r="M77" i="50"/>
  <c r="M78" i="50"/>
  <c r="M79" i="50"/>
  <c r="M80" i="50"/>
  <c r="M81" i="50"/>
  <c r="M82" i="50"/>
  <c r="M83" i="50"/>
  <c r="M84" i="50"/>
  <c r="M85" i="50"/>
  <c r="M86" i="50"/>
  <c r="M87" i="50"/>
  <c r="M88" i="50"/>
  <c r="M89" i="50"/>
  <c r="M90" i="50"/>
  <c r="M91" i="50"/>
  <c r="M92" i="50"/>
  <c r="M93" i="50"/>
  <c r="M94" i="50"/>
  <c r="M95" i="50"/>
  <c r="M96" i="50"/>
  <c r="M97" i="50"/>
  <c r="M98" i="50"/>
  <c r="M99" i="50"/>
  <c r="M100" i="50"/>
  <c r="M101" i="50"/>
  <c r="M102" i="50"/>
  <c r="M103" i="50"/>
  <c r="M104" i="50"/>
  <c r="M105" i="50"/>
  <c r="M106" i="50"/>
  <c r="M107" i="50"/>
  <c r="M108" i="50"/>
  <c r="M109" i="50"/>
  <c r="M110" i="50"/>
  <c r="M111" i="50"/>
  <c r="M112" i="50"/>
  <c r="M113" i="50"/>
  <c r="M114" i="50"/>
  <c r="M115" i="50"/>
  <c r="M116" i="50"/>
  <c r="M117" i="50"/>
  <c r="M118" i="50"/>
  <c r="M119" i="50"/>
  <c r="M120" i="50"/>
  <c r="M121" i="50"/>
  <c r="M122" i="50"/>
  <c r="M123" i="50"/>
  <c r="M124" i="50"/>
  <c r="M125" i="50"/>
  <c r="M126" i="50"/>
  <c r="M127" i="50"/>
  <c r="M128" i="50"/>
  <c r="M129" i="50"/>
  <c r="M130" i="50" l="1"/>
  <c r="M3" i="50" s="1"/>
  <c r="K130" i="50" l="1"/>
  <c r="K3" i="50" s="1"/>
  <c r="I130" i="50"/>
  <c r="I3" i="50" s="1"/>
  <c r="J5" i="50"/>
  <c r="H130" i="50" l="1"/>
  <c r="H3" i="50" s="1"/>
  <c r="J130" i="50"/>
  <c r="J3" i="50" s="1"/>
  <c r="I196" i="63" l="1"/>
  <c r="I198" i="63" s="1"/>
  <c r="K198" i="63" s="1"/>
  <c r="L177" i="63"/>
  <c r="R177" i="63" s="1"/>
  <c r="K196" i="63" l="1"/>
  <c r="L91" i="69"/>
  <c r="K91" i="69"/>
</calcChain>
</file>

<file path=xl/sharedStrings.xml><?xml version="1.0" encoding="utf-8"?>
<sst xmlns="http://schemas.openxmlformats.org/spreadsheetml/2006/main" count="15995" uniqueCount="1904">
  <si>
    <t>توريدات سباكه وكهرباء</t>
  </si>
  <si>
    <t>م</t>
  </si>
  <si>
    <t xml:space="preserve">قيمه اجمالي الاعمال </t>
  </si>
  <si>
    <t>الاجمالى العام</t>
  </si>
  <si>
    <t>شركة المجد ( عيد أبو المجد السيد)</t>
  </si>
  <si>
    <t>البند</t>
  </si>
  <si>
    <t>مصنعيات أعمال خوازيق</t>
  </si>
  <si>
    <t>بلوك 1</t>
  </si>
  <si>
    <t>بلوك 2</t>
  </si>
  <si>
    <t>بلوك 3</t>
  </si>
  <si>
    <t>شركة الدولية ( جرجس ماهر حليم )</t>
  </si>
  <si>
    <t>بلوك 4</t>
  </si>
  <si>
    <t>ابراهيم الطويل</t>
  </si>
  <si>
    <t>سيارة خدمة خارجية موقع</t>
  </si>
  <si>
    <t>عام</t>
  </si>
  <si>
    <t>وائل عبدالغفار</t>
  </si>
  <si>
    <t>أحمد غريب</t>
  </si>
  <si>
    <t>يسرى الناغى</t>
  </si>
  <si>
    <t>أعمال سباكة</t>
  </si>
  <si>
    <t>فراج الناغى</t>
  </si>
  <si>
    <t>توريدات خامات خدمة موقع</t>
  </si>
  <si>
    <t>شركة يونى برونج (اسامة جمال زكى)</t>
  </si>
  <si>
    <t>بلوك 5</t>
  </si>
  <si>
    <t>شركة بايل تيك ( وليد شاكر محمد )</t>
  </si>
  <si>
    <t>بلوك 31</t>
  </si>
  <si>
    <t>توريد باب وشباك</t>
  </si>
  <si>
    <t>توريدات سن ورملة</t>
  </si>
  <si>
    <t>شركة مكة ( عمرو فؤاد )</t>
  </si>
  <si>
    <t>شركة المستقبل ( أحمد حفنى )</t>
  </si>
  <si>
    <t>بلوك 32</t>
  </si>
  <si>
    <t>يوميات عمالة</t>
  </si>
  <si>
    <t>محمود عبدالهادى</t>
  </si>
  <si>
    <t>الشركة الحديثة للصناعات الكيماوية</t>
  </si>
  <si>
    <t>توريدات مادة للخرسانة</t>
  </si>
  <si>
    <t>ايجار لودر</t>
  </si>
  <si>
    <t>شريف  محمد جمعة</t>
  </si>
  <si>
    <t>توريد مولد كهرباء</t>
  </si>
  <si>
    <t>ايجار معدات</t>
  </si>
  <si>
    <t>العروبة للاساسات (رجب زكى السيد عباس)</t>
  </si>
  <si>
    <t xml:space="preserve">بلوك 12 </t>
  </si>
  <si>
    <t>عهدة رشيد</t>
  </si>
  <si>
    <t>مصروفات متنوعة</t>
  </si>
  <si>
    <t>هانى عزت الهوارى</t>
  </si>
  <si>
    <t>رسوم معمارية</t>
  </si>
  <si>
    <t>شركة الدار للاساسات</t>
  </si>
  <si>
    <t>الاصيل للمقاولات العمومية والتوريدات العامة</t>
  </si>
  <si>
    <t>محطة خرسانة سيتى مكس للمنجات الخرسانية "صبحى  ابراهيم احمد</t>
  </si>
  <si>
    <t>توريد خرسانة</t>
  </si>
  <si>
    <t>بلوك 8</t>
  </si>
  <si>
    <t>بلوك 9</t>
  </si>
  <si>
    <t>بلوك 10</t>
  </si>
  <si>
    <t>بلوك 11</t>
  </si>
  <si>
    <t>كذا جراند</t>
  </si>
  <si>
    <t>بلال محمد فهمى</t>
  </si>
  <si>
    <t>اعمال تجارب التحميل على الخوازيق</t>
  </si>
  <si>
    <t>د فتحى عبدربه</t>
  </si>
  <si>
    <t>تجارب الترا سونك</t>
  </si>
  <si>
    <t>عبده مجاهد</t>
  </si>
  <si>
    <t>تكسير خوازيق</t>
  </si>
  <si>
    <t xml:space="preserve">ابو رحاب موسى </t>
  </si>
  <si>
    <t>الاعمال السابقة</t>
  </si>
  <si>
    <t>الاعمال الحالية</t>
  </si>
  <si>
    <t>على علام</t>
  </si>
  <si>
    <t>اسامة شعبان محمد</t>
  </si>
  <si>
    <t>بلوك 16</t>
  </si>
  <si>
    <t>السيد عبدالنعيم</t>
  </si>
  <si>
    <t>اعمال حدادة مسلحة</t>
  </si>
  <si>
    <t>محمد رشاد محمود</t>
  </si>
  <si>
    <t>اعمال نجارة وحدادة مسلحة</t>
  </si>
  <si>
    <t>كريم موسى احمد</t>
  </si>
  <si>
    <t>بلوك 6</t>
  </si>
  <si>
    <t>توريدات عزل</t>
  </si>
  <si>
    <t>اكرامى عادل فؤاد</t>
  </si>
  <si>
    <t xml:space="preserve">محمود مجدى </t>
  </si>
  <si>
    <t>اعمال مساحة</t>
  </si>
  <si>
    <t>مصطفى سعد اسماعيل</t>
  </si>
  <si>
    <t xml:space="preserve">محمد العلوي </t>
  </si>
  <si>
    <t>توريد سولار</t>
  </si>
  <si>
    <t xml:space="preserve">محطة خرسانة الناغي </t>
  </si>
  <si>
    <t xml:space="preserve">خميس محمود </t>
  </si>
  <si>
    <t>ربيع رجب احمد</t>
  </si>
  <si>
    <t xml:space="preserve">محمد حسن </t>
  </si>
  <si>
    <t xml:space="preserve">تامر السيد </t>
  </si>
  <si>
    <t xml:space="preserve">ايجار سيارة خرسانة </t>
  </si>
  <si>
    <t xml:space="preserve">ابراهيم مرزوق ابو الحسن </t>
  </si>
  <si>
    <t>بلوك 14</t>
  </si>
  <si>
    <t xml:space="preserve">محمد سعد السيد </t>
  </si>
  <si>
    <t xml:space="preserve">أعمال مباني </t>
  </si>
  <si>
    <t xml:space="preserve">عبدالنبي عبدالهادي </t>
  </si>
  <si>
    <t xml:space="preserve">أعمال كهرباء </t>
  </si>
  <si>
    <t>بلوك 7</t>
  </si>
  <si>
    <t xml:space="preserve">كريم عبدالرحمن اسماعيل </t>
  </si>
  <si>
    <t xml:space="preserve">اكرم عبدالكريم محمد سالم </t>
  </si>
  <si>
    <t>بلوك 33</t>
  </si>
  <si>
    <t>سامي احمد الزهيري</t>
  </si>
  <si>
    <t>روماني جرجس</t>
  </si>
  <si>
    <t xml:space="preserve">خالد حسين </t>
  </si>
  <si>
    <t xml:space="preserve">عبدالله محمد عبدالله عوض الله </t>
  </si>
  <si>
    <t>أعمال عزل</t>
  </si>
  <si>
    <t xml:space="preserve">هلال حجاج ابو طالب </t>
  </si>
  <si>
    <t>محطات تحلية1</t>
  </si>
  <si>
    <t>محطات تحلية2</t>
  </si>
  <si>
    <t>عصام عبد المنعم شهبة</t>
  </si>
  <si>
    <t>توريد لوحات كهربا</t>
  </si>
  <si>
    <t>ياسر العوضى</t>
  </si>
  <si>
    <t>توريد ردم</t>
  </si>
  <si>
    <t>توريد رمل</t>
  </si>
  <si>
    <t xml:space="preserve">سعد رجب </t>
  </si>
  <si>
    <t>توريد اسمنت</t>
  </si>
  <si>
    <t>مصطفى عباس عثمان محمد</t>
  </si>
  <si>
    <t>ايجار مضخة خرسانة</t>
  </si>
  <si>
    <t>محطة خرسانة الناغى</t>
  </si>
  <si>
    <t>كريم زيد</t>
  </si>
  <si>
    <t>حسين عبدالحميد حسين عبدالعال</t>
  </si>
  <si>
    <t>بلوك 13</t>
  </si>
  <si>
    <t>مورد طوب طفلى</t>
  </si>
  <si>
    <t>وليد عبدالحميد ابراهيم</t>
  </si>
  <si>
    <t xml:space="preserve">محمود محمد عبدالوهاب </t>
  </si>
  <si>
    <t xml:space="preserve">عبدالله نصر عبدالله </t>
  </si>
  <si>
    <t xml:space="preserve">ماهر محمد سليمان </t>
  </si>
  <si>
    <t xml:space="preserve">مصطفي عقل زيدان </t>
  </si>
  <si>
    <t xml:space="preserve">سلامة بسيوني </t>
  </si>
  <si>
    <t>بلوك 17</t>
  </si>
  <si>
    <t xml:space="preserve">احمد ابو العلا احمد </t>
  </si>
  <si>
    <t>كرم ابو السعود محمد محمود</t>
  </si>
  <si>
    <t>محمد حسين محمد البنا</t>
  </si>
  <si>
    <t xml:space="preserve">سلطان خميس سلطان </t>
  </si>
  <si>
    <t xml:space="preserve">محمود الزعمان </t>
  </si>
  <si>
    <t>بلوك 15</t>
  </si>
  <si>
    <t xml:space="preserve">احمد محمد عبدالعال </t>
  </si>
  <si>
    <t xml:space="preserve">اعمال نحاتة </t>
  </si>
  <si>
    <t xml:space="preserve">رضا عزمي ابراهيم </t>
  </si>
  <si>
    <t xml:space="preserve">ممدوح رمضان عبدالله قرني </t>
  </si>
  <si>
    <t xml:space="preserve">رمضان عبدالعزيز  حسين محمد </t>
  </si>
  <si>
    <t>احمد احمد محمد ابراهيم</t>
  </si>
  <si>
    <t>اسلام جمعة عبدالمعبود</t>
  </si>
  <si>
    <t>ايمن سعيد بكر حسن</t>
  </si>
  <si>
    <t xml:space="preserve">محمود عبدالله عبدالغفار </t>
  </si>
  <si>
    <t xml:space="preserve">احمد محمود حميدة الاجرب </t>
  </si>
  <si>
    <t xml:space="preserve">ياسر حسن عبدالغفار </t>
  </si>
  <si>
    <t xml:space="preserve">محمد عبدالستار سعيد بدوي ( محمد سواح) </t>
  </si>
  <si>
    <t xml:space="preserve">محمود محمد احمد علي علام </t>
  </si>
  <si>
    <t xml:space="preserve">الحاج محمد الناغي </t>
  </si>
  <si>
    <t>بلوك 18</t>
  </si>
  <si>
    <t xml:space="preserve">محمد عبدالجليل كيوان </t>
  </si>
  <si>
    <t xml:space="preserve">توريدات </t>
  </si>
  <si>
    <t>شعبان ابراهيم عبدالمقصود</t>
  </si>
  <si>
    <t xml:space="preserve">احمد وائل عبدالغفار </t>
  </si>
  <si>
    <t>مصطفى على ابراهيم</t>
  </si>
  <si>
    <t>خالد اشرف احمد محمد وفا</t>
  </si>
  <si>
    <t>محمد رجب احمد احمد</t>
  </si>
  <si>
    <t xml:space="preserve">محمد عبده نعمان الشيخ </t>
  </si>
  <si>
    <t>محمد رمضان يوسف</t>
  </si>
  <si>
    <t>عماد سعد جعبوب</t>
  </si>
  <si>
    <t>هانى على محمد على</t>
  </si>
  <si>
    <t>ابراهيم عبدالمعطى محمد محمد</t>
  </si>
  <si>
    <t>محمد حسين عبدالتواب</t>
  </si>
  <si>
    <t>احمد سعيد محمد بشير</t>
  </si>
  <si>
    <t xml:space="preserve">عرفة السيد عز الدين </t>
  </si>
  <si>
    <t xml:space="preserve">حسن سالم حسن المسحر </t>
  </si>
  <si>
    <t>أعمال بياض</t>
  </si>
  <si>
    <t xml:space="preserve">محمود محمد احمد محمد مرزوق </t>
  </si>
  <si>
    <t xml:space="preserve">هانى محمد ابراهيم فرج </t>
  </si>
  <si>
    <t>بلوك 20</t>
  </si>
  <si>
    <t xml:space="preserve">سعد محمد سعد عبدالقادر </t>
  </si>
  <si>
    <t xml:space="preserve">رمضان السيد بياض </t>
  </si>
  <si>
    <t>فرحات محمد ابراهيم قطب</t>
  </si>
  <si>
    <t xml:space="preserve">سعيد فتح الله دربالة </t>
  </si>
  <si>
    <t xml:space="preserve">سعيد اسامة محمد سعد </t>
  </si>
  <si>
    <t>المسجد</t>
  </si>
  <si>
    <t xml:space="preserve">محمد مصطفي عبدالوهاب الصاوي </t>
  </si>
  <si>
    <t xml:space="preserve">عنتر شداد </t>
  </si>
  <si>
    <t xml:space="preserve">احمد السيد السيد </t>
  </si>
  <si>
    <t xml:space="preserve">ابراهيم محمد ابراهيم جعارة </t>
  </si>
  <si>
    <t>بلوك 30</t>
  </si>
  <si>
    <t>محمد نجدى محمد حسن</t>
  </si>
  <si>
    <t xml:space="preserve">ايمن حسن سليمان حسن </t>
  </si>
  <si>
    <t>ابراهيم محمد قرنى</t>
  </si>
  <si>
    <t>عيد محمد عوض حبور</t>
  </si>
  <si>
    <t xml:space="preserve">عيد السيد كامل </t>
  </si>
  <si>
    <t xml:space="preserve">نعيم محمد شحاتة </t>
  </si>
  <si>
    <t xml:space="preserve">المسجد </t>
  </si>
  <si>
    <t xml:space="preserve">توريد سن </t>
  </si>
  <si>
    <t xml:space="preserve">ياسر حلمي السيد </t>
  </si>
  <si>
    <t xml:space="preserve">عام </t>
  </si>
  <si>
    <t xml:space="preserve">محمد عبدالفتاح عطية السمان </t>
  </si>
  <si>
    <t xml:space="preserve">محمد محمود محمد ابو العنين </t>
  </si>
  <si>
    <t xml:space="preserve">ناصر مصطفي ابو عرب </t>
  </si>
  <si>
    <t xml:space="preserve">شركة هاشم ( HCC ) </t>
  </si>
  <si>
    <t xml:space="preserve">محمود هندى عنتر طلبة </t>
  </si>
  <si>
    <t xml:space="preserve">احمد محمد رمضان ابراهيم سلامة </t>
  </si>
  <si>
    <t>عيد عبدالله بدوى</t>
  </si>
  <si>
    <t xml:space="preserve">محمد احمد عبدالحكيم ابو ضلع </t>
  </si>
  <si>
    <t xml:space="preserve">رجب الجزار </t>
  </si>
  <si>
    <t xml:space="preserve">جمال سعيد ابراهيم </t>
  </si>
  <si>
    <t>ابراهيم محمد حسين الريان "ختامى</t>
  </si>
  <si>
    <t xml:space="preserve">شركة فورسوك </t>
  </si>
  <si>
    <t>ابراهيم فرج احمد عوض</t>
  </si>
  <si>
    <t xml:space="preserve">المبني الاداري </t>
  </si>
  <si>
    <t xml:space="preserve">حمام السباحة </t>
  </si>
  <si>
    <t xml:space="preserve">قاعة الافراح </t>
  </si>
  <si>
    <t xml:space="preserve">محروس رجب احمد فرج </t>
  </si>
  <si>
    <t>الشحات محمود طه</t>
  </si>
  <si>
    <t>المنتزة</t>
  </si>
  <si>
    <t>طارق ابراهيم علي عبيدو</t>
  </si>
  <si>
    <t xml:space="preserve">عبدالمجيد عبدالمجيد منصور حجاج </t>
  </si>
  <si>
    <t xml:space="preserve">احمد محمود علي محمد </t>
  </si>
  <si>
    <t>فرج خميس صابر</t>
  </si>
  <si>
    <t xml:space="preserve">علي محمد نصر الدين ابوشبانة </t>
  </si>
  <si>
    <t xml:space="preserve">محمد رشدي عبدالله عوض </t>
  </si>
  <si>
    <t xml:space="preserve">سعد عبدالعزيز محمد علي </t>
  </si>
  <si>
    <t xml:space="preserve">اشرف عبدالكريم علي محمد حمزة </t>
  </si>
  <si>
    <t xml:space="preserve">عبدالعال سيد عبدالعال عليان </t>
  </si>
  <si>
    <t xml:space="preserve">شريف رفعت فوزي جورجي </t>
  </si>
  <si>
    <t xml:space="preserve">ابراهيم طة البرجي </t>
  </si>
  <si>
    <t>ياسر خلف رمضان محمد سباق</t>
  </si>
  <si>
    <t xml:space="preserve">محمد احمد محمد شحات </t>
  </si>
  <si>
    <t xml:space="preserve">فتحات الكور </t>
  </si>
  <si>
    <t xml:space="preserve">عبداللطيف سعد عبداللطيف </t>
  </si>
  <si>
    <t xml:space="preserve">سامي محمد محمد ابراهيم </t>
  </si>
  <si>
    <t xml:space="preserve">أعمال سيراميك </t>
  </si>
  <si>
    <t xml:space="preserve">ناصر محمد عبدالله البراوي </t>
  </si>
  <si>
    <t xml:space="preserve">احمد سعيد مكايد سكران </t>
  </si>
  <si>
    <t xml:space="preserve">علاء معوض </t>
  </si>
  <si>
    <t xml:space="preserve">أعمال رخام </t>
  </si>
  <si>
    <t xml:space="preserve">حسن محمد حسن المنزلاوي </t>
  </si>
  <si>
    <t xml:space="preserve">محمد ثابت على يوسف </t>
  </si>
  <si>
    <t xml:space="preserve">محمد كمال محمد احمد شحاتة </t>
  </si>
  <si>
    <t xml:space="preserve">احمد محمد عبدالحسيب عبدالجواد </t>
  </si>
  <si>
    <t xml:space="preserve">اعمال حدادة مسلحة لارضيات البلوك ( الدكة ) </t>
  </si>
  <si>
    <t xml:space="preserve">اشرف احمد محمود مهران </t>
  </si>
  <si>
    <t>ثروت حمدى طاهر</t>
  </si>
  <si>
    <t xml:space="preserve">احمد اسماعيل محمد محمود علي </t>
  </si>
  <si>
    <t xml:space="preserve">اعمال الاعتاب المسلحة </t>
  </si>
  <si>
    <t xml:space="preserve">هانى سلامة على سعد </t>
  </si>
  <si>
    <t xml:space="preserve">شاكر رمضان عبدالجواد رافع </t>
  </si>
  <si>
    <t xml:space="preserve">اعمال النجارة والفرمجة لارضيات البلوك </t>
  </si>
  <si>
    <t xml:space="preserve">هانى كامل كامل محمد حسن </t>
  </si>
  <si>
    <t>سور الخدمات</t>
  </si>
  <si>
    <t xml:space="preserve">رضا رمضان محمد كوتة </t>
  </si>
  <si>
    <t xml:space="preserve">محمد حامد احمد شرف </t>
  </si>
  <si>
    <t xml:space="preserve">أعمال دهان </t>
  </si>
  <si>
    <t xml:space="preserve">منصور مسعود محمد حبالة </t>
  </si>
  <si>
    <t xml:space="preserve">ايمن احمد محمد السلامونى </t>
  </si>
  <si>
    <t xml:space="preserve">عبدالله سمير عبداللاه قدادة </t>
  </si>
  <si>
    <t>محمد احمد محمد ابوحشيش</t>
  </si>
  <si>
    <t>بلوك12</t>
  </si>
  <si>
    <t>شحاته عواد حسانين وهب الله</t>
  </si>
  <si>
    <t xml:space="preserve">صالح محمد عبدالله محمد </t>
  </si>
  <si>
    <t xml:space="preserve">محمد جمال رمضان السيد </t>
  </si>
  <si>
    <t>سعيد احمد محمد  ابو حشيش</t>
  </si>
  <si>
    <t xml:space="preserve">نبيل فتحى العطار </t>
  </si>
  <si>
    <t>بلوك13</t>
  </si>
  <si>
    <t>بلوك15</t>
  </si>
  <si>
    <t>بلوك17</t>
  </si>
  <si>
    <t xml:space="preserve">على شحاتة محمود رحال </t>
  </si>
  <si>
    <t xml:space="preserve">بلوك 13 </t>
  </si>
  <si>
    <t xml:space="preserve">جمال عبدالناصر جوهر </t>
  </si>
  <si>
    <t xml:space="preserve">قطب احمد ابراهيم فرج </t>
  </si>
  <si>
    <t xml:space="preserve">احمد حلمى محمود احمد عبدالعال </t>
  </si>
  <si>
    <t xml:space="preserve">فكرى عبدالعزيز على خطاب </t>
  </si>
  <si>
    <t>مسعود محمود محمود الشربينى</t>
  </si>
  <si>
    <t>مصباح بسيونى محمد على ابو حشاد</t>
  </si>
  <si>
    <t xml:space="preserve">فتح الله الخشوعى فتح الله ابراهيم </t>
  </si>
  <si>
    <t>محمود احمد محمد عبدالحليم الدبابى</t>
  </si>
  <si>
    <t xml:space="preserve">محروس محمود ابوزيد بركات </t>
  </si>
  <si>
    <t xml:space="preserve">عدلى عادل عسر محمد </t>
  </si>
  <si>
    <t xml:space="preserve">ايمن فوزى عاشور </t>
  </si>
  <si>
    <t xml:space="preserve">محمد جابر عبدالعزيز </t>
  </si>
  <si>
    <t xml:space="preserve">محمد احمد محمد عامر </t>
  </si>
  <si>
    <t xml:space="preserve">حسن سعد محمد ابراهيم </t>
  </si>
  <si>
    <t xml:space="preserve">عبدالحميد مجدى عبدالحميد الحمزاوى </t>
  </si>
  <si>
    <t>بلوك10</t>
  </si>
  <si>
    <t>شعبان سعيد جمعة عبدالقادر</t>
  </si>
  <si>
    <t xml:space="preserve">اعمال معدنية </t>
  </si>
  <si>
    <t xml:space="preserve">محمد حسن مبروك صفار </t>
  </si>
  <si>
    <t>توريد بلاط موزايكو</t>
  </si>
  <si>
    <t>خصم مبلغ 12000ج ايجار لودر</t>
  </si>
  <si>
    <t>اعمال خرسانة الميول</t>
  </si>
  <si>
    <t>بلوك18</t>
  </si>
  <si>
    <t>بلوك16</t>
  </si>
  <si>
    <t>بلوك14</t>
  </si>
  <si>
    <t>بلوك11</t>
  </si>
  <si>
    <t xml:space="preserve">سعد عبدالحميد محمد ابو حسين </t>
  </si>
  <si>
    <t xml:space="preserve">بطاقة ضريبية </t>
  </si>
  <si>
    <t>بيانات السجل التجارى</t>
  </si>
  <si>
    <t>614-252-822</t>
  </si>
  <si>
    <t>619-146-663</t>
  </si>
  <si>
    <t>631-254-307</t>
  </si>
  <si>
    <t>701-430-303</t>
  </si>
  <si>
    <t>545-301-653</t>
  </si>
  <si>
    <t>574-864-342</t>
  </si>
  <si>
    <t>634-598-537</t>
  </si>
  <si>
    <t>731-610-083</t>
  </si>
  <si>
    <t>583-502-426</t>
  </si>
  <si>
    <t xml:space="preserve">عبدالحميد عبدالكريم عبدالله </t>
  </si>
  <si>
    <t>محمد محمد احمد مصطفى البيلى</t>
  </si>
  <si>
    <t>محمد محمد عزالرجال ابوموسى</t>
  </si>
  <si>
    <t xml:space="preserve">احمد عبدالحميد كامل </t>
  </si>
  <si>
    <t>بلوك5</t>
  </si>
  <si>
    <t xml:space="preserve">على عبداللطيف احمد </t>
  </si>
  <si>
    <t xml:space="preserve">محمد جابر محمد احمد </t>
  </si>
  <si>
    <t xml:space="preserve">شركة المتحدة للمقاولات والتوريدات </t>
  </si>
  <si>
    <t xml:space="preserve">وليد السيد عبد القادر عبدالواحد القرضاوي </t>
  </si>
  <si>
    <t>271-776-589</t>
  </si>
  <si>
    <t>701-303-174</t>
  </si>
  <si>
    <t>552-573-248</t>
  </si>
  <si>
    <t xml:space="preserve">توريد سافيتو </t>
  </si>
  <si>
    <t>205-151-809</t>
  </si>
  <si>
    <t xml:space="preserve">إسم المقاول بالسجل التجارى </t>
  </si>
  <si>
    <t xml:space="preserve">ايجي تراك </t>
  </si>
  <si>
    <t xml:space="preserve">هيثم رمضان عبدالله قرنى </t>
  </si>
  <si>
    <t>506-219-167</t>
  </si>
  <si>
    <t xml:space="preserve">الوطنية للمقاولات العمومية المتكاملة </t>
  </si>
  <si>
    <t>395-995-299</t>
  </si>
  <si>
    <t>574-638-016</t>
  </si>
  <si>
    <t xml:space="preserve">المجد للاساسات والمقاولات </t>
  </si>
  <si>
    <t>731-045-289</t>
  </si>
  <si>
    <t xml:space="preserve">شركة الدار للاساسات والمقاولات </t>
  </si>
  <si>
    <t>542-246-694</t>
  </si>
  <si>
    <t xml:space="preserve">بلال محمد فهمى عبدالمولى القزاز </t>
  </si>
  <si>
    <t xml:space="preserve">يسرى رجب متولى ابراهيم </t>
  </si>
  <si>
    <t>محمد نجدى محمد حسن عفيفى</t>
  </si>
  <si>
    <t>315-226-560</t>
  </si>
  <si>
    <t xml:space="preserve">عبدالنبى عبدالهادى محمد ابراهيم </t>
  </si>
  <si>
    <t xml:space="preserve">العروبة للمقاولات العامة والاساسات الميكانيكية </t>
  </si>
  <si>
    <t xml:space="preserve">العمدة للتوريدات والمقاولات العمومية </t>
  </si>
  <si>
    <t xml:space="preserve">المتحدة للمقاولات والتوريدات </t>
  </si>
  <si>
    <t xml:space="preserve">مكتب الرحاب للمقاولات العمومية وتوريدات مواد البناء </t>
  </si>
  <si>
    <t xml:space="preserve">العربية لصناعة مواد البناء الحديثه ( سافيتو مصر ) </t>
  </si>
  <si>
    <t xml:space="preserve">المصطفى للمقاولات العمومية </t>
  </si>
  <si>
    <t>احمد نادى توفيق</t>
  </si>
  <si>
    <t xml:space="preserve">محمد جمال نصار </t>
  </si>
  <si>
    <t>بودرة موزايكو</t>
  </si>
  <si>
    <t>بلوك2</t>
  </si>
  <si>
    <t>بلوك3</t>
  </si>
  <si>
    <t>بلوك4</t>
  </si>
  <si>
    <t xml:space="preserve">احمد رجب محمد القروى </t>
  </si>
  <si>
    <t xml:space="preserve">اعمال كريتال </t>
  </si>
  <si>
    <t>جميل عوض عبدالمجيد</t>
  </si>
  <si>
    <t xml:space="preserve">ياسر عبدالعليم فرغلى على </t>
  </si>
  <si>
    <t xml:space="preserve">كريم ابراهيم على ابراهيم </t>
  </si>
  <si>
    <t xml:space="preserve">صلاح احمد احمد مصطفى </t>
  </si>
  <si>
    <t xml:space="preserve">توريد وتركيب مواسير فريون التكيف </t>
  </si>
  <si>
    <t>العربى للمقاولات العامة</t>
  </si>
  <si>
    <t>عبدالقادر عامر عمر عامر</t>
  </si>
  <si>
    <t>سور مركز الخدمات</t>
  </si>
  <si>
    <t>اشرف فرج السيد شاهين</t>
  </si>
  <si>
    <t>جي ار سي</t>
  </si>
  <si>
    <t xml:space="preserve">عبدالمنعم محمد عبدالخالق الميلاياتى </t>
  </si>
  <si>
    <t xml:space="preserve">بلوك 8 </t>
  </si>
  <si>
    <t xml:space="preserve">السيد ابوضيف حسن اسماعيل </t>
  </si>
  <si>
    <t xml:space="preserve">رمضان محمود حسن محمد </t>
  </si>
  <si>
    <t xml:space="preserve">حمادة عبدالباقى عبدالمجيد على </t>
  </si>
  <si>
    <t>محمد عبدالعزيز الراوى</t>
  </si>
  <si>
    <t xml:space="preserve">مصطفى خليل مبروك يوسف العبد </t>
  </si>
  <si>
    <t>عمرو محمد السيد عبدالنبى</t>
  </si>
  <si>
    <t xml:space="preserve">نادر فريد زكى فهمى </t>
  </si>
  <si>
    <t xml:space="preserve">توريد سباكة </t>
  </si>
  <si>
    <t xml:space="preserve">ممدوح فتحى سيد عبدالمعطى </t>
  </si>
  <si>
    <t xml:space="preserve">نور رفاعى فرغلى محمود </t>
  </si>
  <si>
    <t xml:space="preserve">شريف ممدوح عبدالقادر عامر </t>
  </si>
  <si>
    <t xml:space="preserve">غرفة الامن </t>
  </si>
  <si>
    <t xml:space="preserve">بلوك 4 </t>
  </si>
  <si>
    <t xml:space="preserve">شركة العوضى للتجارة والمقاولات </t>
  </si>
  <si>
    <t xml:space="preserve">عزل اسمنتى </t>
  </si>
  <si>
    <t>المبانى الاضافية</t>
  </si>
  <si>
    <t>مبني الامن</t>
  </si>
  <si>
    <t xml:space="preserve">مبنى الكافتريا </t>
  </si>
  <si>
    <t xml:space="preserve">المبانى الاضافية ( الكافتيريا ) </t>
  </si>
  <si>
    <t xml:space="preserve">المبانى الاضافية ( حمامات الملاعب ) </t>
  </si>
  <si>
    <t xml:space="preserve">احمد صلاح احمد حسن </t>
  </si>
  <si>
    <t xml:space="preserve">زين حسن عبدالعاطى محمد </t>
  </si>
  <si>
    <t>فتحى عبدالقوى حشيش</t>
  </si>
  <si>
    <t xml:space="preserve">اعمال المويتال </t>
  </si>
  <si>
    <t xml:space="preserve">شركة كونكريت للتجارة وعموم المقاولات </t>
  </si>
  <si>
    <t xml:space="preserve">عزل فواصل </t>
  </si>
  <si>
    <t xml:space="preserve">احمد محمد محمد حسنين </t>
  </si>
  <si>
    <t xml:space="preserve">سعد محمد احمد نسيم </t>
  </si>
  <si>
    <t xml:space="preserve">احمد السيد ابراهيم حجازى </t>
  </si>
  <si>
    <t xml:space="preserve">سعد جابر محمد </t>
  </si>
  <si>
    <t xml:space="preserve">مبنى الامن </t>
  </si>
  <si>
    <t xml:space="preserve">محمد رمضان كمال </t>
  </si>
  <si>
    <t>بلوك8</t>
  </si>
  <si>
    <t xml:space="preserve">حمادة الشناوى بيومى حمادة </t>
  </si>
  <si>
    <t xml:space="preserve">توريد وتركيب فرم جبس </t>
  </si>
  <si>
    <t xml:space="preserve">كريم عبدالمحسن محمد حسن </t>
  </si>
  <si>
    <t>شركة 4A</t>
  </si>
  <si>
    <t>توريد كهرباء</t>
  </si>
  <si>
    <t>بلوك9</t>
  </si>
  <si>
    <t xml:space="preserve">شركة المهندس ( عمرو زكريا بهجت ) </t>
  </si>
  <si>
    <t xml:space="preserve">مبنى الحمامات </t>
  </si>
  <si>
    <t>سميح السيد عبدالعال ابو الوفا</t>
  </si>
  <si>
    <t xml:space="preserve">محمد ابراهيم حسن ابراهيم غانم </t>
  </si>
  <si>
    <t xml:space="preserve">حجر مايكا </t>
  </si>
  <si>
    <t xml:space="preserve">عبداللطيف محمد عبدالعزيز المدنى </t>
  </si>
  <si>
    <t>محمد حسين عبدالقادر عبدالرحيم</t>
  </si>
  <si>
    <t>أعمال موزايكو</t>
  </si>
  <si>
    <t xml:space="preserve">بلوك 16 </t>
  </si>
  <si>
    <t xml:space="preserve">رجب احمد محمد عطا </t>
  </si>
  <si>
    <t xml:space="preserve">محمد محمد ابو عرب </t>
  </si>
  <si>
    <t>فرق سعر</t>
  </si>
  <si>
    <t xml:space="preserve">المبانى الاضافية </t>
  </si>
  <si>
    <t xml:space="preserve">احمد عبدالكريم </t>
  </si>
  <si>
    <t xml:space="preserve">توريد سيراميك </t>
  </si>
  <si>
    <t>ابوحمص</t>
  </si>
  <si>
    <t xml:space="preserve">أعمال موزايكو </t>
  </si>
  <si>
    <t xml:space="preserve">نعيم كامل الرفاعى </t>
  </si>
  <si>
    <t xml:space="preserve">احمد ناصف عبدالمطلب على النجار </t>
  </si>
  <si>
    <t xml:space="preserve">احمد حسان ابو الفتوح شعبان </t>
  </si>
  <si>
    <t xml:space="preserve">بلوك 15 </t>
  </si>
  <si>
    <t xml:space="preserve">الملاعب </t>
  </si>
  <si>
    <t xml:space="preserve">شركة الغنيمى لتجارة الحديد والاسمنت </t>
  </si>
  <si>
    <t xml:space="preserve">توريد حديد </t>
  </si>
  <si>
    <t xml:space="preserve">محمد احمد نجيب محمود </t>
  </si>
  <si>
    <t>محمد السيد عطية يونس</t>
  </si>
  <si>
    <t>محمد شحاتة على احمد للو</t>
  </si>
  <si>
    <t xml:space="preserve">عبداللطيف هاشم عبدالجليل عبداللطيف </t>
  </si>
  <si>
    <t xml:space="preserve">عبدالعظيم محمد علاء الدين </t>
  </si>
  <si>
    <t xml:space="preserve">محمد صبرى عبدربة شعيشع </t>
  </si>
  <si>
    <t xml:space="preserve">بلوك 10 </t>
  </si>
  <si>
    <t xml:space="preserve">احمد عباس </t>
  </si>
  <si>
    <t xml:space="preserve">حسن محمود عطالله ابوالسعود </t>
  </si>
  <si>
    <t xml:space="preserve">سور مبنى الخدمات </t>
  </si>
  <si>
    <t>الحمامات</t>
  </si>
  <si>
    <t xml:space="preserve">صبحى محمد محمد محمد </t>
  </si>
  <si>
    <t xml:space="preserve">على سيد احمد شهاوى </t>
  </si>
  <si>
    <t xml:space="preserve">سيد حسن فرغلى محمود </t>
  </si>
  <si>
    <t xml:space="preserve">بلوك 17 </t>
  </si>
  <si>
    <t>فرج عبدالحليم عبدالرؤف منصور</t>
  </si>
  <si>
    <t>قرميد</t>
  </si>
  <si>
    <t xml:space="preserve">سعد على بسيونى ابوجهل </t>
  </si>
  <si>
    <t xml:space="preserve">مجدى عرفة عبدالحميد عطية </t>
  </si>
  <si>
    <t xml:space="preserve">ايهاب محمد سمير ابو العز </t>
  </si>
  <si>
    <t xml:space="preserve">قرميد </t>
  </si>
  <si>
    <t xml:space="preserve">الكافتريا </t>
  </si>
  <si>
    <t>البرنس عبدالمنعم محمد فرج</t>
  </si>
  <si>
    <t xml:space="preserve">فلاتر حمام السباحة </t>
  </si>
  <si>
    <t xml:space="preserve">شركة الحارونى للالمويتال </t>
  </si>
  <si>
    <t xml:space="preserve">تامر عثمان محمد محمد </t>
  </si>
  <si>
    <t xml:space="preserve">شركة فينوس للصناعة </t>
  </si>
  <si>
    <t xml:space="preserve">الشركة المتحدة للبويات والكيماويات </t>
  </si>
  <si>
    <t xml:space="preserve">توريد معجون اسمنتى </t>
  </si>
  <si>
    <t xml:space="preserve">ايمن شوقى علوانى حشيش </t>
  </si>
  <si>
    <t xml:space="preserve">توريد وتركيب حوائط زجاجية </t>
  </si>
  <si>
    <t xml:space="preserve">مدحت على السيد عبدالعال </t>
  </si>
  <si>
    <t xml:space="preserve">نادى المنطقة الخدمية </t>
  </si>
  <si>
    <t xml:space="preserve">شريف نصر على </t>
  </si>
  <si>
    <t xml:space="preserve">عبدالله فتحى السيد </t>
  </si>
  <si>
    <t xml:space="preserve">مهران عبدالكريم سالم </t>
  </si>
  <si>
    <t>محمد احمد كمال</t>
  </si>
  <si>
    <t xml:space="preserve">النادى </t>
  </si>
  <si>
    <t xml:space="preserve">عبدة جابر عبدالغفار </t>
  </si>
  <si>
    <t xml:space="preserve">مدحت احمد عبدالفتاح برعى حشاد </t>
  </si>
  <si>
    <t xml:space="preserve">عبدالمنعم جابر محمود </t>
  </si>
  <si>
    <t>توريد طبقة رمل حلوانى</t>
  </si>
  <si>
    <t>سعيد رمضان محمد</t>
  </si>
  <si>
    <t>عبدالفتاح احمد محمود</t>
  </si>
  <si>
    <t>خرسانة هليوكوبتر</t>
  </si>
  <si>
    <t xml:space="preserve">الحسينى عبدالغنى حسن عبدالغنى </t>
  </si>
  <si>
    <t>توريد وتركيب انترلوك</t>
  </si>
  <si>
    <t xml:space="preserve">طارق شعبان ابوعوف </t>
  </si>
  <si>
    <t xml:space="preserve">تركيب كرتن ول </t>
  </si>
  <si>
    <t xml:space="preserve">اسامة اسماعيل محمد </t>
  </si>
  <si>
    <t xml:space="preserve">تم الغاء التعاقد </t>
  </si>
  <si>
    <t>رامى حسن عبدالمنعم</t>
  </si>
  <si>
    <t xml:space="preserve">توريد وتركيب كلادينج </t>
  </si>
  <si>
    <t xml:space="preserve">تجهيزات ملاعب  نجيلة </t>
  </si>
  <si>
    <t xml:space="preserve">على الجبالى على عطية </t>
  </si>
  <si>
    <t>احواض زهور دار المناسبات</t>
  </si>
  <si>
    <t xml:space="preserve">مبنى الحمامات  </t>
  </si>
  <si>
    <t xml:space="preserve">بلوك 18 </t>
  </si>
  <si>
    <t xml:space="preserve">عصام محمد عبدالمنعم شهبة </t>
  </si>
  <si>
    <t xml:space="preserve">مصطفى عاطف محمد </t>
  </si>
  <si>
    <t>قاعة الافراح</t>
  </si>
  <si>
    <t xml:space="preserve">تركيب الومنيوم </t>
  </si>
  <si>
    <t xml:space="preserve">توريد وتركيب هاندريل </t>
  </si>
  <si>
    <t xml:space="preserve">بلوك 11 </t>
  </si>
  <si>
    <t xml:space="preserve">قاعة الافراح  </t>
  </si>
  <si>
    <t>محمد على ماهر 3m</t>
  </si>
  <si>
    <t xml:space="preserve">اوسكار لصناعة البلاستيك </t>
  </si>
  <si>
    <t xml:space="preserve">إسم المقاول </t>
  </si>
  <si>
    <t xml:space="preserve">خالد حمدى مسعد </t>
  </si>
  <si>
    <t xml:space="preserve">سورناجا </t>
  </si>
  <si>
    <t>ما سبق صرفه</t>
  </si>
  <si>
    <t>سخاوى عيسى سخاوى</t>
  </si>
  <si>
    <t>توريد وتركيب الواح بيكربونيت - فيبر</t>
  </si>
  <si>
    <t>توريد اسمنت ورمل</t>
  </si>
  <si>
    <t>ابن الخطاب للدهانات</t>
  </si>
  <si>
    <t>توريد دهانات</t>
  </si>
  <si>
    <t xml:space="preserve">شركه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مشـــــــــــــــــــــــــــــروع حيــــــــــــــــــــــــــــــــــــــــــــاة كريمــــــــــــــــــــــــــــــــــــــــــــــــــــة بأبى حمص 2022
</t>
  </si>
  <si>
    <t>اسم المقاول (المورد)</t>
  </si>
  <si>
    <t>مركز التكلفة</t>
  </si>
  <si>
    <t>القرية</t>
  </si>
  <si>
    <t>رقم
 المستخلص</t>
  </si>
  <si>
    <t>الغنيمى</t>
  </si>
  <si>
    <t>حديد</t>
  </si>
  <si>
    <t>مشروع حياه كريمة</t>
  </si>
  <si>
    <t>هيثم يحى خليل</t>
  </si>
  <si>
    <t>قافلة</t>
  </si>
  <si>
    <t>بسنتواى</t>
  </si>
  <si>
    <t>مبنى خدمة المواطنين</t>
  </si>
  <si>
    <t>جواد حسنى</t>
  </si>
  <si>
    <t>بطورس</t>
  </si>
  <si>
    <t>دمسنا</t>
  </si>
  <si>
    <t>مركز شباب برسيق</t>
  </si>
  <si>
    <t>بلقطر</t>
  </si>
  <si>
    <t xml:space="preserve">مركز شباب كفر عزاز </t>
  </si>
  <si>
    <t>كوم القناطر</t>
  </si>
  <si>
    <t>بركة غطاس</t>
  </si>
  <si>
    <t>الجمعية الزراعية</t>
  </si>
  <si>
    <t>مركز شباب الزينى</t>
  </si>
  <si>
    <t xml:space="preserve">النخلة البحرية </t>
  </si>
  <si>
    <t>مركز شباب النخلة القبلية</t>
  </si>
  <si>
    <t>النخلة البحرية</t>
  </si>
  <si>
    <t>وحدة صحة بريدان</t>
  </si>
  <si>
    <t>وحدة صحة على حبيب</t>
  </si>
  <si>
    <t>وحدة صحة ابو اسماعيل</t>
  </si>
  <si>
    <t>وحدة صحة حامد ماضى</t>
  </si>
  <si>
    <t>وحدة صحة الزينى</t>
  </si>
  <si>
    <t>وحدة صحة خليج القصب</t>
  </si>
  <si>
    <t>وحدة صحة الخمسين</t>
  </si>
  <si>
    <t>مركز شباب جواد حسنى</t>
  </si>
  <si>
    <t>مركز شباب كوم صوان</t>
  </si>
  <si>
    <t>مركز شباب بطورس</t>
  </si>
  <si>
    <t>وحدة صحة بركة غطاس</t>
  </si>
  <si>
    <t xml:space="preserve">وحدة صحة كوم تقالة </t>
  </si>
  <si>
    <t>وحدة صحة الصالحية</t>
  </si>
  <si>
    <t>وحدة صحة انور المفتى</t>
  </si>
  <si>
    <t>مركز شباب ابو كبارية</t>
  </si>
  <si>
    <t>مركز شباب العشرة</t>
  </si>
  <si>
    <t xml:space="preserve">مركز شباب الجرادات </t>
  </si>
  <si>
    <t>مركز شباب الصالحية</t>
  </si>
  <si>
    <t>توريدات عامة</t>
  </si>
  <si>
    <t>كساحة</t>
  </si>
  <si>
    <t>موتوسيكلات</t>
  </si>
  <si>
    <t>نولون</t>
  </si>
  <si>
    <t>شركة الاسكندرية للحراريات</t>
  </si>
  <si>
    <t>ايهاب محمد سمير (شركة العز)</t>
  </si>
  <si>
    <t>توريد سباكة</t>
  </si>
  <si>
    <t>شركة بطيئة للاستيراد والتصدير</t>
  </si>
  <si>
    <t>توريد سيراميك</t>
  </si>
  <si>
    <t>فوسروك</t>
  </si>
  <si>
    <t xml:space="preserve">مادة </t>
  </si>
  <si>
    <t>صلاح احمد مصطفى</t>
  </si>
  <si>
    <t>مركز شباب كفر عزاز</t>
  </si>
  <si>
    <t xml:space="preserve">النخلة القبلية </t>
  </si>
  <si>
    <t>مركز شباب الجرادات</t>
  </si>
  <si>
    <t>مركز شباب التوسيلى</t>
  </si>
  <si>
    <t xml:space="preserve">كمال عوض محمد البراوى </t>
  </si>
  <si>
    <t>سن ورمل</t>
  </si>
  <si>
    <t>سلطان خميس سلطان</t>
  </si>
  <si>
    <t>مجدي فرج كامل النوام</t>
  </si>
  <si>
    <t>كوبري كوم صوان</t>
  </si>
  <si>
    <t>عبدالحفيظ محمد عبدالحفيظ(محمد الزيات)</t>
  </si>
  <si>
    <t>مركز شباب دير امس</t>
  </si>
  <si>
    <t>على عبدالعزيز رياض ابو غريب</t>
  </si>
  <si>
    <t>بياض</t>
  </si>
  <si>
    <t>طوب طفلى</t>
  </si>
  <si>
    <t>طه احمد طه شلبى</t>
  </si>
  <si>
    <t>محمد طلعت العوضى</t>
  </si>
  <si>
    <t>شعبان بسيونى محمد</t>
  </si>
  <si>
    <t>احمد اسامة محمود ابو دينا</t>
  </si>
  <si>
    <t>وحده صحة الغابة</t>
  </si>
  <si>
    <t>مخزن بركة غطاس</t>
  </si>
  <si>
    <t xml:space="preserve"> صالح محمد عبدالله محمد</t>
  </si>
  <si>
    <t>فؤاد صابر اسماعيل الدغيدى</t>
  </si>
  <si>
    <t>كوبرى النص</t>
  </si>
  <si>
    <t>احمد محمود السيد النجار</t>
  </si>
  <si>
    <t xml:space="preserve">توريد طوب اسمنتى </t>
  </si>
  <si>
    <t>لطفى عبد المنعم محمد</t>
  </si>
  <si>
    <t xml:space="preserve"> </t>
  </si>
  <si>
    <t>هانى ربيع  الفالح</t>
  </si>
  <si>
    <t>كريم ربيع الفالح</t>
  </si>
  <si>
    <t xml:space="preserve">احمد محمد حمدى عبدالواحد عباس </t>
  </si>
  <si>
    <t>توريدات كهرباء</t>
  </si>
  <si>
    <t>عمر محمد عبدالسلام (ابناء شعبان لمواد البناء )</t>
  </si>
  <si>
    <t>محمد عمر العوامى</t>
  </si>
  <si>
    <t>محمد السيد احمد اسماعيل</t>
  </si>
  <si>
    <t>الصافى على الهوارى</t>
  </si>
  <si>
    <t>احمد نبيل عبدالسميع العمدة</t>
  </si>
  <si>
    <t>محمد عبدالحميد النوام</t>
  </si>
  <si>
    <t>احمد صبحى سعد محمد</t>
  </si>
  <si>
    <t>احمد السيد زكى</t>
  </si>
  <si>
    <t>محمد احمد السيد(كاش)</t>
  </si>
  <si>
    <t>فاضل خنيزى</t>
  </si>
  <si>
    <t>هانى شلبى</t>
  </si>
  <si>
    <t>طارق عمرو عبدالله</t>
  </si>
  <si>
    <t>كريم مجدى القاضى</t>
  </si>
  <si>
    <t>احمد عبدالغفار رمضان</t>
  </si>
  <si>
    <t>نعيم داوود سليمان ابراهيم</t>
  </si>
  <si>
    <t>شعبان على درويش</t>
  </si>
  <si>
    <t>كوبري نجع اولاد عيسي</t>
  </si>
  <si>
    <t>على شعبان ابو على</t>
  </si>
  <si>
    <t>احمد رمضان احمد عوض</t>
  </si>
  <si>
    <t>اسلام عدلى سعد</t>
  </si>
  <si>
    <t>احمد القاضى</t>
  </si>
  <si>
    <t>سالم رمضان احمد</t>
  </si>
  <si>
    <t>كوبرى الدراوية</t>
  </si>
  <si>
    <t>رمضان على على حماد</t>
  </si>
  <si>
    <t>رمضــــــــــــــــــــــــــــــــــــان على على حمــــــــــــــــــــــــــــــــــــــــــــــــــــــــاد</t>
  </si>
  <si>
    <t>محمد توفيق سعد السيد</t>
  </si>
  <si>
    <t xml:space="preserve"> اعمال دهانات</t>
  </si>
  <si>
    <t>جريفياتو</t>
  </si>
  <si>
    <t>اعمال كهرباء</t>
  </si>
  <si>
    <t>اعمال صحية</t>
  </si>
  <si>
    <t>ذكى احمد الاقداحى</t>
  </si>
  <si>
    <t>خميس محمد السيد</t>
  </si>
  <si>
    <t>شعبان عبده بهنسى</t>
  </si>
  <si>
    <t>فهمى نعمة الله</t>
  </si>
  <si>
    <t>حسن المنزلاوى</t>
  </si>
  <si>
    <t>اشرف عبدالكريم على حمزة</t>
  </si>
  <si>
    <t>محمد مجدى ابو ضلع</t>
  </si>
  <si>
    <t>احمد محمد رمضان ابراهيم سلامة</t>
  </si>
  <si>
    <t>مجمع خدمة المواطنين</t>
  </si>
  <si>
    <t>محمد سعيد درويش</t>
  </si>
  <si>
    <t>احمد عوض احمد على حجازى</t>
  </si>
  <si>
    <t xml:space="preserve">حدادة ونجارة </t>
  </si>
  <si>
    <t>وحدة صحة صفر الكبرى</t>
  </si>
  <si>
    <t>مدحت عادل احمد عتمان</t>
  </si>
  <si>
    <t>احمد ناصف عبدالمطلب النجار</t>
  </si>
  <si>
    <t>رخام</t>
  </si>
  <si>
    <t>سور مركز شباب الجرادات</t>
  </si>
  <si>
    <t>شعبان سعيد جمعة (شركة العربى)</t>
  </si>
  <si>
    <t>ممدوح رمضان عبدالله (ابو ضلع)</t>
  </si>
  <si>
    <t>طوب اسمنتى</t>
  </si>
  <si>
    <t>ابو حمص</t>
  </si>
  <si>
    <t>مصطفى زغلول مصطفى النجار</t>
  </si>
  <si>
    <t>توريد رطش</t>
  </si>
  <si>
    <t>محمد حسن مبروك صفار</t>
  </si>
  <si>
    <t>صبحى عطية ابراهيم</t>
  </si>
  <si>
    <t>شركة الوعد (اسامة جمال زكى)</t>
  </si>
  <si>
    <t>خوازيق</t>
  </si>
  <si>
    <t>كوبرى ام اللبن</t>
  </si>
  <si>
    <t>كوبرى جليلة</t>
  </si>
  <si>
    <t>السخاوى على عيسى السخاوى</t>
  </si>
  <si>
    <t>بولى كربونيت</t>
  </si>
  <si>
    <t>مركز شباب السلام</t>
  </si>
  <si>
    <t>مبني التضامن الاجتماعي</t>
  </si>
  <si>
    <t>عبد الجليل عبدالرحمن عبدالجليل</t>
  </si>
  <si>
    <t>حسن ابراهيم حسن الصياد</t>
  </si>
  <si>
    <t>اعمال سورناجا</t>
  </si>
  <si>
    <t>محمود رمضان عيد صالح</t>
  </si>
  <si>
    <t>جيبسوم بورد</t>
  </si>
  <si>
    <t>السيد محمد ابوالفتوح الديب</t>
  </si>
  <si>
    <t>احمد السعيد ابراهيم امير غانم</t>
  </si>
  <si>
    <t>احمد اسماعيل امير غنيم</t>
  </si>
  <si>
    <t>محمد ابراهيم حسن غانم</t>
  </si>
  <si>
    <t>انترلوك</t>
  </si>
  <si>
    <t>محمد حسين البنا</t>
  </si>
  <si>
    <t>ختامى</t>
  </si>
  <si>
    <t>مصطفى محمود علام</t>
  </si>
  <si>
    <t>كوبرى عيد الحوفى</t>
  </si>
  <si>
    <t>كوبرى السباخ</t>
  </si>
  <si>
    <t>كوبرى الوزارة</t>
  </si>
  <si>
    <t>كوبرى مقابر سحالى</t>
  </si>
  <si>
    <t>كوبرى الستين</t>
  </si>
  <si>
    <t>كوبرى فرشوط</t>
  </si>
  <si>
    <t>محمد رجب نعيم عيسى</t>
  </si>
  <si>
    <t>كوبرى عزبة سمعان</t>
  </si>
  <si>
    <t>محمد على القزاز</t>
  </si>
  <si>
    <t>سمير سعيد محمد ابراهيم</t>
  </si>
  <si>
    <t>عبده شعبان عبدالحفيظ محمود</t>
  </si>
  <si>
    <t>مركز شباب سحالى</t>
  </si>
  <si>
    <t>اعمال بناء</t>
  </si>
  <si>
    <t>سور مركز شباب التوسيلى</t>
  </si>
  <si>
    <t>سور مركز شباب سحالى</t>
  </si>
  <si>
    <t xml:space="preserve">سور مركز شباب برسيق </t>
  </si>
  <si>
    <t>اعمال عزل</t>
  </si>
  <si>
    <t>اكرامي عادل فؤاد زهرة</t>
  </si>
  <si>
    <t>وحدة صحة بلقطر الغربية</t>
  </si>
  <si>
    <t>صبرى خميس عبدالحميد عطية</t>
  </si>
  <si>
    <t>محمد مصطفى فتح الله</t>
  </si>
  <si>
    <t>كوبرى عزبة حسين محمد</t>
  </si>
  <si>
    <t>مصطفى عبدالهادى ابراهيم عبدالمطلب</t>
  </si>
  <si>
    <t>جمال صبحى مبارك الجزار</t>
  </si>
  <si>
    <t xml:space="preserve">بلقطر </t>
  </si>
  <si>
    <t>كريم موسى  احمد ابو حجازى</t>
  </si>
  <si>
    <t>سور وحدة صحة زاوية نعيم</t>
  </si>
  <si>
    <t>وحدة صحة زاوية نعيم</t>
  </si>
  <si>
    <t>جمال محمود عاشور</t>
  </si>
  <si>
    <t>محمد رشاد محمود محمد</t>
  </si>
  <si>
    <t>مسعود محى عطية السيد</t>
  </si>
  <si>
    <t>محمد عبدالفتاح منصور</t>
  </si>
  <si>
    <t>فرج شعبان بدر خليل</t>
  </si>
  <si>
    <t>سور م شباب كوم القناطر</t>
  </si>
  <si>
    <t>رمضان عبدالفتاح محمد عمر الجندى</t>
  </si>
  <si>
    <t>كوبرى الطوالة</t>
  </si>
  <si>
    <t>محمود صابر كامل حسين</t>
  </si>
  <si>
    <t>حدادة</t>
  </si>
  <si>
    <t>سور مركز شباب النخلة القبلية</t>
  </si>
  <si>
    <t>عيد رزق محمد ابراهيم</t>
  </si>
  <si>
    <t xml:space="preserve">موزع كهرباء الجرادات </t>
  </si>
  <si>
    <t>السيد عبدالنعيم الصغير حسن</t>
  </si>
  <si>
    <t>وحدة صحة الغابة</t>
  </si>
  <si>
    <t>محمود محمد عبدالعظيم النجار</t>
  </si>
  <si>
    <t xml:space="preserve">عادل قطب السيد الشاذلى </t>
  </si>
  <si>
    <t>وليد عبد الستار عبد ربه على</t>
  </si>
  <si>
    <t>سور مركز شباب كوم صوان</t>
  </si>
  <si>
    <t>سور مركز شباب الزينى</t>
  </si>
  <si>
    <t>رمضان عقيلة احمد عقيلة</t>
  </si>
  <si>
    <t>سور مركز شباب كفر عزاز</t>
  </si>
  <si>
    <t>سور مركز شباب برسيق</t>
  </si>
  <si>
    <t>بدر صدقى محمود حماد</t>
  </si>
  <si>
    <t>سامى ماهر فؤاد احمد سلطح</t>
  </si>
  <si>
    <t>احمد وائل عبدالغفار</t>
  </si>
  <si>
    <t>سحالى</t>
  </si>
  <si>
    <t xml:space="preserve">محمد عادل عبدالحميد الشامى </t>
  </si>
  <si>
    <t>سور مركز شباب دير امس</t>
  </si>
  <si>
    <t>علاء  رجب احمد سليمان</t>
  </si>
  <si>
    <t>احمد شحاتة محمد سليمان</t>
  </si>
  <si>
    <t>محمد محمد مبروك سويف</t>
  </si>
  <si>
    <t>هيثم عبدالله عبدالمنعم السيد</t>
  </si>
  <si>
    <t>سور مركز شباب بطورس</t>
  </si>
  <si>
    <t xml:space="preserve">وليد ذكى عبدالرحيم الغرباوى </t>
  </si>
  <si>
    <t>محمود ربيع يوسف عمر</t>
  </si>
  <si>
    <t xml:space="preserve">محمد صبرى احمد ابراهيم </t>
  </si>
  <si>
    <t xml:space="preserve">مركز شباب السلام </t>
  </si>
  <si>
    <t>اعمال تكسير</t>
  </si>
  <si>
    <t>بلاط موزايكو</t>
  </si>
  <si>
    <t>مركز شباب كوم القناطر</t>
  </si>
  <si>
    <t>دكة عادية</t>
  </si>
  <si>
    <t>كريم عبداللطيف النوام</t>
  </si>
  <si>
    <t>جاد شعبان جاد الجوهرى</t>
  </si>
  <si>
    <t>فكرى عبدالعزيز على خطاب</t>
  </si>
  <si>
    <t>حسن يوسف احمد هدهد</t>
  </si>
  <si>
    <t>عزل</t>
  </si>
  <si>
    <t>مصطفى ايمن كمال عمر</t>
  </si>
  <si>
    <t>منصور عبدالشافى سعد</t>
  </si>
  <si>
    <t>بلاط رصيف</t>
  </si>
  <si>
    <t>اعمال سيراميك</t>
  </si>
  <si>
    <t>عبداللطيف هاشم عبالجليل عبداللطيف</t>
  </si>
  <si>
    <t>عبدالله ممدوح ابراهيم الكلاف</t>
  </si>
  <si>
    <t>سور وحدة صحة الصالحية</t>
  </si>
  <si>
    <t>يوميات ذاتى</t>
  </si>
  <si>
    <t>احمد محمد يوسف الفحل</t>
  </si>
  <si>
    <t>وليد عبدالهادى احمد محمد بدر</t>
  </si>
  <si>
    <t>محمود عبدالشافى سعد</t>
  </si>
  <si>
    <t>مصطفى محمد خليل عبدالمالك</t>
  </si>
  <si>
    <t>محمد حسنى السيد بدر</t>
  </si>
  <si>
    <t>السيد محمد محمود احمد زيد</t>
  </si>
  <si>
    <t>على محمد على عبده قدادة</t>
  </si>
  <si>
    <t>سعيد حميدة عبدالقوى حسن</t>
  </si>
  <si>
    <t>اشرف فوزى منصور</t>
  </si>
  <si>
    <t>حسن محمود عطا الله ابو السعود</t>
  </si>
  <si>
    <t>عماد السيد محمد</t>
  </si>
  <si>
    <t>وليد حداد مهدى محمد</t>
  </si>
  <si>
    <t>جمال سعيد ابراهيم الصعيدى</t>
  </si>
  <si>
    <t>حدادة مسلحة</t>
  </si>
  <si>
    <t xml:space="preserve">شريف بدر عامر الطنطاوى </t>
  </si>
  <si>
    <t>سعد الصافى الصافى  سليمان</t>
  </si>
  <si>
    <t>على احمد ابراهيم ابو النور</t>
  </si>
  <si>
    <t>موزع كهرباء طلمبات برسيق</t>
  </si>
  <si>
    <t>محمد الشحات محمد عبدالحفيظ فرج</t>
  </si>
  <si>
    <t>ردم</t>
  </si>
  <si>
    <t>مختار محمد محمد ابراهيم</t>
  </si>
  <si>
    <t>على محمد شحاتة</t>
  </si>
  <si>
    <t>مركز شباب النخلة البحرية</t>
  </si>
  <si>
    <t xml:space="preserve">مهنا السيد سعد احمد على  جلال </t>
  </si>
  <si>
    <t xml:space="preserve">مركز شباب الصالحية </t>
  </si>
  <si>
    <t xml:space="preserve">مركز شباب بسنتواى </t>
  </si>
  <si>
    <t>صالة انشطة بسنتواى</t>
  </si>
  <si>
    <t>هدم وازالة مخلفات</t>
  </si>
  <si>
    <t>محمد رجب جابر ابراهيم عبدالجواد</t>
  </si>
  <si>
    <t>سلامة ابراهيم سلامة ابراهيم</t>
  </si>
  <si>
    <t>محمود محمد حسن</t>
  </si>
  <si>
    <t>عبدالمنعم اسماعيل نغميش</t>
  </si>
  <si>
    <t>مركز شباب بسنتواى</t>
  </si>
  <si>
    <t xml:space="preserve">اشرف الشحات محمد حسن </t>
  </si>
  <si>
    <t>سلامة عبدالناصر ابراهيم</t>
  </si>
  <si>
    <t>خالد ابراهيم على زويل</t>
  </si>
  <si>
    <t>خالد صبرى عبدالرحمن محمد محجوب</t>
  </si>
  <si>
    <t>رمضان شعبان عبدالنبى</t>
  </si>
  <si>
    <t>فريد فوده عبدالمنعم بسيونى</t>
  </si>
  <si>
    <t xml:space="preserve">سور مركز شباب الجرادات </t>
  </si>
  <si>
    <t>سور مركز شباب قافلة</t>
  </si>
  <si>
    <t xml:space="preserve"> مركز شباب قافلة</t>
  </si>
  <si>
    <t>مركز شباب كوم صهيب</t>
  </si>
  <si>
    <t>سور م شباب سحالى</t>
  </si>
  <si>
    <t>رامى عبدالفضيل يوسف</t>
  </si>
  <si>
    <t>ناجى ابراهيم جمعة شعبان</t>
  </si>
  <si>
    <t>فراج جابر مسلم موسى</t>
  </si>
  <si>
    <t>على عبدالعزيز سيف</t>
  </si>
  <si>
    <t>سعد محمد سعد حسن</t>
  </si>
  <si>
    <t>جابر جاب الله معوض عبدالحميد</t>
  </si>
  <si>
    <t>ابراهيم محمد بسيونى</t>
  </si>
  <si>
    <t>شحاته محمد ابرهيم حجاج</t>
  </si>
  <si>
    <t>محمد صبحى محمد سعد</t>
  </si>
  <si>
    <t>نادر هانى غريب عبدالحميد غريب</t>
  </si>
  <si>
    <t>احمد مصطفى كامل الجالى</t>
  </si>
  <si>
    <t>سور مركز شباب بسنتواى</t>
  </si>
  <si>
    <t>مسعد محمد عبدالحليم محمد</t>
  </si>
  <si>
    <t>احمد محمد زكريا عبدالعزيز</t>
  </si>
  <si>
    <t>اعمال بردوره</t>
  </si>
  <si>
    <t>سور مركز شباب جواد حسنى</t>
  </si>
  <si>
    <t>مسعد محمد محجوب صقر</t>
  </si>
  <si>
    <t>محمد سالم عوض محمود</t>
  </si>
  <si>
    <t>محمود البدرى</t>
  </si>
  <si>
    <t>عمر صبحى ابراهيم عبدالجواد</t>
  </si>
  <si>
    <t>عبدالرحمن قطب حسين محمد</t>
  </si>
  <si>
    <t>ماهر خميس عبدالحميد</t>
  </si>
  <si>
    <t>مهنا ماهر اسماعيل عوض القاضى</t>
  </si>
  <si>
    <t>محمد حسين محمد ابراهيم</t>
  </si>
  <si>
    <t xml:space="preserve">اعمال سباكة </t>
  </si>
  <si>
    <t>بلال حسن عوض احمد</t>
  </si>
  <si>
    <t>محمد عبد المنعم مسعود شعيب</t>
  </si>
  <si>
    <t>مركز شباب بلقطر</t>
  </si>
  <si>
    <t>وليد عباس عبدالحليم غريب</t>
  </si>
  <si>
    <t>عمر محمد جمعة مهدى حماد</t>
  </si>
  <si>
    <t>معوض مسعود فايز</t>
  </si>
  <si>
    <t>جمعة فرج عبدالصمد غطيطة</t>
  </si>
  <si>
    <t>ابو الخير حمود ابراهيم عامر</t>
  </si>
  <si>
    <t>رمضان مندوه عبدالعزيز</t>
  </si>
  <si>
    <t>احمد السيد احمد اسماعيل</t>
  </si>
  <si>
    <t>عبدالله محمد عبدالسلام العبد</t>
  </si>
  <si>
    <t>تامر مصطفى سعد ابورامون</t>
  </si>
  <si>
    <t>بلاط مزايكو</t>
  </si>
  <si>
    <t>ابراهيم محمد شحات</t>
  </si>
  <si>
    <t>احمد محمد محمد حسنين</t>
  </si>
  <si>
    <t>احمد محمد عبدالعال عليان</t>
  </si>
  <si>
    <t>عزل فواصل التمدد</t>
  </si>
  <si>
    <t>رجب محمود عليان محمد</t>
  </si>
  <si>
    <t>عبدالله محمد عبدالله</t>
  </si>
  <si>
    <t>رشاد مسعد يونس محارب</t>
  </si>
  <si>
    <t>شعبان الشريف</t>
  </si>
  <si>
    <t>حفر</t>
  </si>
  <si>
    <t>مصطفى محمود بدران محمد</t>
  </si>
  <si>
    <t>اعمال كور</t>
  </si>
  <si>
    <t>اشرف صبحى اسماعيل الباشا</t>
  </si>
  <si>
    <t>تركيب يفط</t>
  </si>
  <si>
    <t>لحام</t>
  </si>
  <si>
    <t>كوبرى النوالين</t>
  </si>
  <si>
    <t>كوبرى حرة</t>
  </si>
  <si>
    <t>كوبرى جواد حسنى</t>
  </si>
  <si>
    <t>كوبرى القرداحى</t>
  </si>
  <si>
    <t xml:space="preserve">كوبرى النص </t>
  </si>
  <si>
    <t>كوبرى ابو زامل</t>
  </si>
  <si>
    <t>كريتال</t>
  </si>
  <si>
    <t>اسلام احمد اسماعيل</t>
  </si>
  <si>
    <t>عبدالعزيز فوزى شحاتة رمضان</t>
  </si>
  <si>
    <t>حمادة سعد الصافي عوض</t>
  </si>
  <si>
    <t>على رجب عبده النجار</t>
  </si>
  <si>
    <t>محمد عبدالقادر محمد الحميرى</t>
  </si>
  <si>
    <t>وحدة صحية الحناوى</t>
  </si>
  <si>
    <t>محمود محمد عبدالوهاب عجوة</t>
  </si>
  <si>
    <t>محمد محمود رمضان عبدالغنى</t>
  </si>
  <si>
    <t>محمد عبدالعليم محمد</t>
  </si>
  <si>
    <t>احمد عطية الحوفى</t>
  </si>
  <si>
    <t>عوض عبدالحميد محمود جبريل</t>
  </si>
  <si>
    <t>سليمان فرحات فرج</t>
  </si>
  <si>
    <t>عبدالمنعم جابر محمود</t>
  </si>
  <si>
    <t>حمادة جمال عبدالوهاب عبدالقادر</t>
  </si>
  <si>
    <t>عبداللطيف محمد عبد العزيز المدنى</t>
  </si>
  <si>
    <t>مايكا</t>
  </si>
  <si>
    <t>حازم جابر فريج</t>
  </si>
  <si>
    <t>مصطفى خليل مبروك يوسف العبد</t>
  </si>
  <si>
    <t>كريم عبدالمحسن محمد</t>
  </si>
  <si>
    <t xml:space="preserve">ابراهيم حسن محمد حسن </t>
  </si>
  <si>
    <t>ايجى تريد (احمد صالح )</t>
  </si>
  <si>
    <t xml:space="preserve">توريدات عزل </t>
  </si>
  <si>
    <t>ايهاب بدر</t>
  </si>
  <si>
    <t xml:space="preserve">سعيد جابر عبد الباسط </t>
  </si>
  <si>
    <t xml:space="preserve">اسامة شعبان محمد </t>
  </si>
  <si>
    <t xml:space="preserve">احمد صبرى احمد ابراهيم احمد </t>
  </si>
  <si>
    <t>محمد عبد المنعم مهنى كبكاب</t>
  </si>
  <si>
    <t>توريدات بلاطات جبسية</t>
  </si>
  <si>
    <t xml:space="preserve">احمد صلاح الدين الكومى </t>
  </si>
  <si>
    <t xml:space="preserve">الشركة المتحدة للمقاولات و التوريدات </t>
  </si>
  <si>
    <t xml:space="preserve">عوف شحاته على حسن </t>
  </si>
  <si>
    <t xml:space="preserve">محمد رمضان كمال عبادى </t>
  </si>
  <si>
    <t xml:space="preserve">رمضان حارس محمد سالم </t>
  </si>
  <si>
    <t>صبحى حارس محمد سالم</t>
  </si>
  <si>
    <t xml:space="preserve">مركز شباب النخلة القبلية </t>
  </si>
  <si>
    <t>عصام صبحى محمود طلبه</t>
  </si>
  <si>
    <t>احمد رجب محمد القروى</t>
  </si>
  <si>
    <t>فاير</t>
  </si>
  <si>
    <t>نجيلة للملاعب</t>
  </si>
  <si>
    <t>مصطفى عبده جمعه</t>
  </si>
  <si>
    <t>سعد على ابوزيد نعيم</t>
  </si>
  <si>
    <t>مجدى عرفة عبدالحميد</t>
  </si>
  <si>
    <t>ايهاب عبدالمجيد على علام</t>
  </si>
  <si>
    <t>احمد محمد احمد سلطان</t>
  </si>
  <si>
    <t>سور الوحده الصحية انور المفتى</t>
  </si>
  <si>
    <t>عمرو محمد السيد</t>
  </si>
  <si>
    <t>ايهاب عبدالعزيز ابراهيم عبدالوهاب</t>
  </si>
  <si>
    <t>برجوان للاستيراد والتصدير</t>
  </si>
  <si>
    <t>توريدات عامه</t>
  </si>
  <si>
    <t>رمضان عبدالرحيم حسين كيلانى</t>
  </si>
  <si>
    <t xml:space="preserve">شركة الاتحاد لنقل الحديد </t>
  </si>
  <si>
    <t>نقل حديد</t>
  </si>
  <si>
    <t>محمد محسن ابراهيم موسى</t>
  </si>
  <si>
    <t>توريد وتركيب رخام</t>
  </si>
  <si>
    <t xml:space="preserve">شركة عطايا </t>
  </si>
  <si>
    <t>سامح فخرى محمد على</t>
  </si>
  <si>
    <t>عوض معوض السد الشرقاوي</t>
  </si>
  <si>
    <t>حمادة رمضان سعد مهدي عطاالله</t>
  </si>
  <si>
    <t>سعيد انور محمد عبدالجليل</t>
  </si>
  <si>
    <t>عونى معوض السيد الشرقاوى</t>
  </si>
  <si>
    <t>كريم رجب سعد زيد</t>
  </si>
  <si>
    <t>احمد عبدالعزيز محمد اسماعيل عقارى(المبدعون)</t>
  </si>
  <si>
    <t>اللافتات</t>
  </si>
  <si>
    <t>كوبرى امام مقابر قافلة</t>
  </si>
  <si>
    <t xml:space="preserve">توريدات لافتات </t>
  </si>
  <si>
    <t xml:space="preserve">مشروع حياة كريمه </t>
  </si>
  <si>
    <t>سعيد مصطفى طه</t>
  </si>
  <si>
    <t>رمضان محمد عبده عبدالرحمن فايد</t>
  </si>
  <si>
    <t>نجارة وحدادة</t>
  </si>
  <si>
    <t xml:space="preserve">محمد حسن عبدالفضيل </t>
  </si>
  <si>
    <t>عماد ماهر حسن موسى</t>
  </si>
  <si>
    <t xml:space="preserve">اسلام عبداللطيف فرحات </t>
  </si>
  <si>
    <t>التضامن</t>
  </si>
  <si>
    <t>ابراهيم محمد علي شاهين</t>
  </si>
  <si>
    <t>عبده فتحى عبدالمنعم حسن</t>
  </si>
  <si>
    <t>عبدالنبى عبدالمطلب رضوان بدر</t>
  </si>
  <si>
    <t>محمد صبحي عبدالوهاب مسعود</t>
  </si>
  <si>
    <t>حسن حسين حامد حسن</t>
  </si>
  <si>
    <t>بلال سعيد عبداللطيف ابو دنيا</t>
  </si>
  <si>
    <t>محمد سعد مسعود المليجي</t>
  </si>
  <si>
    <t xml:space="preserve">صيانة كريتال </t>
  </si>
  <si>
    <t>محمد حامد عبدالغفار حامد</t>
  </si>
  <si>
    <t>محمد السيد عبدالرازق الحلاج</t>
  </si>
  <si>
    <t>احمد عيد دياب عندور السمان</t>
  </si>
  <si>
    <t>فرج احمد رجب محمد ابو احمد</t>
  </si>
  <si>
    <t>ربيع محمد سليمان السجينى</t>
  </si>
  <si>
    <t>محمد محمود حسن سحلول</t>
  </si>
  <si>
    <t>على الجبالى على عطية</t>
  </si>
  <si>
    <t>محطة خرسانة رشيد</t>
  </si>
  <si>
    <t>رمضان ابراهيم هاشم رجب</t>
  </si>
  <si>
    <t>سامى محمد محمود السيد</t>
  </si>
  <si>
    <t>عادل عبدالله ابو الريش</t>
  </si>
  <si>
    <t>احمد محمد السيد القلاوى</t>
  </si>
  <si>
    <t>د.فتحى عبدربه</t>
  </si>
  <si>
    <t>اعمال جسات</t>
  </si>
  <si>
    <t>رأفت شعبان شحاته فرج</t>
  </si>
  <si>
    <t>فراج احمد رجب محمد ابو احمد</t>
  </si>
  <si>
    <t>دسوقي السيد دسوقي</t>
  </si>
  <si>
    <t>اوستر(دهانات)</t>
  </si>
  <si>
    <t>عصام محمد عبدالمنعم شهبه</t>
  </si>
  <si>
    <t>لوحات كهرباء</t>
  </si>
  <si>
    <t>على شحاته محمود رحال</t>
  </si>
  <si>
    <t>اعمال بياض</t>
  </si>
  <si>
    <t>رجب احمد عبدالعزيز الفرماوى</t>
  </si>
  <si>
    <t>احمد سعيد عبد العال القزاز</t>
  </si>
  <si>
    <t>استيل سيتى (محمد عزت)</t>
  </si>
  <si>
    <t>احمد ابراهيم احمد عبداللاه</t>
  </si>
  <si>
    <t>اشرف بدر</t>
  </si>
  <si>
    <t>اشرف سالم على ابراهيم</t>
  </si>
  <si>
    <t>شركة اركو ارث (جورج مجدى)</t>
  </si>
  <si>
    <t>غرف الارث</t>
  </si>
  <si>
    <t>شركة اسكندر(محركات كهرباء)</t>
  </si>
  <si>
    <t xml:space="preserve">توريدات محركات كهرباء </t>
  </si>
  <si>
    <t>هيثم فوزى فتحى البرلسى</t>
  </si>
  <si>
    <t>ياسر رشدى جودة</t>
  </si>
  <si>
    <t>توريد بردورة</t>
  </si>
  <si>
    <t>هانى عبده على محمد</t>
  </si>
  <si>
    <t>بناء</t>
  </si>
  <si>
    <t>ايمن شوقى علوانى شحاته</t>
  </si>
  <si>
    <t>زجاج سيكوريت</t>
  </si>
  <si>
    <t>صبرى عبدالعزيز عبدالغنى عبدالعاطى</t>
  </si>
  <si>
    <t>عبدالفتاح احمد محمود عبدالباقى</t>
  </si>
  <si>
    <t>مس خرسانة هليكوبتر</t>
  </si>
  <si>
    <t>خميس عبدالغنى انور عبدالحميد</t>
  </si>
  <si>
    <t>السيد محمود سعيد عبدالحليم</t>
  </si>
  <si>
    <t>مهران مصطفى سعيد حسن</t>
  </si>
  <si>
    <t>الحسينى عبدالغنى حسن</t>
  </si>
  <si>
    <t>اسامة عبدالحليم محمد عيد</t>
  </si>
  <si>
    <t>الاجم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الى</t>
  </si>
  <si>
    <t>مبــــــــــــالغ محصـــلة من المقــــــــــاول لصـــــــــــــــــــــــــــــــــــــــــــــــــــــــــــــالح العهـــــــــــــدة</t>
  </si>
  <si>
    <t>توريد طوب اسمنتى مصمت</t>
  </si>
  <si>
    <t>وائل عبدالنبى ابراهيم - شركة جاما</t>
  </si>
  <si>
    <t>جارى</t>
  </si>
  <si>
    <t>توريد اسمنت ابيض وجبس</t>
  </si>
  <si>
    <t>فؤاد محمد مصطفى طلبة</t>
  </si>
  <si>
    <t>مشتريات - توريدات عامة</t>
  </si>
  <si>
    <t>خالد عبدالنبى محمود عبدالغنى</t>
  </si>
  <si>
    <t>محمود كمال الدجوى</t>
  </si>
  <si>
    <t>حافظ رمضان محمد</t>
  </si>
  <si>
    <t>عبداللطيف عبدالمنعم خليل</t>
  </si>
  <si>
    <t>مصنعيات كهرباء</t>
  </si>
  <si>
    <t>محمد فتحى محمد برعى</t>
  </si>
  <si>
    <t>وحدة صحة بانون</t>
  </si>
  <si>
    <t>وحدة صحة جواد حسنى</t>
  </si>
  <si>
    <t>احمد صابر محمد محمود</t>
  </si>
  <si>
    <t>دهانات</t>
  </si>
  <si>
    <t>شعبان جلال محمد ابو السيد</t>
  </si>
  <si>
    <t>وحدة صحة النميرى</t>
  </si>
  <si>
    <t>توريد وتركيب زجاج الشبابيك</t>
  </si>
  <si>
    <t>محى الدين عبدالعزيز عبدالسلام</t>
  </si>
  <si>
    <t>مصنعيات سيراميك</t>
  </si>
  <si>
    <t>توريدات دهانات</t>
  </si>
  <si>
    <t>احمد عبدالفتاح عيسى</t>
  </si>
  <si>
    <t>توريد انترلوك</t>
  </si>
  <si>
    <t>نبيل محروس محمد عبدالمعطى</t>
  </si>
  <si>
    <t>مركز بن الخطاب - وكيل شركة يوتن</t>
  </si>
  <si>
    <t>توريدات اجهزة صحية</t>
  </si>
  <si>
    <t>ميجات اليكتريك</t>
  </si>
  <si>
    <t>توريد ادوات كهرباء</t>
  </si>
  <si>
    <t>مصنعيات انترلوك</t>
  </si>
  <si>
    <t>باسم كمال ابراهيم قطب</t>
  </si>
  <si>
    <t>نقطة اسعاف سريع ابو حمص</t>
  </si>
  <si>
    <t>يحيى سلطان نصر الدين عبدالعال</t>
  </si>
  <si>
    <t>وحدة صحة برسيق</t>
  </si>
  <si>
    <t>توركان للبلاط المطاطى</t>
  </si>
  <si>
    <t>توريد بلاط مطاطى</t>
  </si>
  <si>
    <t>عزل فواصل السطح</t>
  </si>
  <si>
    <t>عبدالرازق عبدالعاطى عبدالرازق عبداللطيف</t>
  </si>
  <si>
    <t>توريد وتركيب HPL</t>
  </si>
  <si>
    <t>اسماعيل يوسف عبدالمجيد جبالى</t>
  </si>
  <si>
    <t>محمود احمد يوسف</t>
  </si>
  <si>
    <t>اعمال معالجة GRC</t>
  </si>
  <si>
    <t>رقم الجارى</t>
  </si>
  <si>
    <t>المبنى الإدارى</t>
  </si>
  <si>
    <t>رضا صلاح عبدالعزيز احمد</t>
  </si>
  <si>
    <t>سقالة خشبية للأسانسير</t>
  </si>
  <si>
    <t>مصطفى عبدالسلام مصطفى عبدالسلام</t>
  </si>
  <si>
    <t>مخزن بسنتواى (احمد عبدالغفار رمضان)</t>
  </si>
  <si>
    <t>مخزن جواد حسنى (هانى احمد محمد شلبى)</t>
  </si>
  <si>
    <t>محمود عمر جعفر</t>
  </si>
  <si>
    <t>دهان الكريتال</t>
  </si>
  <si>
    <t>شركة مودرن لايت للاستيراد والتصدير - احمد عباس</t>
  </si>
  <si>
    <t>توريدات مختلفة سباكة كهربا دهانات</t>
  </si>
  <si>
    <t>التوكيل للتجارة والتوزيع</t>
  </si>
  <si>
    <t>عهدة الموقع</t>
  </si>
  <si>
    <t>عهدة المحطة</t>
  </si>
  <si>
    <t>رجب عزام عبدالرحمن</t>
  </si>
  <si>
    <t>توريد وتركيب الشماسات الخشب</t>
  </si>
  <si>
    <t>توريد طوب طفلى</t>
  </si>
  <si>
    <t>مخزن بطورس ( على عبدالعزيز ابو غريب)</t>
  </si>
  <si>
    <t>مخزن كوم القناطر ( احمد نبيل عبدالسميع العمدة )</t>
  </si>
  <si>
    <t>المكتب الدولى للاستيراد</t>
  </si>
  <si>
    <t>توريدات سباكة</t>
  </si>
  <si>
    <t>شركة اونيماس</t>
  </si>
  <si>
    <t>توريدات حريق - فاير</t>
  </si>
  <si>
    <t>احمد فتحى رزق - دراى ميكس</t>
  </si>
  <si>
    <t>تلميع حجر سورناجا</t>
  </si>
  <si>
    <t>وائل علوانى محمد علوانى</t>
  </si>
  <si>
    <t>خالد عادل فكرى محمود</t>
  </si>
  <si>
    <t>مدحت مبروك سعد</t>
  </si>
  <si>
    <t>تركيب بلاط مطاطى</t>
  </si>
  <si>
    <t>محمد مصطفى عبداللطيف حامد</t>
  </si>
  <si>
    <t>جلاية</t>
  </si>
  <si>
    <t>حسنى خميس جمعة</t>
  </si>
  <si>
    <t>مصطفى محمد السيد</t>
  </si>
  <si>
    <t>وحدة صحة العشرة</t>
  </si>
  <si>
    <t>نقطة اسعاف انور المفتى</t>
  </si>
  <si>
    <t>سور وحدة صحة النميري</t>
  </si>
  <si>
    <t>توضيب حديد بالورشة</t>
  </si>
  <si>
    <t>محمد عبدالحليم عبدالرؤوف قنديل</t>
  </si>
  <si>
    <t>خليفة عيد محمد زكى</t>
  </si>
  <si>
    <t>جمعة منصور ابراهيم عبدالسلام</t>
  </si>
  <si>
    <t>منصور لطفى محمد حسنين</t>
  </si>
  <si>
    <t>نقطة اسعاف ابو هواش</t>
  </si>
  <si>
    <t>صلاح اسماعيل ابراهيم طه</t>
  </si>
  <si>
    <t>محطة معالجة الرزقة</t>
  </si>
  <si>
    <t>محطة معالجة الزرقة</t>
  </si>
  <si>
    <t>سعيد سيد حسن نصر</t>
  </si>
  <si>
    <t>صيانة محطة الخرسانة</t>
  </si>
  <si>
    <t>احمد محمد عبدالكريم محمد</t>
  </si>
  <si>
    <t>توريد طوب اسمنتى طفلى</t>
  </si>
  <si>
    <t>محمد السعيد احمد ابو خديجة</t>
  </si>
  <si>
    <t>توريد طوب اسمنتى</t>
  </si>
  <si>
    <t>وحدة صحة كوم القناطر</t>
  </si>
  <si>
    <t>.</t>
  </si>
  <si>
    <t>محمد ابراهيم محمد السيد</t>
  </si>
  <si>
    <t>محطة معالجة بطورس - قديمة</t>
  </si>
  <si>
    <t>شركة احمد شعبان لنقل الحديد</t>
  </si>
  <si>
    <t>مخزن بركة غطاس (احمد اسامة محمود ابو دينا)</t>
  </si>
  <si>
    <t>اسماعيل جبر كامل بهنسى</t>
  </si>
  <si>
    <t>الشركة المصرية الألمانية</t>
  </si>
  <si>
    <t>الشركة المصرية لمواد البناء الحديثة</t>
  </si>
  <si>
    <t>سعيد جمعة محمد ابراهيم</t>
  </si>
  <si>
    <t>احمد حسانين محمد ابراهيم عجيلة</t>
  </si>
  <si>
    <t>شركة اوسكار لصناعة البلاستيك</t>
  </si>
  <si>
    <t>الشركة العربية لصناعة مواد البناء الحديث - سافيتو</t>
  </si>
  <si>
    <t>مهدى خيرى عبدالمقصود</t>
  </si>
  <si>
    <t>محمد عبدالمقصود احمد سعد</t>
  </si>
  <si>
    <t>وحدة صحة كوم عزيزة</t>
  </si>
  <si>
    <t>سور وحدة صحة صفر الكبرى</t>
  </si>
  <si>
    <t>شعبان ناجى خميس</t>
  </si>
  <si>
    <t>هاشم عبدالجيد عبداللطيف</t>
  </si>
  <si>
    <t>خالد مصطفى كامل محمد الجالى</t>
  </si>
  <si>
    <t>محمود اسماعيل محمود المصرى</t>
  </si>
  <si>
    <t>رامى ابراهيم احمد ابراهيم</t>
  </si>
  <si>
    <t>سور وحدة صحة الغابة</t>
  </si>
  <si>
    <t>احمد محمود محمد عطالله</t>
  </si>
  <si>
    <t>توريد وتركيب كوبستات الومنيوم</t>
  </si>
  <si>
    <t>سيد احمد سيد عبدالسلام</t>
  </si>
  <si>
    <t>مصنعيات بلاط موزايكو</t>
  </si>
  <si>
    <t>كمال البراوى - شركة الوطنية</t>
  </si>
  <si>
    <t>اعمال لزوم الرى المطور وخط الصرف</t>
  </si>
  <si>
    <t>نبيل فتحى عبدالقادر العطار</t>
  </si>
  <si>
    <t>سور وحدة صحة برسيق</t>
  </si>
  <si>
    <t>رزق دسوقى محمد الشناوى</t>
  </si>
  <si>
    <t>عبدالهادى فتحى عبدالهادى صالح</t>
  </si>
  <si>
    <t>شركة كابيتال اليكتريك</t>
  </si>
  <si>
    <t>الشركة الوطنية لعموم التوريدات</t>
  </si>
  <si>
    <t>توريدات متنوعة - دهانات</t>
  </si>
  <si>
    <t>مخزن</t>
  </si>
  <si>
    <t>محمد عيسى صابر</t>
  </si>
  <si>
    <t>محطة خرسانة ابو حمص</t>
  </si>
  <si>
    <t>سور محطة خرسانة ابو حمص</t>
  </si>
  <si>
    <t>مجمع الكرنك الصناعى</t>
  </si>
  <si>
    <t>مركز طبى مصغر بسنتواى</t>
  </si>
  <si>
    <t>توريد اسمنت و جبس</t>
  </si>
  <si>
    <t>هانى محروس محمد عبدالمعطى</t>
  </si>
  <si>
    <t>وحدة صحة سحالى</t>
  </si>
  <si>
    <t>محمد صبحى عيد على</t>
  </si>
  <si>
    <t>توريد وتركيب مرايات للحمامات</t>
  </si>
  <si>
    <t>جمال محمود محمد بدر</t>
  </si>
  <si>
    <t>توريد وتركيب زخرفة ايات قرأنية</t>
  </si>
  <si>
    <t>ابراهيم محمد ابو ضلع</t>
  </si>
  <si>
    <t>سعيد جميل حسن خليل طلبة</t>
  </si>
  <si>
    <t>فتحى عبدالعزيز</t>
  </si>
  <si>
    <t>اعمال ترابية</t>
  </si>
  <si>
    <t>عمارة 131</t>
  </si>
  <si>
    <t>شركة بيلتك</t>
  </si>
  <si>
    <t>اعمال جسات التربة</t>
  </si>
  <si>
    <t>عمارة 132</t>
  </si>
  <si>
    <t>عمالة</t>
  </si>
  <si>
    <t>97-90%</t>
  </si>
  <si>
    <t>75-90%</t>
  </si>
  <si>
    <t>بلال السيد احمد فرج</t>
  </si>
  <si>
    <t>جاب الله عبدالعزيز جاب الله سرور</t>
  </si>
  <si>
    <t>توريد سن ورمل</t>
  </si>
  <si>
    <t>80-90%</t>
  </si>
  <si>
    <t>موزع كهرباء الجرادات</t>
  </si>
  <si>
    <t>رمضان عبدالجواد رمضان سالم</t>
  </si>
  <si>
    <t>70-90%</t>
  </si>
  <si>
    <t>محمد عبدالله على فرج دغيدى</t>
  </si>
  <si>
    <t>محمد عبدالعال عبدالتواب قوطة</t>
  </si>
  <si>
    <t>90-95%</t>
  </si>
  <si>
    <t>96-97%</t>
  </si>
  <si>
    <t>سور وحدة صحة بسنتواى</t>
  </si>
  <si>
    <t>سور وحدة صحة جواد حسنى</t>
  </si>
  <si>
    <t>وحدة صحة بسنتواى</t>
  </si>
  <si>
    <t>برسوم حلمى صبحى عازر جرجس</t>
  </si>
  <si>
    <t>عبده سلامة عبدالغنى حجاج</t>
  </si>
  <si>
    <t>85-90%</t>
  </si>
  <si>
    <t>عوض محمد عوض الجمال</t>
  </si>
  <si>
    <t>المتبقى</t>
  </si>
  <si>
    <t>محمد حمدى طايل</t>
  </si>
  <si>
    <t>شراء ونقل وتحميل ناتج هدم</t>
  </si>
  <si>
    <t>النسبة</t>
  </si>
  <si>
    <t>93-95%</t>
  </si>
  <si>
    <t>65-90%</t>
  </si>
  <si>
    <t>60-55-83%</t>
  </si>
  <si>
    <t>10-30-83%</t>
  </si>
  <si>
    <t>30-55-83%</t>
  </si>
  <si>
    <t>55-60-83%</t>
  </si>
  <si>
    <t>30-55-75%</t>
  </si>
  <si>
    <t>81-83%</t>
  </si>
  <si>
    <t>80-88%</t>
  </si>
  <si>
    <t>73-80%</t>
  </si>
  <si>
    <t>هيثم يحيى خليل</t>
  </si>
  <si>
    <t>83-85-95%</t>
  </si>
  <si>
    <t>88-90%</t>
  </si>
  <si>
    <t>تامر عبدالمنعم محمد المهدى</t>
  </si>
  <si>
    <t>توريد وتركيب نجف</t>
  </si>
  <si>
    <t>أعمال مباني اسانسير</t>
  </si>
  <si>
    <t>نسبة</t>
  </si>
  <si>
    <t>شركة الغرابلى للاعمال الهندسية المتكاملة</t>
  </si>
  <si>
    <t>محمد عبدالله محمد</t>
  </si>
  <si>
    <t>كسارة الناغى</t>
  </si>
  <si>
    <t>معدات</t>
  </si>
  <si>
    <t>574-638-019</t>
  </si>
  <si>
    <t>ايجار مضخة خرسانة جاهزة</t>
  </si>
  <si>
    <t>احمد محمد عبدالعال</t>
  </si>
  <si>
    <t>محمد عبدالحفيظ حسن عبدالله</t>
  </si>
  <si>
    <t>رامتان للتنمية العقارية</t>
  </si>
  <si>
    <t>اعمال مسح رادارى للتربة</t>
  </si>
  <si>
    <t>سور وحده صحة الغابة</t>
  </si>
  <si>
    <t>محمد سعد عثمان حسن جبريل</t>
  </si>
  <si>
    <t>على يحيى زكى محمد</t>
  </si>
  <si>
    <t>محمد خميس عبدالهادى محمد</t>
  </si>
  <si>
    <t>فارس عبدالمحسن سعد محمد</t>
  </si>
  <si>
    <t>عبدالحميد عبدالكريم عبدالله محمد</t>
  </si>
  <si>
    <t>عبدالمولى جمعة ابراهيم عبدالمولى</t>
  </si>
  <si>
    <t>جبس بورد</t>
  </si>
  <si>
    <t>سور وحدة صحة سحالى</t>
  </si>
  <si>
    <t>50-90%</t>
  </si>
  <si>
    <t>احمد محمد فهيم ابراهيم</t>
  </si>
  <si>
    <t>اعمال سباكة</t>
  </si>
  <si>
    <t>احمد محمود جمعة عبدالحميد</t>
  </si>
  <si>
    <t>40-90%</t>
  </si>
  <si>
    <t>عبدالستار حمدى عبدالستار</t>
  </si>
  <si>
    <t>وليد حسن خيرالله زغبى</t>
  </si>
  <si>
    <t>مشتريات</t>
  </si>
  <si>
    <t>574-638-026</t>
  </si>
  <si>
    <t>منصور محمود ابراهيم خطاب</t>
  </si>
  <si>
    <t>مصطفى عبدالعال محمد عبدالعال</t>
  </si>
  <si>
    <t>تركيب شفاطات</t>
  </si>
  <si>
    <t>عيد سعيد محمد هوارى</t>
  </si>
  <si>
    <t>اعمال حفر</t>
  </si>
  <si>
    <t>عبداللطيف عبدالمنعم خليل (توريدات عامة -ذاتى)</t>
  </si>
  <si>
    <t>طارق محمد عوض</t>
  </si>
  <si>
    <t>شركة بطيئة للتجارة</t>
  </si>
  <si>
    <t>توركان</t>
  </si>
  <si>
    <t>توريدات بلاط مطاطى</t>
  </si>
  <si>
    <t>75 ~ 90%</t>
  </si>
  <si>
    <t>63-100%</t>
  </si>
  <si>
    <t xml:space="preserve">بلوك 7 </t>
  </si>
  <si>
    <t xml:space="preserve">بلوك 6 </t>
  </si>
  <si>
    <t>خصومات الحالى</t>
  </si>
  <si>
    <t>الخصومات السابقة</t>
  </si>
  <si>
    <t xml:space="preserve">اجمالى الخصومات </t>
  </si>
  <si>
    <t>شركه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مشـــــــــــــــــــــــــــــروع بشاير الخير 4 - رشيد 2022</t>
  </si>
  <si>
    <t>الاجماليات</t>
  </si>
  <si>
    <t>اجمالى الخصومات</t>
  </si>
  <si>
    <t xml:space="preserve">اجمالى </t>
  </si>
  <si>
    <t>تامر السيد السعيد</t>
  </si>
  <si>
    <t>ايجار سيارات خرسانة جاهزة</t>
  </si>
  <si>
    <t>الاجمالى</t>
  </si>
  <si>
    <t>خصم حالى</t>
  </si>
  <si>
    <t>خصم سابق</t>
  </si>
  <si>
    <t>شركه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مشروع بورتو جـــــــــــــــــــــــــولف مــــــــــــارينا -العلمين</t>
  </si>
  <si>
    <t>سامى محمد محمود السيد ابو رفاعى</t>
  </si>
  <si>
    <t>توريد عزل</t>
  </si>
  <si>
    <t xml:space="preserve">عمالة </t>
  </si>
  <si>
    <t>سعد جاد الكريم سعد الدين علون</t>
  </si>
  <si>
    <t>مبانى</t>
  </si>
  <si>
    <t>عبدالعاطى عيسى عبد النبى</t>
  </si>
  <si>
    <t>مصطفى شعبان ابراهيم شاهين</t>
  </si>
  <si>
    <t>سيارة الكتيبة</t>
  </si>
  <si>
    <t>يسرى منير فتحى احمد عاشور</t>
  </si>
  <si>
    <t>صابر فرج حسانين بسيونى</t>
  </si>
  <si>
    <t>عماد ربيع فرج دومه</t>
  </si>
  <si>
    <t>سور وحدة صحة بانون</t>
  </si>
  <si>
    <t>90-50%</t>
  </si>
  <si>
    <t>سور وحدة صحة العشرة</t>
  </si>
  <si>
    <t>60-90%</t>
  </si>
  <si>
    <t>توريد وتركيب قرميد</t>
  </si>
  <si>
    <t>66-20%</t>
  </si>
  <si>
    <t>90-93%</t>
  </si>
  <si>
    <t>الاقصى للتوريدات العامة والمقاولات</t>
  </si>
  <si>
    <t>توريد خرسانة جاهزة</t>
  </si>
  <si>
    <t>محطة الخرسانة الجاهزة</t>
  </si>
  <si>
    <t>رجب محمد على محمد</t>
  </si>
  <si>
    <t xml:space="preserve">احمد وحيد محمد سيد احمد </t>
  </si>
  <si>
    <t>اعمال تكيف</t>
  </si>
  <si>
    <t>على محروس كامل احمد</t>
  </si>
  <si>
    <t>الخصم السابق</t>
  </si>
  <si>
    <t>الخصم الحالى</t>
  </si>
  <si>
    <t>الخصم الحالى المتبقى من العهدة</t>
  </si>
  <si>
    <t>ارض المزرعة</t>
  </si>
  <si>
    <t>stc للخرسانة الجاهزة</t>
  </si>
  <si>
    <t>مكتب العميد للاستشارات الهندسية - د/ محمد رجب</t>
  </si>
  <si>
    <t>اختبارات التربة</t>
  </si>
  <si>
    <t>89-90-95%</t>
  </si>
  <si>
    <t>توريد خرسانة جاهزة (من )</t>
  </si>
  <si>
    <t>غفرة خرسانة جاهزة</t>
  </si>
  <si>
    <t>ياسر عبد الجواد</t>
  </si>
  <si>
    <t>ليسيكو للتجارة وتوزيع السيراميك</t>
  </si>
  <si>
    <t>توريدات سيراميك</t>
  </si>
  <si>
    <t>شركة اون تيك</t>
  </si>
  <si>
    <t>اشرف احمد محمود مهران</t>
  </si>
  <si>
    <t>عوض محمد عوض الحمراوى</t>
  </si>
  <si>
    <t>فتح الله محمد احمد السعودى</t>
  </si>
  <si>
    <t>فك تجبيس رخام</t>
  </si>
  <si>
    <t>توريد طوب حرارى</t>
  </si>
  <si>
    <t>اسماعيل جمعة احمد اسماعيل الديب</t>
  </si>
  <si>
    <t>سيراميك</t>
  </si>
  <si>
    <t>عماد عطيه محمد حميده محسن</t>
  </si>
  <si>
    <t>توفيق سرحان فواد محمد سرحان</t>
  </si>
  <si>
    <t>محمد جارح محمد حميدة تعيلب</t>
  </si>
  <si>
    <t>السيد رابح السيد عبد الله</t>
  </si>
  <si>
    <t>محطة معالجة الصرف -مبنى الورشة</t>
  </si>
  <si>
    <t>المبانى</t>
  </si>
  <si>
    <t>مبنى الامن</t>
  </si>
  <si>
    <t>المبنى الادارى</t>
  </si>
  <si>
    <t>سور</t>
  </si>
  <si>
    <t>خضر الحسينى عبد العزيز شاهين</t>
  </si>
  <si>
    <t>احمد فرج على عثمان</t>
  </si>
  <si>
    <t>الالوميتال</t>
  </si>
  <si>
    <t>سور وحدة صحة كوم عزيزة</t>
  </si>
  <si>
    <t>محمود فايز يونس على</t>
  </si>
  <si>
    <t>محمد نعيم محجوب محمد عبدالمحسن</t>
  </si>
  <si>
    <t>محمد فتحى محمد حسن</t>
  </si>
  <si>
    <t xml:space="preserve">شريف ممدوح انصارى </t>
  </si>
  <si>
    <t>توريد وتركيب الابواب الخشبية</t>
  </si>
  <si>
    <t>95-90%</t>
  </si>
  <si>
    <t>سور مركز شباب سحالى 2</t>
  </si>
  <si>
    <t>شركة ايه سى اس بلس</t>
  </si>
  <si>
    <t>توريدات ادوات كهرباء</t>
  </si>
  <si>
    <t>توريدات</t>
  </si>
  <si>
    <t>عبدالله صبحى نصر عوض عبد السلام</t>
  </si>
  <si>
    <t>توريدات ادوات سباكة</t>
  </si>
  <si>
    <t>الكافتريا</t>
  </si>
  <si>
    <t>مبنى الادارى</t>
  </si>
  <si>
    <t xml:space="preserve">مبنى شعبة العمليات </t>
  </si>
  <si>
    <t>35-30-83%</t>
  </si>
  <si>
    <t>أعمال دهان  كريتال</t>
  </si>
  <si>
    <t>100-90%</t>
  </si>
  <si>
    <t xml:space="preserve">محطة خرسانة رشيد </t>
  </si>
  <si>
    <t>محطة معالجة بسنتواى</t>
  </si>
  <si>
    <t>توريدات بلاط مزايكو</t>
  </si>
  <si>
    <t>محمد حسن مبروك صفار  (بدل التفريد)</t>
  </si>
  <si>
    <t>a32</t>
  </si>
  <si>
    <t>توريد جرافياتو</t>
  </si>
  <si>
    <t>طوب حرارى وكسوه</t>
  </si>
  <si>
    <t>محمود السيد عبد المقصود عبدالباقى</t>
  </si>
  <si>
    <t>توريد وتركيب المصاعد</t>
  </si>
  <si>
    <t>ناجى عزت ابراهيم ابوسعده</t>
  </si>
  <si>
    <t>95-92%</t>
  </si>
  <si>
    <t>احمد محمد حمدي عبد الواحد عباس</t>
  </si>
  <si>
    <t>اعمال توريدات ادوات كهرباء</t>
  </si>
  <si>
    <t>عهدة المشروع</t>
  </si>
  <si>
    <t xml:space="preserve">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مشروع ترعة الحمام </t>
  </si>
  <si>
    <t>عمرو جمعة حسن بدوى</t>
  </si>
  <si>
    <t>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مشروع المنطقة الشمالية</t>
  </si>
  <si>
    <t>عمليات +مدفعية دفاع جوى</t>
  </si>
  <si>
    <t>مركبات + حرس حدود</t>
  </si>
  <si>
    <t>شعبة هندسية</t>
  </si>
  <si>
    <t>ذاتى</t>
  </si>
  <si>
    <t>محمد احمد محمد الناغى</t>
  </si>
  <si>
    <t>قيادة المنطقة الشمالية</t>
  </si>
  <si>
    <t>على الجبالى</t>
  </si>
  <si>
    <t>اعمال انشاء ملعب متعدد</t>
  </si>
  <si>
    <t>احمد القروى</t>
  </si>
  <si>
    <t xml:space="preserve">وحدة صحة سحالى </t>
  </si>
  <si>
    <t>مجدى ايمن محمد الفرنوانى</t>
  </si>
  <si>
    <t>تقفيل مبانى الاسانسير</t>
  </si>
  <si>
    <t>تقفيل مبانى اسانسير</t>
  </si>
  <si>
    <t>93.5-93%</t>
  </si>
  <si>
    <t>100-98%</t>
  </si>
  <si>
    <t>92-94%</t>
  </si>
  <si>
    <t>72-90%</t>
  </si>
  <si>
    <t>97-95%</t>
  </si>
  <si>
    <t>75-20%</t>
  </si>
  <si>
    <t>90-70-75%</t>
  </si>
  <si>
    <t>100-96%</t>
  </si>
  <si>
    <t>60-70%</t>
  </si>
  <si>
    <t>وحدة صحة العشرة+سور</t>
  </si>
  <si>
    <t>كريم احمد محمد احمد سلطان</t>
  </si>
  <si>
    <t>شكرى محروس عطية</t>
  </si>
  <si>
    <t>شعبة تدريب</t>
  </si>
  <si>
    <t>اسلحة وذخيرة</t>
  </si>
  <si>
    <t xml:space="preserve">محطة معالجة بسنتواى </t>
  </si>
  <si>
    <t>25-5%</t>
  </si>
  <si>
    <t>توريد كريتال</t>
  </si>
  <si>
    <t xml:space="preserve">سامح خيشة رجب </t>
  </si>
  <si>
    <t>توريدات زيوت حفارات</t>
  </si>
  <si>
    <t>عاطف محمود عبدالمجيد</t>
  </si>
  <si>
    <t>خرسانة مسلحة</t>
  </si>
  <si>
    <t>سور المقر الادارى المقابل للمحطة</t>
  </si>
  <si>
    <t>محمد شلبى</t>
  </si>
  <si>
    <t>توريدات مواد بناء</t>
  </si>
  <si>
    <t>رجب السعيد عبدالمجيد</t>
  </si>
  <si>
    <t>سيارة خدمة موقع</t>
  </si>
  <si>
    <t>عيد سعيد محمد</t>
  </si>
  <si>
    <t>توريدات متنوعة</t>
  </si>
  <si>
    <t>95-90-90%</t>
  </si>
  <si>
    <t>95-90-80%</t>
  </si>
  <si>
    <t>100-40-27%</t>
  </si>
  <si>
    <t>توريدات انترلوك</t>
  </si>
  <si>
    <t xml:space="preserve">المنطقة الشمالية </t>
  </si>
  <si>
    <t>حواش لتجارة السيراميك</t>
  </si>
  <si>
    <t>توريدات السيراميك</t>
  </si>
  <si>
    <t>شركه الناغي للمقاولات العموميه والتوريدات</t>
  </si>
  <si>
    <t>ا</t>
  </si>
  <si>
    <t>احمد عاشور احمد محمد سليمان</t>
  </si>
  <si>
    <t>شعبة العمليات</t>
  </si>
  <si>
    <t>عصام اشرف احمد سعد</t>
  </si>
  <si>
    <t>الشركة المصرية لتوزيع الادوات الصحية - شركة العربى قديما</t>
  </si>
  <si>
    <t>صالح محمد عبدالله محمد</t>
  </si>
  <si>
    <t>شركة اليكترو للصناعات الكهربائية والتوريدات</t>
  </si>
  <si>
    <t>توريدات ادوات الكهرباء</t>
  </si>
  <si>
    <t>على محمد مرسى</t>
  </si>
  <si>
    <t>توريد خشب بلايود</t>
  </si>
  <si>
    <t>90-85%</t>
  </si>
  <si>
    <t>تركيب فيوتك</t>
  </si>
  <si>
    <t>التضامن الاجتماعى</t>
  </si>
  <si>
    <t>97-96-95%</t>
  </si>
  <si>
    <t>100-95%</t>
  </si>
  <si>
    <t>توريد ابازيليون</t>
  </si>
  <si>
    <t>الزناتى خليفة</t>
  </si>
  <si>
    <t>شعبة عمليات</t>
  </si>
  <si>
    <t>توريد وتركيب مايكا</t>
  </si>
  <si>
    <t>حسين يسرى احمد يوسف</t>
  </si>
  <si>
    <t>توريد وتركيب دواليب كريتال</t>
  </si>
  <si>
    <t>الفرع المالى</t>
  </si>
  <si>
    <t>نجارة خشبية</t>
  </si>
  <si>
    <t>المركبات</t>
  </si>
  <si>
    <t>عبدالله عبدالغنى السيد زيدان</t>
  </si>
  <si>
    <t>توريد مواسير خرسانية</t>
  </si>
  <si>
    <t>توريدوتركيب ماكينة وقود</t>
  </si>
  <si>
    <t>حفارت الشركة</t>
  </si>
  <si>
    <t>34.5-45-30%</t>
  </si>
  <si>
    <t>90-80%</t>
  </si>
  <si>
    <t>95-90-65%</t>
  </si>
  <si>
    <t>90-88-95%</t>
  </si>
  <si>
    <t>الناغى -مخازن عمومية وخدمات</t>
  </si>
  <si>
    <t>م/احمد خليفة عبدالحميد محمد</t>
  </si>
  <si>
    <t>الاخوة العرب</t>
  </si>
  <si>
    <t>الناغى -محطة الرزقا</t>
  </si>
  <si>
    <t>الناغى -محطة بسنتواى</t>
  </si>
  <si>
    <t>100-92%</t>
  </si>
  <si>
    <t>92-98%</t>
  </si>
  <si>
    <t>سور مبنى التضامن الاجتماعى</t>
  </si>
  <si>
    <t>مكتب القدس للتجارة والتوريدات</t>
  </si>
  <si>
    <t>علام عبد الحميد محمد</t>
  </si>
  <si>
    <t>فيصل السيد عطية الدجلة</t>
  </si>
  <si>
    <t>علاء معوض محمد السيد</t>
  </si>
  <si>
    <t>اعمال دهان مادة لشخشيخة السلم</t>
  </si>
  <si>
    <t>شعبة مركبات</t>
  </si>
  <si>
    <t>كريم عبد المحسن</t>
  </si>
  <si>
    <t>الشعبة الهندسية</t>
  </si>
  <si>
    <t>معروف للسقالات والمقاولات</t>
  </si>
  <si>
    <t xml:space="preserve">سقالات معدنية </t>
  </si>
  <si>
    <t>توريد زجاج</t>
  </si>
  <si>
    <t xml:space="preserve">محمد حسن صفار </t>
  </si>
  <si>
    <t>توريدات بلاط موزايكو</t>
  </si>
  <si>
    <t>الحسابات لم يدخل</t>
  </si>
  <si>
    <t>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مشروع مقر الشركة الجديد-الاسكندرية</t>
  </si>
  <si>
    <t>حسام محمد السيد حامد</t>
  </si>
  <si>
    <t>اسلام محمد حسن ابراهيم</t>
  </si>
  <si>
    <t>اعمال السيكوريت</t>
  </si>
  <si>
    <t xml:space="preserve"> اعمال التكيف</t>
  </si>
  <si>
    <t xml:space="preserve"> اعمال الكيرتين وال</t>
  </si>
  <si>
    <t>محمد صبحى</t>
  </si>
  <si>
    <t>اعمال المبانى</t>
  </si>
  <si>
    <t>المصروف من الشركة</t>
  </si>
  <si>
    <t>عامر سعد اسماعيل</t>
  </si>
  <si>
    <t>علاء جابر عبد الوهاب</t>
  </si>
  <si>
    <t>سباكة</t>
  </si>
  <si>
    <t>كهرباء</t>
  </si>
  <si>
    <t>محمد سعد مسعود</t>
  </si>
  <si>
    <t>مصطفى احمد شحاته</t>
  </si>
  <si>
    <t xml:space="preserve">ايجار سقالات </t>
  </si>
  <si>
    <t>محمد على محمد</t>
  </si>
  <si>
    <t>رزق دسوقى محمد</t>
  </si>
  <si>
    <t>سيراميك و موزايكو</t>
  </si>
  <si>
    <t>اعمال الكلادينج</t>
  </si>
  <si>
    <t xml:space="preserve">على حسن محمد </t>
  </si>
  <si>
    <t>فيوتك</t>
  </si>
  <si>
    <t>ابراهيم سعيد رجب</t>
  </si>
  <si>
    <t>جبسمبورد</t>
  </si>
  <si>
    <t>وائل سليم احمد خلف</t>
  </si>
  <si>
    <t>شفاطات + صاج</t>
  </si>
  <si>
    <t>محمد السيد محمد سليمان عبد الكريم النجار</t>
  </si>
  <si>
    <t>شركة HCC</t>
  </si>
  <si>
    <t>توريدات اضافات للخرسانة الجاهزة</t>
  </si>
  <si>
    <t>شركة سينا ستارز للصناعة والتجارة</t>
  </si>
  <si>
    <t>90-60%</t>
  </si>
  <si>
    <t>شركة مكة الدولية لاستيراد وتجارة المعدات</t>
  </si>
  <si>
    <t>توريدات معدات حدادة</t>
  </si>
  <si>
    <t>حسام السيد عبدالهادى حسن</t>
  </si>
  <si>
    <t xml:space="preserve">توريدات وتر ستوب </t>
  </si>
  <si>
    <t>95-100%</t>
  </si>
  <si>
    <t>طارق صلاح رمضان</t>
  </si>
  <si>
    <t>شعبة اسلحة وذخيرة</t>
  </si>
  <si>
    <t>سور وحدة الغابة</t>
  </si>
  <si>
    <t>عبده غزال طاهر السعدى</t>
  </si>
  <si>
    <t>توريد وتركيب صاج</t>
  </si>
  <si>
    <t>93-94%</t>
  </si>
  <si>
    <t>عبدالله محمود على ابراهيم</t>
  </si>
  <si>
    <t>100-98.5%</t>
  </si>
  <si>
    <t>99-97%</t>
  </si>
  <si>
    <t>97-100%</t>
  </si>
  <si>
    <t>95-97%</t>
  </si>
  <si>
    <t>95-96%</t>
  </si>
  <si>
    <t>سورنجا</t>
  </si>
  <si>
    <t>كفر عبده</t>
  </si>
  <si>
    <t>اسلام عبدالمنعم احمد عبد المنعم</t>
  </si>
  <si>
    <t>الحدادة المسلحة</t>
  </si>
  <si>
    <t>قطاع العامرية العسكرى</t>
  </si>
  <si>
    <t>زراعات شارع المشير</t>
  </si>
  <si>
    <t>574-638-027</t>
  </si>
  <si>
    <t>سور وحدة صحة بلقطر الغربية</t>
  </si>
  <si>
    <t>توريد استيل كريت - بلاط ارصفة</t>
  </si>
  <si>
    <t>ربيع مرسى عبدالحليم</t>
  </si>
  <si>
    <t>تركيب بلاط الرصيف</t>
  </si>
  <si>
    <t>تركيب انترلوك</t>
  </si>
  <si>
    <t>هاندريل ستانلس</t>
  </si>
  <si>
    <t>توريدات سباكة وكهرباء ونقاشة</t>
  </si>
  <si>
    <t>مستخلص عام لسائقى السيارات</t>
  </si>
  <si>
    <t>سيارات تنقلات</t>
  </si>
  <si>
    <t>لافتات</t>
  </si>
  <si>
    <t xml:space="preserve">اجمالى المصروف </t>
  </si>
  <si>
    <t>المصروف من الموقع</t>
  </si>
  <si>
    <t>المتبقى للصرف</t>
  </si>
  <si>
    <t>يحيى سلطان</t>
  </si>
  <si>
    <t>HPL</t>
  </si>
  <si>
    <t>سامح محمد عبدالستار</t>
  </si>
  <si>
    <t>90-95-96%</t>
  </si>
  <si>
    <t>91-95%</t>
  </si>
  <si>
    <t>93.2-93.5%</t>
  </si>
  <si>
    <t>90-97.7-100%</t>
  </si>
  <si>
    <t>95-96.3%</t>
  </si>
  <si>
    <t>90-96-97%</t>
  </si>
  <si>
    <t>97.1-100%</t>
  </si>
  <si>
    <t>90-95.5-100%</t>
  </si>
  <si>
    <t>90-97-98-99%</t>
  </si>
  <si>
    <t>9.4-95-100%</t>
  </si>
  <si>
    <t>90-98%</t>
  </si>
  <si>
    <t>90-96-96.5%</t>
  </si>
  <si>
    <t>90-94.1-95%</t>
  </si>
  <si>
    <t>90-95-96-97-100%</t>
  </si>
  <si>
    <t>95-99%</t>
  </si>
  <si>
    <t>90-94-95%</t>
  </si>
  <si>
    <t>95-95.3%</t>
  </si>
  <si>
    <t>94.4-95%</t>
  </si>
  <si>
    <t>50-75%</t>
  </si>
  <si>
    <t>60-85-90%</t>
  </si>
  <si>
    <t>60-70-90%</t>
  </si>
  <si>
    <t>55-85-90%</t>
  </si>
  <si>
    <t>60-70-95.3%</t>
  </si>
  <si>
    <t>سعد السعيد على حجازى</t>
  </si>
  <si>
    <t>60-70-83.7%</t>
  </si>
  <si>
    <t>20-30-40%</t>
  </si>
  <si>
    <t>48-55-60%</t>
  </si>
  <si>
    <t>70-85-90%</t>
  </si>
  <si>
    <t>20-60-83%</t>
  </si>
  <si>
    <t>90-92.5%</t>
  </si>
  <si>
    <t>84.5-85-85.5%</t>
  </si>
  <si>
    <t>30.5-56.1-88.2%</t>
  </si>
  <si>
    <t>25-45%</t>
  </si>
  <si>
    <t>90-75%</t>
  </si>
  <si>
    <t>30-85%</t>
  </si>
  <si>
    <t>95-95.3-96%</t>
  </si>
  <si>
    <t>91-91.2%</t>
  </si>
  <si>
    <t>95-89-90%</t>
  </si>
  <si>
    <t>95-87-90%</t>
  </si>
  <si>
    <t>95-84-85-85%</t>
  </si>
  <si>
    <t>95-84-85%</t>
  </si>
  <si>
    <t>91.2-91%</t>
  </si>
  <si>
    <t>92-90%</t>
  </si>
  <si>
    <t>93-90%</t>
  </si>
  <si>
    <t>99.6-99%</t>
  </si>
  <si>
    <t>99-98%</t>
  </si>
  <si>
    <t>98.8-98.9%</t>
  </si>
  <si>
    <t>93-92%</t>
  </si>
  <si>
    <t>87-85%</t>
  </si>
  <si>
    <t>80-85%</t>
  </si>
  <si>
    <t>95-85%</t>
  </si>
  <si>
    <t>سور وحدة صحة كوم القناطر</t>
  </si>
  <si>
    <t>النادى الاوليمبى</t>
  </si>
  <si>
    <t>توريدات سباكة وكهرباء</t>
  </si>
  <si>
    <t>عبداللطيف محمد عبدالعزيز المدنى</t>
  </si>
  <si>
    <t>توردات مايكا</t>
  </si>
  <si>
    <t>كريم عبدالمحسن</t>
  </si>
  <si>
    <t>بلاطات جبسية</t>
  </si>
  <si>
    <t>محمد ممدوح انصارى</t>
  </si>
  <si>
    <t>زلط ملون</t>
  </si>
  <si>
    <t>استقطاع 42852 لصالح ابوحمص</t>
  </si>
  <si>
    <t>استقطاع 18800 لصالح ابوحمص</t>
  </si>
  <si>
    <t>اليكس فليكس</t>
  </si>
  <si>
    <t>الوصلات المرنة والادوات الصحية</t>
  </si>
  <si>
    <t xml:space="preserve">على محمود حسين على </t>
  </si>
  <si>
    <t>توريد بلاطات جبسية</t>
  </si>
  <si>
    <t>اركان للمقاولات والتوريدات</t>
  </si>
  <si>
    <t>توريد لوحات كهرباء</t>
  </si>
  <si>
    <t>سكاى لايت</t>
  </si>
  <si>
    <t>توريد وتركيب نجيل طبيعى</t>
  </si>
  <si>
    <t>90-100%</t>
  </si>
  <si>
    <t xml:space="preserve">صلاح احمد </t>
  </si>
  <si>
    <t>التكيف</t>
  </si>
  <si>
    <t>محمد شعبان شحاته مصطفى</t>
  </si>
  <si>
    <t>عبدالمنعم موسى</t>
  </si>
  <si>
    <t xml:space="preserve">توريد شحم وزيوت </t>
  </si>
  <si>
    <t>علاء ابراهيم فخرالدين (مصنع الملابس )</t>
  </si>
  <si>
    <t>محمود الشحات عامر</t>
  </si>
  <si>
    <t>95-90-75%</t>
  </si>
  <si>
    <t>95-95-65%</t>
  </si>
  <si>
    <t>وائل احمد عبدالحفيظ احمد رفاعى</t>
  </si>
  <si>
    <t>توريد وتركيب ابواب صاج</t>
  </si>
  <si>
    <t>الشركة المصرية لمواد البناء الحديث (سايبس )</t>
  </si>
  <si>
    <t>اعمال توريدات عامة</t>
  </si>
  <si>
    <t>95-81%</t>
  </si>
  <si>
    <t>ممدوح عبد الواحد</t>
  </si>
  <si>
    <t>شركة الانارة العامة</t>
  </si>
  <si>
    <t>مركز شباب  سحالى</t>
  </si>
  <si>
    <t>عمرو جمال عبد القادر</t>
  </si>
  <si>
    <t>ايجار معدات (حفارات)</t>
  </si>
  <si>
    <t>توريد وتركيب برجولة الخشبية</t>
  </si>
  <si>
    <t>ابراهيم السيد اسماعيل فرج</t>
  </si>
  <si>
    <t>محمد احمد السيد شعبان</t>
  </si>
  <si>
    <t>شركة اس تى سى للتجارة والمقاولات (محمد صقر احمد )</t>
  </si>
  <si>
    <t xml:space="preserve">نجارة وحدادة </t>
  </si>
  <si>
    <t>وليد الهوارى</t>
  </si>
  <si>
    <t>سلطان خميس رشوان</t>
  </si>
  <si>
    <t>مشروع حياة كريمة (أبو حمص )</t>
  </si>
  <si>
    <t xml:space="preserve">البند </t>
  </si>
  <si>
    <t xml:space="preserve">الوحدة المحلية </t>
  </si>
  <si>
    <t xml:space="preserve">القطاع </t>
  </si>
  <si>
    <t xml:space="preserve">المبنى </t>
  </si>
  <si>
    <t>ما سبق صرفه من أعمال</t>
  </si>
  <si>
    <t>على الشركة</t>
  </si>
  <si>
    <t>على المقاول</t>
  </si>
  <si>
    <t>الخصومات</t>
  </si>
  <si>
    <t>سابق</t>
  </si>
  <si>
    <t>حالى</t>
  </si>
  <si>
    <t>اجمالى</t>
  </si>
  <si>
    <t>البــــــر البحرى</t>
  </si>
  <si>
    <t xml:space="preserve">معدات </t>
  </si>
  <si>
    <t xml:space="preserve">دمسنا </t>
  </si>
  <si>
    <t>الشباب والرياضة</t>
  </si>
  <si>
    <t>صحي</t>
  </si>
  <si>
    <t>مركز شباب دمسنا</t>
  </si>
  <si>
    <t>مركز شباب التسيلى</t>
  </si>
  <si>
    <t>موزع الكهرباء</t>
  </si>
  <si>
    <t>موزع الكهرباء برسيق</t>
  </si>
  <si>
    <t>صالة الانشطة</t>
  </si>
  <si>
    <t>لم يتم عمل المستخلص لعدم الامضاء على السركى</t>
  </si>
  <si>
    <t>صالة انشطة دمسنا</t>
  </si>
  <si>
    <t>التنمية المحلية</t>
  </si>
  <si>
    <t>مبنى خدمة المواطنين بدمسنا</t>
  </si>
  <si>
    <t>المجمع الزراعى</t>
  </si>
  <si>
    <t xml:space="preserve">مبنى خدمة المواطنين </t>
  </si>
  <si>
    <t>محطات الصرف</t>
  </si>
  <si>
    <t>مبنى تضامن بسنتواى</t>
  </si>
  <si>
    <t>وحدة صحة الحناوى</t>
  </si>
  <si>
    <t>نقطه اسعاف ابوهواش</t>
  </si>
  <si>
    <t>تضامن دمسنا (انشاء جديد)</t>
  </si>
  <si>
    <t>التضامن بدمسنا (ترميم)</t>
  </si>
  <si>
    <t>الوحدة الصحية بانور المفتى</t>
  </si>
  <si>
    <t>الوحدة الصحية بكوم تقالة</t>
  </si>
  <si>
    <t>وحدة صحة كوم تقالة</t>
  </si>
  <si>
    <t>وحدة اسعاف دسونس</t>
  </si>
  <si>
    <t>التضامن ببركة غطاس</t>
  </si>
  <si>
    <t>الوحدة الصحية بعلى حبيب</t>
  </si>
  <si>
    <t>سفر الكبرى</t>
  </si>
  <si>
    <t>وحدة صحة كوم عزيزه</t>
  </si>
  <si>
    <t>البــــــر القبـــــــــــلى</t>
  </si>
  <si>
    <t>الجمعيات الزراعية</t>
  </si>
  <si>
    <t>الجمعية الزراعية بكوم القناطر</t>
  </si>
  <si>
    <t>مبنى خدمة المواطنين بكوم القناطر</t>
  </si>
  <si>
    <t>التضامن الاجتماعى بكوم القناطر</t>
  </si>
  <si>
    <t>سور مركز شباب كوم القناطر</t>
  </si>
  <si>
    <t>صالة الانشطة بكوم صوان</t>
  </si>
  <si>
    <t>الصحي</t>
  </si>
  <si>
    <t>وحده صحه كوم القناطر</t>
  </si>
  <si>
    <t xml:space="preserve">جواد حسنى </t>
  </si>
  <si>
    <t>مبنى خدمة المواطنين بجواد حسني</t>
  </si>
  <si>
    <t>الجمعية الزراعية بجواد حسني</t>
  </si>
  <si>
    <t>وحده صحيه جواد حسني</t>
  </si>
  <si>
    <t>صالة الانشطة بجواد حسني</t>
  </si>
  <si>
    <t>وحدة صحية زاوية نعيم</t>
  </si>
  <si>
    <t>وحدة صحية ابواسماعيل</t>
  </si>
  <si>
    <t>الجمعية الزراعية ببلقطر</t>
  </si>
  <si>
    <t xml:space="preserve">الرى والكبارى </t>
  </si>
  <si>
    <t xml:space="preserve">كوبرى نجع أولاد عيسى </t>
  </si>
  <si>
    <t>مبنى خدمة المواطنين ببلقطر</t>
  </si>
  <si>
    <t>وحدة صحية بلقطر الغربية</t>
  </si>
  <si>
    <t>مركز صحة النميرى</t>
  </si>
  <si>
    <t xml:space="preserve">قافلة </t>
  </si>
  <si>
    <t>مبنى خدمة المواطنين بقافلة</t>
  </si>
  <si>
    <t>الجمعية الزراعية بقافلة</t>
  </si>
  <si>
    <t>مبنى خدمة المواطنين ببطورس</t>
  </si>
  <si>
    <t>الجمعية الزراعية ببطورس</t>
  </si>
  <si>
    <t>أنور المفتى</t>
  </si>
  <si>
    <t>نقطه اسعاف أنور المفتى</t>
  </si>
  <si>
    <t>نقطه اسعاف سريع ابوحمص</t>
  </si>
  <si>
    <t>عــــــــــــــام</t>
  </si>
  <si>
    <t>مخازن</t>
  </si>
  <si>
    <t>محطة الخرسانة الجديدة</t>
  </si>
  <si>
    <t>الري المطور</t>
  </si>
  <si>
    <t>عام سيارات</t>
  </si>
  <si>
    <t>مصاريف توريد الحديد+
سفر الضباط</t>
  </si>
  <si>
    <t>محطات المعالجة</t>
  </si>
  <si>
    <t>اجمالى الاعمال الحالية</t>
  </si>
  <si>
    <t>شركة</t>
  </si>
  <si>
    <t>مقاولين</t>
  </si>
  <si>
    <t>اجمالى العمالة + المعدات</t>
  </si>
  <si>
    <t>توريدات السن والرمل</t>
  </si>
  <si>
    <t>الوطنية للمقاولات العمومية</t>
  </si>
  <si>
    <t>هاشم صبرى (الشركة الحديثة للصناعات الكيماوية (HCC))</t>
  </si>
  <si>
    <t>توريدات اضافات للخرسانة</t>
  </si>
  <si>
    <t>شركة مكة للتوريدات العمومية</t>
  </si>
  <si>
    <t>توريدات الاسمنت</t>
  </si>
  <si>
    <t>اعمال دهان</t>
  </si>
  <si>
    <t>96-95-100%</t>
  </si>
  <si>
    <t>91-100%</t>
  </si>
  <si>
    <t>شركه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مشروع المنطقة الشمالية</t>
  </si>
  <si>
    <t xml:space="preserve">مبنى التحريات </t>
  </si>
  <si>
    <t>نحاتة</t>
  </si>
  <si>
    <t>سيد سعد سعيد</t>
  </si>
  <si>
    <t>نجارة وصب ارضيات خرسانة</t>
  </si>
  <si>
    <t>توريد ادوات سباكة - حريق</t>
  </si>
  <si>
    <t>على احمد على محمد</t>
  </si>
  <si>
    <t>توريد مواد بترولية - سولار</t>
  </si>
  <si>
    <t>السيد عادل السيد عبدالجواد</t>
  </si>
  <si>
    <t>خالد محمد هنداوى مسعود</t>
  </si>
  <si>
    <t>على حسن على الطويل</t>
  </si>
  <si>
    <t>50-90-92%</t>
  </si>
  <si>
    <t>اعمال المساحة</t>
  </si>
  <si>
    <t>شركة الاقصى  (مصنع الملابس )</t>
  </si>
  <si>
    <t>شركة ويست - مصنع الخشب- ادكو</t>
  </si>
  <si>
    <t>محمد عوض شعبان ابراهيم خليل</t>
  </si>
  <si>
    <t>النجارة المسلحة</t>
  </si>
  <si>
    <t>المصروف من العهدة</t>
  </si>
  <si>
    <t>سمير محمود ابراهيم احمد</t>
  </si>
  <si>
    <t>محمود حسن سالم السيد</t>
  </si>
  <si>
    <t>توريدات طوب</t>
  </si>
  <si>
    <t>مشتريات - ذاتى</t>
  </si>
  <si>
    <t>توريدات سباكة وكهرباء واخرى</t>
  </si>
  <si>
    <t>توريدات مواد البناء</t>
  </si>
  <si>
    <t>محمد عبدالعزيز محمود الراوى</t>
  </si>
  <si>
    <t>مؤمن معروف سعد عبدالمجيد</t>
  </si>
  <si>
    <t>مصنعيات دهانات</t>
  </si>
  <si>
    <t>محمد احمد ابو حشيش</t>
  </si>
  <si>
    <t>مهدى خيرى عبدالمقصود محمد</t>
  </si>
  <si>
    <t>مصنعيات جرافياتو</t>
  </si>
  <si>
    <t>ابراهيم يونس بريك غيث</t>
  </si>
  <si>
    <t>محمد احمد عويس عيسوى</t>
  </si>
  <si>
    <t xml:space="preserve">توريد وتركيب PVC </t>
  </si>
  <si>
    <t>حسن محمود عبدالمجيد حسن الخطيب</t>
  </si>
  <si>
    <t>الخرسانة المسلحة</t>
  </si>
  <si>
    <t>سور وحدة كوم القناطر رفع كفاءة</t>
  </si>
  <si>
    <t>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مشروع التحريات العسكرية زيزينا-الاسكندرية</t>
  </si>
  <si>
    <t>توريد وتركيب الومنيوم</t>
  </si>
  <si>
    <t>توريد وتركيب سيكوريت</t>
  </si>
  <si>
    <t>توريد وتركيب كلادينج</t>
  </si>
  <si>
    <t>رومانى جرجس يعقوب عبدالمسيح</t>
  </si>
  <si>
    <t>اعمال الزراعات</t>
  </si>
  <si>
    <t>احمد عبدالعزيز محمد عقارى</t>
  </si>
  <si>
    <t>احمد عباس - نماء إس إليكتريك</t>
  </si>
  <si>
    <t>احمد محمد حمدى عباس - مودرن لايت</t>
  </si>
  <si>
    <t>توريد وتركيب حديد كريتال</t>
  </si>
  <si>
    <t>ضيف جمعة ابراهيم عبدالمقصود</t>
  </si>
  <si>
    <t>اعمال نحاتة</t>
  </si>
  <si>
    <t>محمود السيد بهنسى</t>
  </si>
  <si>
    <t>مصنعيات خرسانة مطبوعة</t>
  </si>
  <si>
    <t>محمد نجيب عبده</t>
  </si>
  <si>
    <t>مصنعيات مبانى</t>
  </si>
  <si>
    <t>عادل عبدالله عبدالقوى ابو الريش</t>
  </si>
  <si>
    <t>ابراهيم السيد فرج</t>
  </si>
  <si>
    <t>توريد وتركيب نجارة خشبية</t>
  </si>
  <si>
    <t>عمر محمود سماحة</t>
  </si>
  <si>
    <t>تجاليد عازل الصوت</t>
  </si>
  <si>
    <t>توريد وتركيب هاندريل ستانلس</t>
  </si>
  <si>
    <t>ايجار ارض</t>
  </si>
  <si>
    <t xml:space="preserve">توريد طوب سورناجا </t>
  </si>
  <si>
    <t>تعتيق وتخزين ونقل اسمنت</t>
  </si>
  <si>
    <t>شركة العوضى</t>
  </si>
  <si>
    <t xml:space="preserve">توريدات متنوعة </t>
  </si>
  <si>
    <t>محمد رجب احمد</t>
  </si>
  <si>
    <t>فك وتركيب السور الصاج</t>
  </si>
  <si>
    <t>احمد محمد عبدالعزيز محمد زيدان</t>
  </si>
  <si>
    <t>سخاوى عيسى السخاوى</t>
  </si>
  <si>
    <t>توريد وتركيب زجاج</t>
  </si>
  <si>
    <t>مبنى اسلحة وذخيرة</t>
  </si>
  <si>
    <t>توريد وتركيب فينيل</t>
  </si>
  <si>
    <t>توريد وتركيب ستائر قطيفة</t>
  </si>
  <si>
    <t>سمير صربانة ميخائيل</t>
  </si>
  <si>
    <t>ايجار سقالات</t>
  </si>
  <si>
    <t>مصطفى عاطف العربى</t>
  </si>
  <si>
    <t>توريد وتركيب الصوتيات</t>
  </si>
  <si>
    <t>علاء معوض محد السيد</t>
  </si>
  <si>
    <t>احمد ابراهيم ابو الروس</t>
  </si>
  <si>
    <t>اشرف عبده السيد</t>
  </si>
  <si>
    <t>ملو خزانات البلوكات</t>
  </si>
  <si>
    <t>95-94%</t>
  </si>
  <si>
    <t>شركة وي بيلد</t>
  </si>
  <si>
    <t>شركة ويست- مصنع الخشب-ادكو</t>
  </si>
  <si>
    <t>اعمال متفرقة</t>
  </si>
  <si>
    <t>منصور محمد متولى فرج</t>
  </si>
  <si>
    <t>صبحى فرج</t>
  </si>
  <si>
    <t>كومباوند نيو كابيتال دمنهور</t>
  </si>
  <si>
    <t>فرج عامر ابراهيم الشاذلى</t>
  </si>
  <si>
    <t xml:space="preserve">شركه الناغـــــــــــــــــــــــــــــــــــــــــــــــــــــــــــــــــــــــــــــــــــــــــــــــــي
 للمقــــــــــــــــــــــــــــــــــــــــــــــــــــــــــــــــــــــــــــــــــــــــــــــــــــــــــــــــــــــــــــــــــاولات العموميه والتوريــــــــــــــــــــــــــــــدات
مشـــــــــــــــــــــــــــــروع محطة خرسانة ابو حمص 2022
</t>
  </si>
  <si>
    <t>التوريدات</t>
  </si>
  <si>
    <t>تكيف</t>
  </si>
  <si>
    <t>المصنعيات</t>
  </si>
  <si>
    <t>المبيعات</t>
  </si>
  <si>
    <t>ايجار الخلاطات والمضخات</t>
  </si>
  <si>
    <t xml:space="preserve">اسلام صابر اسماعيل </t>
  </si>
  <si>
    <t>توريدات سولار</t>
  </si>
  <si>
    <t>لم يفصل شامل المحطة</t>
  </si>
  <si>
    <t>الفاروق للنقل والتوزيع المواد البترولية (على احمد على محمد)</t>
  </si>
  <si>
    <t>94-95%</t>
  </si>
  <si>
    <t>95-99-100%</t>
  </si>
  <si>
    <t>99.7-94%</t>
  </si>
  <si>
    <t>القوات المسلحة</t>
  </si>
  <si>
    <t>توريد حديد</t>
  </si>
  <si>
    <t>المستحق</t>
  </si>
  <si>
    <t>اجمالى المحصل</t>
  </si>
  <si>
    <t xml:space="preserve">شركة اليوسف </t>
  </si>
  <si>
    <t xml:space="preserve"> وحدة صحة برسيق</t>
  </si>
  <si>
    <t>مصطفي قاسم عبدالمجيد عوض (الله يرحمه )</t>
  </si>
  <si>
    <t xml:space="preserve"> وحدة صحة العشرة</t>
  </si>
  <si>
    <t>تلفيات جيبسوم بورد</t>
  </si>
  <si>
    <t>شركة السعد</t>
  </si>
  <si>
    <t>94-92%</t>
  </si>
  <si>
    <t>تعديل المستخلص للمقاول</t>
  </si>
  <si>
    <t>عهدة الموقع (مفصول منها المحطة)</t>
  </si>
  <si>
    <t>محمد خميس النحراوى</t>
  </si>
  <si>
    <t>توريد مواد بترولية</t>
  </si>
  <si>
    <t>سلامة عطية محسن</t>
  </si>
  <si>
    <t>عهدة الموقع كاملة</t>
  </si>
  <si>
    <t xml:space="preserve">عهدة الموقع </t>
  </si>
  <si>
    <t>المتحدة للمقاولات والتوريدات</t>
  </si>
  <si>
    <t>نصر عبد العزيز نصر عبدالعزيز ناموس</t>
  </si>
  <si>
    <t>توريد وتركيب سجاد</t>
  </si>
  <si>
    <t>90-90%</t>
  </si>
  <si>
    <t>75-50%</t>
  </si>
  <si>
    <t>موسي عطية سامى موسى</t>
  </si>
  <si>
    <t>هيثم يحى خليل (محمد خليل نعيم)</t>
  </si>
  <si>
    <t>توريد اخشاب والنجارة الحديثة</t>
  </si>
  <si>
    <t>صبرى صبحى محمد الشاذلى</t>
  </si>
  <si>
    <t>توريد وتركيب زجاج للمرايا</t>
  </si>
  <si>
    <t>وائل محمد سليم احمد خلف الله</t>
  </si>
  <si>
    <t>شركة الاتحاد</t>
  </si>
  <si>
    <t>عاوز يتفصل</t>
  </si>
  <si>
    <t>100-85%</t>
  </si>
  <si>
    <t>السوفت فى مستخلص 4 لم يصل الادارة</t>
  </si>
  <si>
    <t>مش موجود سوفت</t>
  </si>
  <si>
    <t>يتم ارسال سوفت الصحيح</t>
  </si>
  <si>
    <t>لم يتم ارساله السوفت</t>
  </si>
  <si>
    <t>مستخلص عام المحطة</t>
  </si>
  <si>
    <t>شركة قماح -موقع البحيرة</t>
  </si>
  <si>
    <t xml:space="preserve">محمد فوزى عمارة(رحمة محمد عبد الجواد </t>
  </si>
  <si>
    <t>شركة ام ثرى للتوريدات محمد على ماهر</t>
  </si>
  <si>
    <t>عبد النبى عبد الهادى محمد ابراهيم</t>
  </si>
  <si>
    <t>احمد رجب سعد يوسف</t>
  </si>
  <si>
    <t>ياسر عبدالجواد عبدالحميد القمارى  سكيب للدهانات</t>
  </si>
  <si>
    <t>توريدات لوازم الكباري</t>
  </si>
  <si>
    <t>نماء اس اليكتريك (احمد محمد عبده عباس)</t>
  </si>
  <si>
    <t>صب خرسانة ميول</t>
  </si>
  <si>
    <t>مقطوعية فك شبابيك الوميتال</t>
  </si>
  <si>
    <t>سن فقط</t>
  </si>
  <si>
    <t>احمد حمدى النجار</t>
  </si>
  <si>
    <t>نولون نقل سن</t>
  </si>
  <si>
    <t>رمزى فتوح حامد</t>
  </si>
  <si>
    <t>ختامى13</t>
  </si>
  <si>
    <t>شركة الاخوة العرب</t>
  </si>
  <si>
    <t>اسلام عوض قاسم خير الله</t>
  </si>
  <si>
    <t>السور محطة معالجة الزرقة</t>
  </si>
  <si>
    <t>لحام الكرفانات</t>
  </si>
  <si>
    <t>سور مركز شباب النخلة البحرية</t>
  </si>
  <si>
    <t>سور مركز شباب بلقطر</t>
  </si>
  <si>
    <t>صالة الانشطة جواد حسنى</t>
  </si>
  <si>
    <t>صالة الانشطة دمسنا</t>
  </si>
  <si>
    <t>مركز شباب قافلة</t>
  </si>
  <si>
    <t>تامر حمدان عوض</t>
  </si>
  <si>
    <t>هانى محروس محمد عبد المعطى</t>
  </si>
  <si>
    <t>التكاليف</t>
  </si>
  <si>
    <t>صافى الربح</t>
  </si>
  <si>
    <t>شركة الوطنية للاسمنت -مجمع مصانع بنى سويف</t>
  </si>
  <si>
    <t>توريدات اسمنت</t>
  </si>
  <si>
    <t>المتحدة للحديد والاسمنت</t>
  </si>
  <si>
    <t>70-75%</t>
  </si>
  <si>
    <t>على جلال الصعيدى 410 رشيد 193 ابوحمص</t>
  </si>
  <si>
    <t>على جلال الصعيدى</t>
  </si>
  <si>
    <t>إسم المقاول  م.يوسف الاباصيرى</t>
  </si>
  <si>
    <t>عهدة المحطات</t>
  </si>
  <si>
    <t>محطات الخرسانة</t>
  </si>
  <si>
    <t>عهدة المحطة (م.يوسف اباصيرى )</t>
  </si>
  <si>
    <t>صبة على  جلال الصعيدى</t>
  </si>
  <si>
    <t>عهدة المحطات (م.يوسف اباصيرى)</t>
  </si>
  <si>
    <r>
      <t>صبة مسجد بطورس</t>
    </r>
    <r>
      <rPr>
        <b/>
        <sz val="11"/>
        <color rgb="FFFF0066"/>
        <rFont val="Calibri"/>
        <family val="2"/>
        <scheme val="minor"/>
      </rPr>
      <t xml:space="preserve"> </t>
    </r>
  </si>
  <si>
    <t>عهدة المحطة رشيد (م.يوسف اباصيرى)</t>
  </si>
  <si>
    <t>المورد</t>
  </si>
  <si>
    <t>عهدة المحطة كفر الدوار (م.يوسف اباصيرى)</t>
  </si>
  <si>
    <t>عهدة الموقع  كفر الدوار (م.يوسف اباصيرى)</t>
  </si>
  <si>
    <t xml:space="preserve">عهدة مبنى مخابرات </t>
  </si>
  <si>
    <t>عهدةم.يوسف الاباصيرى</t>
  </si>
  <si>
    <t>مورد الى الادارة</t>
  </si>
  <si>
    <t>عهدة موقع رشيد (م.يوسف اباصيرى)</t>
  </si>
  <si>
    <t>محمد بسيونى كيلانى</t>
  </si>
  <si>
    <t>توريد سن</t>
  </si>
  <si>
    <t xml:space="preserve">صب عامود ارسال ابيس </t>
  </si>
  <si>
    <t xml:space="preserve">صب عادل حبالة </t>
  </si>
  <si>
    <t xml:space="preserve">صب موقع البترول </t>
  </si>
  <si>
    <t xml:space="preserve">صب حمادة الشامى </t>
  </si>
  <si>
    <t xml:space="preserve">صب محمد السيسى  </t>
  </si>
  <si>
    <t xml:space="preserve">صب محمد حجاح  </t>
  </si>
  <si>
    <t xml:space="preserve">صب محمود عبده  </t>
  </si>
  <si>
    <t xml:space="preserve">صب عادل عطية  </t>
  </si>
  <si>
    <t>صب محمد بسيونى</t>
  </si>
  <si>
    <t>صب يسرى ابوهاشم</t>
  </si>
  <si>
    <t>المبيعات (م.يوسف اباصيرى)</t>
  </si>
  <si>
    <t>عاوز يتفصل ويتم تحديث جارى 27</t>
  </si>
  <si>
    <t>لا يوجد فى السوفت</t>
  </si>
  <si>
    <t>صب فاير تكنولوجى</t>
  </si>
  <si>
    <t>صب غرف التفتيش-رشيد</t>
  </si>
  <si>
    <t>شركة ويست للمقاولات</t>
  </si>
  <si>
    <t>نولون سن</t>
  </si>
  <si>
    <t>محمد توفيق</t>
  </si>
  <si>
    <t xml:space="preserve">محمد توفيق </t>
  </si>
  <si>
    <t>بكر السيد خليل الاسطى</t>
  </si>
  <si>
    <t>توريد وتركيب حديد كريتال تدعيم</t>
  </si>
  <si>
    <t>موزع كهرباء الجردات</t>
  </si>
  <si>
    <t xml:space="preserve">على جلال </t>
  </si>
  <si>
    <t>محمد اسماعيل (شركة ويست)</t>
  </si>
  <si>
    <t>مجمع بدل التفريدة</t>
  </si>
  <si>
    <t>موزع كهرباء برسيق</t>
  </si>
  <si>
    <t>موزع كهرباء جرادات</t>
  </si>
  <si>
    <t>مصنعيات فتحات الكور</t>
  </si>
  <si>
    <t>عام الوحدات الصحية</t>
  </si>
  <si>
    <t>سيارة نقل المهندسين</t>
  </si>
  <si>
    <t>مصنعيات تركيب طفايات</t>
  </si>
  <si>
    <r>
      <t>صبةالاخوة العرب مدبلر من اول مستخلص 10</t>
    </r>
    <r>
      <rPr>
        <b/>
        <sz val="11"/>
        <color rgb="FFFF0066"/>
        <rFont val="Calibri"/>
        <family val="2"/>
        <scheme val="minor"/>
      </rPr>
      <t xml:space="preserve"> </t>
    </r>
  </si>
  <si>
    <t>بدر فرحات حمد خليفة</t>
  </si>
  <si>
    <t>نولون نقل سن من الكسارة</t>
  </si>
  <si>
    <t>محمد احمد فاروق بعضيشى</t>
  </si>
  <si>
    <t>صب سعد العجوانى</t>
  </si>
  <si>
    <t>صب منصور عطا</t>
  </si>
  <si>
    <t>الاقصى للتوريدات العامة والمقاولات من اول مستخلص 9</t>
  </si>
  <si>
    <t>شركة NCC</t>
  </si>
  <si>
    <t>عماد انور</t>
  </si>
  <si>
    <t>احمد محمد ابراهيم</t>
  </si>
  <si>
    <t>ماهر عرمش</t>
  </si>
  <si>
    <t>نولون سن كسارة</t>
  </si>
  <si>
    <t>البياض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</si>
</sst>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0.0%"/>
    <numFmt numFmtId="166" formatCode="0.0"/>
  </numFmts>
  <fonts count="4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charset val="178"/>
      <scheme val="minor"/>
    </font>
    <font>
      <b/>
      <sz val="26"/>
      <name val="Arial"/>
      <family val="2"/>
    </font>
    <font>
      <b/>
      <sz val="28"/>
      <name val="Arial"/>
      <family val="2"/>
    </font>
    <font>
      <b/>
      <sz val="48"/>
      <name val="Arial"/>
      <family val="2"/>
    </font>
    <font>
      <b/>
      <sz val="16"/>
      <name val="Calibri"/>
      <family val="2"/>
      <scheme val="minor"/>
    </font>
    <font>
      <b/>
      <sz val="28"/>
      <name val="Calibri"/>
      <family val="2"/>
      <scheme val="minor"/>
    </font>
    <font>
      <b/>
      <sz val="28"/>
      <color theme="1"/>
      <name val="Arial"/>
      <family val="2"/>
    </font>
    <font>
      <b/>
      <sz val="28"/>
      <color rgb="FF00B050"/>
      <name val="Arial"/>
      <family val="2"/>
    </font>
    <font>
      <b/>
      <sz val="24"/>
      <color theme="0"/>
      <name val="Calibri"/>
      <family val="2"/>
      <scheme val="minor"/>
    </font>
    <font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48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8EB6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4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3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1" fillId="2" borderId="0" xfId="0" applyFont="1" applyFill="1"/>
    <xf numFmtId="0" fontId="3" fillId="3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3" fontId="3" fillId="4" borderId="12" xfId="0" applyNumberFormat="1" applyFont="1" applyFill="1" applyBorder="1" applyAlignment="1">
      <alignment horizontal="center" vertical="center"/>
    </xf>
    <xf numFmtId="9" fontId="11" fillId="0" borderId="0" xfId="0" applyNumberFormat="1" applyFont="1"/>
    <xf numFmtId="9" fontId="12" fillId="0" borderId="1" xfId="0" applyNumberFormat="1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9" fontId="7" fillId="2" borderId="7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6" borderId="12" xfId="0" applyNumberFormat="1" applyFont="1" applyFill="1" applyBorder="1" applyAlignment="1">
      <alignment horizontal="center" vertical="center"/>
    </xf>
    <xf numFmtId="3" fontId="3" fillId="6" borderId="10" xfId="0" applyNumberFormat="1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9" fontId="12" fillId="0" borderId="21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9" fontId="12" fillId="0" borderId="15" xfId="0" applyNumberFormat="1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/>
    <xf numFmtId="0" fontId="2" fillId="9" borderId="2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0" fontId="0" fillId="9" borderId="0" xfId="0" applyFill="1"/>
    <xf numFmtId="9" fontId="12" fillId="0" borderId="14" xfId="0" applyNumberFormat="1" applyFon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3" fontId="3" fillId="7" borderId="12" xfId="0" applyNumberFormat="1" applyFont="1" applyFill="1" applyBorder="1" applyAlignment="1">
      <alignment horizontal="center" vertical="center"/>
    </xf>
    <xf numFmtId="9" fontId="3" fillId="2" borderId="7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9" fontId="10" fillId="2" borderId="5" xfId="0" applyNumberFormat="1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9" fontId="2" fillId="2" borderId="14" xfId="0" applyNumberFormat="1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9" fontId="10" fillId="2" borderId="1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5" fillId="2" borderId="0" xfId="0" applyFont="1" applyFill="1"/>
    <xf numFmtId="0" fontId="2" fillId="0" borderId="1" xfId="0" applyFont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2" fillId="12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0" fontId="21" fillId="2" borderId="0" xfId="0" applyFont="1" applyFill="1"/>
    <xf numFmtId="0" fontId="18" fillId="2" borderId="0" xfId="0" applyFont="1" applyFill="1"/>
    <xf numFmtId="165" fontId="3" fillId="2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3" fontId="1" fillId="2" borderId="0" xfId="0" applyNumberFormat="1" applyFont="1" applyFill="1"/>
    <xf numFmtId="0" fontId="12" fillId="3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3" fontId="9" fillId="2" borderId="7" xfId="0" applyNumberFormat="1" applyFont="1" applyFill="1" applyBorder="1" applyAlignment="1">
      <alignment horizontal="center" vertical="center"/>
    </xf>
    <xf numFmtId="3" fontId="9" fillId="6" borderId="12" xfId="0" applyNumberFormat="1" applyFont="1" applyFill="1" applyBorder="1" applyAlignment="1">
      <alignment horizontal="center" vertical="center"/>
    </xf>
    <xf numFmtId="0" fontId="22" fillId="2" borderId="0" xfId="0" applyFont="1" applyFill="1"/>
    <xf numFmtId="0" fontId="2" fillId="0" borderId="5" xfId="0" applyFont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4" borderId="0" xfId="0" applyFont="1" applyFill="1"/>
    <xf numFmtId="3" fontId="3" fillId="0" borderId="7" xfId="0" applyNumberFormat="1" applyFont="1" applyBorder="1" applyAlignment="1">
      <alignment horizontal="center" vertical="center"/>
    </xf>
    <xf numFmtId="0" fontId="16" fillId="0" borderId="0" xfId="0" applyFont="1"/>
    <xf numFmtId="0" fontId="3" fillId="0" borderId="0" xfId="0" applyFont="1"/>
    <xf numFmtId="0" fontId="26" fillId="17" borderId="2" xfId="0" applyFont="1" applyFill="1" applyBorder="1" applyAlignment="1">
      <alignment vertical="center"/>
    </xf>
    <xf numFmtId="0" fontId="26" fillId="17" borderId="3" xfId="0" applyFont="1" applyFill="1" applyBorder="1" applyAlignment="1">
      <alignment vertical="center"/>
    </xf>
    <xf numFmtId="0" fontId="26" fillId="2" borderId="3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" fontId="25" fillId="3" borderId="1" xfId="0" applyNumberFormat="1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32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25" fillId="2" borderId="3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6" fillId="0" borderId="3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/>
    </xf>
    <xf numFmtId="166" fontId="25" fillId="13" borderId="1" xfId="0" applyNumberFormat="1" applyFont="1" applyFill="1" applyBorder="1" applyAlignment="1">
      <alignment horizontal="center" vertical="center"/>
    </xf>
    <xf numFmtId="1" fontId="25" fillId="13" borderId="1" xfId="0" applyNumberFormat="1" applyFont="1" applyFill="1" applyBorder="1" applyAlignment="1">
      <alignment horizontal="center" vertical="center"/>
    </xf>
    <xf numFmtId="2" fontId="25" fillId="13" borderId="1" xfId="0" applyNumberFormat="1" applyFont="1" applyFill="1" applyBorder="1" applyAlignment="1">
      <alignment horizontal="center" vertical="center"/>
    </xf>
    <xf numFmtId="0" fontId="25" fillId="13" borderId="28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/>
    </xf>
    <xf numFmtId="1" fontId="25" fillId="8" borderId="1" xfId="0" applyNumberFormat="1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3" fontId="3" fillId="6" borderId="11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/>
    </xf>
    <xf numFmtId="3" fontId="25" fillId="18" borderId="1" xfId="0" applyNumberFormat="1" applyFont="1" applyFill="1" applyBorder="1" applyAlignment="1">
      <alignment horizontal="center" vertical="center"/>
    </xf>
    <xf numFmtId="1" fontId="25" fillId="7" borderId="1" xfId="0" applyNumberFormat="1" applyFont="1" applyFill="1" applyBorder="1" applyAlignment="1">
      <alignment horizontal="center" vertical="center"/>
    </xf>
    <xf numFmtId="3" fontId="25" fillId="7" borderId="1" xfId="0" applyNumberFormat="1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14" fontId="24" fillId="15" borderId="0" xfId="0" applyNumberFormat="1" applyFont="1" applyFill="1" applyAlignment="1">
      <alignment horizontal="center" vertical="center"/>
    </xf>
    <xf numFmtId="0" fontId="25" fillId="8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5" fillId="8" borderId="0" xfId="0" applyFont="1" applyFill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3" fontId="25" fillId="2" borderId="1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0" fontId="32" fillId="19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/>
    </xf>
    <xf numFmtId="1" fontId="32" fillId="8" borderId="1" xfId="0" applyNumberFormat="1" applyFont="1" applyFill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/>
    </xf>
    <xf numFmtId="9" fontId="3" fillId="0" borderId="14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9" fontId="9" fillId="2" borderId="7" xfId="0" applyNumberFormat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3" fontId="3" fillId="18" borderId="10" xfId="0" applyNumberFormat="1" applyFont="1" applyFill="1" applyBorder="1" applyAlignment="1">
      <alignment horizontal="center" vertical="center"/>
    </xf>
    <xf numFmtId="3" fontId="16" fillId="18" borderId="10" xfId="0" applyNumberFormat="1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3" fillId="22" borderId="7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/>
    </xf>
    <xf numFmtId="0" fontId="35" fillId="17" borderId="7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3" fontId="3" fillId="4" borderId="35" xfId="0" applyNumberFormat="1" applyFont="1" applyFill="1" applyBorder="1" applyAlignment="1">
      <alignment horizontal="center" vertical="center"/>
    </xf>
    <xf numFmtId="3" fontId="3" fillId="4" borderId="36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4" borderId="10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3" fontId="3" fillId="0" borderId="11" xfId="0" applyNumberFormat="1" applyFont="1" applyBorder="1" applyAlignment="1">
      <alignment horizontal="center" vertical="center"/>
    </xf>
    <xf numFmtId="0" fontId="3" fillId="2" borderId="0" xfId="0" applyFont="1" applyFill="1"/>
    <xf numFmtId="9" fontId="3" fillId="0" borderId="7" xfId="0" applyNumberFormat="1" applyFont="1" applyBorder="1" applyAlignment="1">
      <alignment horizontal="center" vertical="center"/>
    </xf>
    <xf numFmtId="0" fontId="1" fillId="0" borderId="0" xfId="0" applyFont="1"/>
    <xf numFmtId="0" fontId="34" fillId="0" borderId="13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3" fontId="3" fillId="9" borderId="12" xfId="0" applyNumberFormat="1" applyFont="1" applyFill="1" applyBorder="1" applyAlignment="1">
      <alignment horizontal="center" vertical="center"/>
    </xf>
    <xf numFmtId="9" fontId="7" fillId="23" borderId="7" xfId="0" applyNumberFormat="1" applyFont="1" applyFill="1" applyBorder="1" applyAlignment="1">
      <alignment horizontal="center" vertical="center"/>
    </xf>
    <xf numFmtId="9" fontId="3" fillId="23" borderId="7" xfId="0" applyNumberFormat="1" applyFont="1" applyFill="1" applyBorder="1" applyAlignment="1">
      <alignment horizontal="center" vertical="center"/>
    </xf>
    <xf numFmtId="1" fontId="3" fillId="23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9" fontId="12" fillId="0" borderId="14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9" fontId="12" fillId="0" borderId="4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1" fillId="2" borderId="17" xfId="0" applyFont="1" applyFill="1" applyBorder="1"/>
    <xf numFmtId="0" fontId="40" fillId="17" borderId="2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2" fontId="6" fillId="9" borderId="5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41" fillId="2" borderId="0" xfId="0" applyFont="1" applyFill="1"/>
    <xf numFmtId="0" fontId="42" fillId="0" borderId="0" xfId="0" applyFont="1"/>
    <xf numFmtId="0" fontId="43" fillId="0" borderId="0" xfId="0" applyFont="1"/>
    <xf numFmtId="0" fontId="12" fillId="0" borderId="0" xfId="0" applyFont="1"/>
    <xf numFmtId="10" fontId="1" fillId="2" borderId="0" xfId="0" applyNumberFormat="1" applyFont="1" applyFill="1"/>
    <xf numFmtId="9" fontId="1" fillId="2" borderId="0" xfId="0" applyNumberFormat="1" applyFont="1" applyFill="1"/>
    <xf numFmtId="14" fontId="2" fillId="2" borderId="13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9" fontId="4" fillId="2" borderId="0" xfId="0" applyNumberFormat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9" fontId="4" fillId="2" borderId="16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27" fillId="4" borderId="18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4" fillId="15" borderId="18" xfId="0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14" fontId="24" fillId="15" borderId="18" xfId="0" applyNumberFormat="1" applyFont="1" applyFill="1" applyBorder="1" applyAlignment="1">
      <alignment horizontal="center" vertical="center"/>
    </xf>
    <xf numFmtId="14" fontId="24" fillId="15" borderId="31" xfId="0" applyNumberFormat="1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 wrapText="1"/>
    </xf>
    <xf numFmtId="0" fontId="25" fillId="20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3" fillId="14" borderId="12" xfId="0" applyFont="1" applyFill="1" applyBorder="1" applyAlignment="1">
      <alignment horizontal="right" vertical="center"/>
    </xf>
    <xf numFmtId="0" fontId="33" fillId="14" borderId="13" xfId="0" applyFont="1" applyFill="1" applyBorder="1" applyAlignment="1">
      <alignment horizontal="right" vertical="center"/>
    </xf>
    <xf numFmtId="0" fontId="33" fillId="14" borderId="14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2" fillId="16" borderId="1" xfId="0" applyFont="1" applyFill="1" applyBorder="1" applyAlignment="1">
      <alignment horizontal="center" vertical="center"/>
    </xf>
    <xf numFmtId="0" fontId="32" fillId="16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0" fontId="32" fillId="19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32" fillId="20" borderId="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9" fontId="12" fillId="0" borderId="15" xfId="0" applyNumberFormat="1" applyFont="1" applyBorder="1" applyAlignment="1">
      <alignment horizontal="center" vertical="center"/>
    </xf>
  </cellXfs>
  <cellStyles count="4">
    <cellStyle name="Comma 2" xfId="2" xr:uid="{E43A6575-8796-4ECB-ADB5-B3B626B2A91B}"/>
    <cellStyle name="Normal" xfId="0" builtinId="0"/>
    <cellStyle name="Normal 2" xfId="1" xr:uid="{00000000-0005-0000-0000-000001000000}"/>
    <cellStyle name="Percent 2" xfId="3" xr:uid="{59221ACA-9B65-4705-BF36-959AFC03FC3D}"/>
  </cellStyles>
  <dxfs count="0"/>
  <tableStyles count="0" defaultTableStyle="TableStyleMedium2" defaultPivotStyle="PivotStyleLight16"/>
  <colors>
    <mruColors>
      <color rgb="FFFF0066"/>
      <color rgb="FFFF99CC"/>
      <color rgb="FFFF6699"/>
      <color rgb="FFCC99FF"/>
      <color rgb="FFE8E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961571</xdr:colOff>
      <xdr:row>0</xdr:row>
      <xdr:rowOff>152292</xdr:rowOff>
    </xdr:from>
    <xdr:to>
      <xdr:col>16</xdr:col>
      <xdr:colOff>891749</xdr:colOff>
      <xdr:row>2</xdr:row>
      <xdr:rowOff>559825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D172C-9262-4722-84CA-56F479684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76051" y="152292"/>
          <a:ext cx="1708178" cy="1804533"/>
        </a:xfrm>
        <a:prstGeom prst="rect">
          <a:avLst/>
        </a:prstGeom>
      </xdr:spPr>
    </xdr:pic>
    <xdr:clientData/>
  </xdr:two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54C194-273F-477B-9B74-2E286017FE1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77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761DD8-24B1-4040-9821-E38598119A9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6CEB16E-B642-40BE-B19F-704492D7812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EF0E3B-CDB8-411A-82F8-468C30D3EB3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18A9A-842D-4853-AAD2-B8D4DFED2CC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1483DD-9E53-4902-8523-3609151BE737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030F8-969D-4939-A546-AC598D61E17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83722E3-95BF-4639-BB4C-95F7B5BB97C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69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C178D6-D758-4054-AF5B-82DD3550E36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7972B-72FD-410A-8B23-F0CEA403A9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BE78712-47CC-4CC7-93E4-AF4BCEF71F5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FC202B9-D135-4DED-A1D0-DD4886E2D23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BEC0E5E-AC2A-4EAC-8028-F5EF745B0CD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AF6513-ACD2-4539-BFD2-509D5D1D86D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DD3E98-BE28-4DFF-92A4-9700E9DA2E12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C56F2C2-3FB7-4E79-B375-63FE4B5BA16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C6E325-C6A5-4158-ACCC-A6D237DB42C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90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C11346-0B84-4237-97FC-B872386FD3AD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90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C3047D0-FE7D-46BE-9537-471CC7E7E172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90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A786A02-BA68-4E77-BADC-3AACF0385E0F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90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6616166-04CF-47DC-895C-56942FC5CB0D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498D0C-B503-4099-B2B1-081053ECA7E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ED2C04C-C508-417F-9F51-B32EF618026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4FAA484-6C5D-4E60-83EC-C83FC5CB247A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5B7998A-BB7D-45E8-B924-79BB7FCFDFC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B4A4350-3465-47AB-8D69-A8F2C6E0EC5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FCF2E6D-2620-4C2B-B029-547D282716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5D39187-06CE-4F89-9216-A84E0320D07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E325A12-B388-40BD-8E9B-2105570C250F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993597A-F9DA-4A28-A0B3-4421E72A27F8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A702596-4E95-4AB8-93E5-582F2211802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472D7C-F4B7-4BF2-B9FE-2BDB6244EA7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0EF92E6-396E-494A-BB94-F89A7CB7C9B9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F9F490-21BE-4BC8-9CA4-CE1F0643D4A1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77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00C943-D101-4E70-9E4F-075D0AF11A4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77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3BF56E0-875E-4C44-B820-8D939EFCF9A0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14F894D-EC77-46C0-A03E-F12C705F2212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5E062C9-1F50-4217-BB5B-F47FBA1373C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C7B5CDA-C3FD-476B-9FCB-0AF80F6FDFF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1F7B86A-4C52-4D82-B648-134EAED8EE30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1679CF6-4484-4F4D-8FD3-04FD7456AEC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8810467-B347-48A1-AB15-BCAEC01D7C7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ED7E470-1AA5-48B3-AE82-A7AD2F501A3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B01798C-2CF0-431E-B180-A97BC81308D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1013E1B-1EC5-4FE9-B1BA-6404B248B1F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5E1465C-E10F-4580-B3E4-A49160226092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472D2C6-0A9D-4FDF-A0AC-94724C60A27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5FC13D3-3203-4CEB-9201-F82772399BA9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60DE3DC-2303-423D-8E62-2F4DEE8F386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D515A5A-6F10-4B39-8ED1-041DD25E85C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7D3E340-30F9-493B-92E3-8755CCC2D51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C9D6D8E-ACE9-464E-92E6-01CFE93A054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C5F7001-F65A-4505-AB07-377502E0A7E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9D33D28-06D6-4BDC-B824-9B89C97AB30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F5C6C0B-8247-4403-AA10-F6DE33FC80C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70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061CCC8-1D49-44A2-BBF0-42FA02A5F59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C004293-EE5B-4DAA-AB03-2724A149046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7A13BF3-B72D-47D9-8AF2-0266A54E880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776F40B-7484-465A-9EF5-00B00EE7897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256F283-6DEC-475D-8C66-51247837F1E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753F9C0-7D78-4E6A-8CD7-27CCA0F3B0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C547B57-C89E-49EC-88FA-A38D4D8B02D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69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04A857D-2609-42EC-9CA7-AE525507119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223793CF-B868-4AF6-BCDC-E1B0EF09C43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2C483FA-E2F0-4F62-8D4A-B2F61CDDB6A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2D509E-9094-4881-B10A-3C329AF97C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1B60319-A390-4932-82AF-F9A3B03217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ECFB3C2-5695-4910-A299-30D70BBB6E4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D92153A-2728-4062-8F31-E457FDF35A4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B5121BB9-00E0-4B59-82F8-9AE5534BEBF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70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172DFBF-2A85-40EC-BCD5-9F6E92D2A7D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79D7F73-9ADD-4E97-A1CC-A693BD729DB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15415A1-F352-41BD-A186-6CD7B86894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71B3F6F3-88E1-4352-A8F5-38618D273C2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7BDDD-D04A-4BC0-A8FC-FAFBA41D24D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A0F85F6-EDD7-4483-8037-E012EBE07C9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1658695-CED3-408F-B672-A978C5B6328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70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0D418B2-34CA-4FAF-A391-2C6D270817C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8115003-E632-43DD-9E76-224162B8AE6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606023C-A9A0-4263-B916-474E2E833E7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12B6863-6F10-463B-A48A-EEB82EA7AD0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84F2F323-A70A-4368-8D19-453C44D8602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667C45C-3562-481F-995F-8633058132C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DEDB903-6204-488D-8447-E9C71A4A768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5E3010D5-599E-4FEA-ABE8-0FC5E255CD4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CA7C06E-06A7-4C55-92AD-B8AED29A54F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EE15ED1-3E7E-4FA3-95BB-4BAE1D5C5C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5F63D9CF-CFC1-4E4D-9218-05135F87BF9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70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E822C30-9CDD-4143-AF70-452C80D1B08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B061660-2477-4729-B26D-9DEDFB719FB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2336E10C-D438-4E01-B2D3-44E1DD59950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1474FF1-9859-4BE2-985B-5D1420A0B1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257DE15-404A-4B62-9272-B2D7EFAB10C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9949397-B275-4392-8108-2B7D689E9DF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8954D85-36D3-457D-A6AF-6599E3A1913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32D417E7-3549-4D1A-A155-25CE1A8379F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699C938-C4E0-41D0-A521-23637964FCE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273F086-4CEC-42C4-8A16-A75F1FB53C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6BEA3F3-FB27-4293-8C6B-5C7CB7DCBC5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1388BE9-7DC9-4B43-B14E-E72C0465454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B2703224-18A9-47AE-89FD-02DC18274A3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038E7B1-893C-4D99-83DE-C6EEF5637D2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132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E742DC-0721-4091-86F5-2B77BDC2ADE3}"/>
            </a:ext>
          </a:extLst>
        </xdr:cNvPr>
        <xdr:cNvSpPr txBox="1"/>
      </xdr:nvSpPr>
      <xdr:spPr>
        <a:xfrm>
          <a:off x="10130428331" y="3117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144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336713B-4029-48B7-A339-8B884D3A62D1}"/>
            </a:ext>
          </a:extLst>
        </xdr:cNvPr>
        <xdr:cNvSpPr txBox="1"/>
      </xdr:nvSpPr>
      <xdr:spPr>
        <a:xfrm>
          <a:off x="10130428331" y="3406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134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1009A045-E148-446D-9D22-A93644E5DF97}"/>
            </a:ext>
          </a:extLst>
        </xdr:cNvPr>
        <xdr:cNvSpPr txBox="1"/>
      </xdr:nvSpPr>
      <xdr:spPr>
        <a:xfrm>
          <a:off x="10130428331" y="3262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147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6D4E4DD4-DACC-4EA9-8323-3C8BBBCF82CE}"/>
            </a:ext>
          </a:extLst>
        </xdr:cNvPr>
        <xdr:cNvSpPr txBox="1"/>
      </xdr:nvSpPr>
      <xdr:spPr>
        <a:xfrm>
          <a:off x="10130428331" y="35516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167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471C3A4-9E8C-4082-906B-F269E36DBDD3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169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3889FD15-E18E-4EF8-A74A-3FD1D1AD8157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168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38CD3194-6C48-4F99-936B-21B3EB835514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145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7A512641-0234-4766-9640-3113ADF0974B}"/>
            </a:ext>
          </a:extLst>
        </xdr:cNvPr>
        <xdr:cNvSpPr txBox="1"/>
      </xdr:nvSpPr>
      <xdr:spPr>
        <a:xfrm>
          <a:off x="10130428331" y="3406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148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CC14A31A-F5C7-40F0-83A3-3136995FB463}"/>
            </a:ext>
          </a:extLst>
        </xdr:cNvPr>
        <xdr:cNvSpPr txBox="1"/>
      </xdr:nvSpPr>
      <xdr:spPr>
        <a:xfrm>
          <a:off x="10130428331" y="35516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135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604BF364-0B57-4F93-B1F3-E1E356E16B1C}"/>
            </a:ext>
          </a:extLst>
        </xdr:cNvPr>
        <xdr:cNvSpPr txBox="1"/>
      </xdr:nvSpPr>
      <xdr:spPr>
        <a:xfrm>
          <a:off x="10130428331" y="3262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170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3D2BCE8-A0D4-4E91-A534-96F57D80F1A4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143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64132E10-C928-438D-8161-40AE41F8179B}"/>
            </a:ext>
          </a:extLst>
        </xdr:cNvPr>
        <xdr:cNvSpPr txBox="1"/>
      </xdr:nvSpPr>
      <xdr:spPr>
        <a:xfrm>
          <a:off x="10130428331" y="33345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146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7C941681-58DB-4328-9E79-52FBA8EFD3A4}"/>
            </a:ext>
          </a:extLst>
        </xdr:cNvPr>
        <xdr:cNvSpPr txBox="1"/>
      </xdr:nvSpPr>
      <xdr:spPr>
        <a:xfrm>
          <a:off x="10130428331" y="3479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133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882D3181-93CA-46FA-8C1F-9424338CDF45}"/>
            </a:ext>
          </a:extLst>
        </xdr:cNvPr>
        <xdr:cNvSpPr txBox="1"/>
      </xdr:nvSpPr>
      <xdr:spPr>
        <a:xfrm>
          <a:off x="10130428331" y="31897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164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B96134F5-0A85-4B85-B052-046A579159EE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163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7081B75-86C8-4D81-B650-D4BA599887B3}"/>
            </a:ext>
          </a:extLst>
        </xdr:cNvPr>
        <xdr:cNvSpPr txBox="1"/>
      </xdr:nvSpPr>
      <xdr:spPr>
        <a:xfrm>
          <a:off x="10130428331" y="36240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146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4118258-DFF3-4E2E-88BE-006269BA2B44}"/>
            </a:ext>
          </a:extLst>
        </xdr:cNvPr>
        <xdr:cNvSpPr txBox="1"/>
      </xdr:nvSpPr>
      <xdr:spPr>
        <a:xfrm>
          <a:off x="10130428331" y="3479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175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3B01FD9-4944-4064-9000-33C6E0BE3EAD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175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63E5DB0-93F9-484B-84A1-0AA16D75631E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1C49066-3644-4C23-ADC5-B23447B2E320}"/>
            </a:ext>
          </a:extLst>
        </xdr:cNvPr>
        <xdr:cNvSpPr txBox="1"/>
      </xdr:nvSpPr>
      <xdr:spPr>
        <a:xfrm>
          <a:off x="10130428331" y="398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1CAB6212-BB6E-4B8C-B91C-5CB1DCA9952D}"/>
            </a:ext>
          </a:extLst>
        </xdr:cNvPr>
        <xdr:cNvSpPr txBox="1"/>
      </xdr:nvSpPr>
      <xdr:spPr>
        <a:xfrm>
          <a:off x="10130428331" y="398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185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5FC2532-D7BE-4F3F-9077-F62C298043C2}"/>
            </a:ext>
          </a:extLst>
        </xdr:cNvPr>
        <xdr:cNvSpPr txBox="1"/>
      </xdr:nvSpPr>
      <xdr:spPr>
        <a:xfrm>
          <a:off x="10130428331" y="43441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185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1F2E65A-53C7-4674-9747-C30FB90DAC30}"/>
            </a:ext>
          </a:extLst>
        </xdr:cNvPr>
        <xdr:cNvSpPr txBox="1"/>
      </xdr:nvSpPr>
      <xdr:spPr>
        <a:xfrm>
          <a:off x="10130428331" y="43441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47272924-11B8-4277-90AF-8970DEB0D19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4137649-9805-4552-A955-DC4751836D3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B543D806-00FC-4A0B-8F35-11A16A97DAD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B3E4AE2-30A0-4FAD-BA1F-D73B2ED6F63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1599D9E2-5E8A-4423-8713-98EB41368CA3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CEF0E72E-28C6-409F-BF5E-1C4EB214D67C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DB5F7D8-41B6-4ED5-9DB1-C5594E8DB4FF}"/>
            </a:ext>
          </a:extLst>
        </xdr:cNvPr>
        <xdr:cNvSpPr txBox="1"/>
      </xdr:nvSpPr>
      <xdr:spPr>
        <a:xfrm>
          <a:off x="10130428331" y="37917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19CFC7D-977C-484B-8448-2E85F3557BD9}"/>
            </a:ext>
          </a:extLst>
        </xdr:cNvPr>
        <xdr:cNvSpPr txBox="1"/>
      </xdr:nvSpPr>
      <xdr:spPr>
        <a:xfrm>
          <a:off x="10130428331" y="37917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16C66D66-5BFE-4B93-A378-CBC818C053FB}"/>
            </a:ext>
          </a:extLst>
        </xdr:cNvPr>
        <xdr:cNvSpPr txBox="1"/>
      </xdr:nvSpPr>
      <xdr:spPr>
        <a:xfrm>
          <a:off x="10130428331" y="38869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176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F9391F9-D762-475B-9B5C-4026757EE3EB}"/>
            </a:ext>
          </a:extLst>
        </xdr:cNvPr>
        <xdr:cNvSpPr txBox="1"/>
      </xdr:nvSpPr>
      <xdr:spPr>
        <a:xfrm>
          <a:off x="10130428331" y="38869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597B4D9-B2F1-4926-80C7-0E1ADE70D4E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E9E4152-2C41-40EA-8B76-46AC95C8541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8080151-8EFC-4DC9-A8F6-3E07FF42E19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3EE2D0B-DB79-4888-9A74-656B771C864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1832FDA-E09E-470F-A179-5210BB48CDE2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88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E6BE789E-F3AB-4D3B-8504-97D4640FC0A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4867B1DD-0197-43CE-92C7-BB5E4DE84E1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88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A73F1591-C7F1-4AED-82BC-387FFA83A82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70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9C10A449-9366-41BC-9EEE-39C2C022E16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3AC942E4-5193-49D9-A8B7-09CD5A47CFF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D900345-5D62-43A1-9E4A-77408544612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ADD2D1A8-7B6D-4897-B0D4-0E60303ED2E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FC1C6AC8-8585-443F-A7E0-602CA573AFC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C1F082D-E3AD-4C1B-AA01-022BC222B1B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88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602DC86B-01F2-4BF9-848F-8E49DA00ACEA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88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A67F7E99-0485-45EC-A8DD-2854DAAFA26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85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22CCA735-FFE1-4F87-B7D5-56A83CBB86D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9F1F2181-15B9-47DF-9D22-2E0D7732113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52344AA1-5334-41DF-9246-02B14E1B028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B182A7E2-871B-43F7-A51E-7F3D41AD728B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81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FA77FFF4-C96B-42F4-B3FC-27F67E8ACCB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81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65BB8628-BABB-44E6-8FC8-056C5343E38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71B8F9FA-F2AE-4EBE-96BB-D5D7C0C1A3F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2B1B03A9-78CB-4E94-9C38-29CD58F0F4A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81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8F8EA794-045A-4C17-8F37-000385FF02D8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51C751-9A73-4605-9C31-6AB650DC1F8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910A6AB-8668-49E4-A9B1-D55F2BDAA56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1ED708-45AA-44C8-B50D-1108442F659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28C5C9F8-3FB0-4DC9-A2AF-73E40FD4C8C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31D869FD-5952-429C-A049-8F29090FDF0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3F173C02-EFBC-4160-A614-80D53D164A9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78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C841DE1-D0F9-4168-9D89-C4129947810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A0F1B75B-6BDF-4649-8F3D-0C2D5291E36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C1B17764-C634-4E73-AC04-259D237CE4D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80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6E098D86-C31B-4D06-BEF6-71BD8E3EC09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AEBC0C-9097-4C73-9998-EF875DD84D3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752BB1F8-2938-4405-8E16-7F9D128FE2F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267D122B-7E0B-4AF1-BB6F-6754C44D252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2C48785A-6EF4-47A0-9574-0EA1FFA147D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79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D78C5A30-254F-4706-B03C-28D3B571EDE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84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34BD0DB0-3CEF-43E1-A7CB-87C11EE10C6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83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363F6FCB-601B-4EA3-844F-39D21DDC9214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FE641F0-CD3C-42EB-892F-650A3C56A04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1551AE7-7953-45C2-A49F-873CE89E191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8D700B6-7387-4941-92F4-E56B91ED7C0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87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3AEDE6FF-B6FE-4538-93DE-CD40814360C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80959A4E-9937-483F-AE97-C4323C4302C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AFA840D7-B48F-41A1-8E1B-51660B43813C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B575DF28-6F1E-4EF3-8298-D5ECFDA3FB14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86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2A57890-7378-4739-9A4F-08F0EAFA67E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E392B561-4916-4543-98AA-C98A82D1DDF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76D4BCA7-B8EE-4E4A-BBEB-A5818442223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59CE791C-716F-4D4E-AF1B-F63E8683372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1B124805-0CDF-403F-AE77-5458033C0A3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D7C9687D-2176-424D-BE2C-4DE811721BF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A35325E-BC23-4DF6-896A-BBF34554338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41FE340F-C5DE-478A-A604-A37C7AC11A8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38C47249-1947-4F41-A1D5-0E20AC2E58A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70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F5C95C3-9280-4BD2-A357-0B7626D4B6B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68B1BA92-B6F3-43FD-826D-D2B606B9414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73A9BE68-4C2C-4114-BDAE-90260AE901C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D126D69F-3626-420D-BD37-1158F10876B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968D0ADF-074E-4B65-B877-48B0753BC85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2AF033C-5D13-4267-824A-D705E6EBAF3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E7447C48-1E9E-4DB9-B49D-512592BDDF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1E850563-C1F1-4B60-B34A-1A0DEB06D80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64C2E97-50D2-4610-8035-76590E3BEEB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5AA70F2A-9C64-48B9-BDEE-74D5D69675E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CBC44F78-94D1-48C5-828E-704A50BF5C4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E183A835-E4AF-4A87-8CBC-C1466BC66A5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75A70861-9DDD-4F3D-85D9-699ECBA8201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82B02E58-6743-42F5-BF74-92F27AD27E7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B5B271C1-5955-4227-B97A-B86BCF36397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CDD0264-B953-4AF7-8B62-5AB8BF0B3CA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40163285-A3DD-46BC-88E9-223748FB9E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7330018-411B-4BB7-8E43-645AC0177A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3ACF2E2D-CDC1-465E-B3D2-D3D4407ED95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3C3783B9-0CCA-4966-8044-6E01EBBCE99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C95DF158-5670-49C7-8674-99D691F0FA2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73504D1-91B5-48CF-8CAE-3432ED1AC9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1DCD7BBE-F6B2-4BC6-B534-8B0B2C0B382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4EB95534-1235-4DE3-A9FA-ED06CB56697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34EE2CBD-6AFD-4DE7-B972-DE2646F696A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BC319C3F-FD95-43AA-A95B-BFE1A8CB298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4A6C5F35-808B-4E2A-9669-578F69117DF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72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17AEC102-C1A3-433E-8AE4-DFB8A69F89A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62DD6E83-9C74-41ED-9043-E6075DB7801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D0EF1B17-DFFF-4302-A394-5182BB93077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B60E33C-85E2-4F6D-8F11-3869AD83F28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7ED40D0E-9736-4F90-A447-E4126A900D7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AB91D54-5B56-45E8-BC03-83E4ED285D8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73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C647A368-3C75-454F-A12E-FED4FBB7632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411A5563-9813-4D4E-89C5-6F9E914AF2C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74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36D7B36E-B51F-4FCE-AF33-82733B5BC02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E1412EE6-FC04-444C-B7C8-3FE5118FF01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9FDDC76C-2CDB-4420-AE78-091D5AA3F21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C63CA96A-EE6C-4DA1-B300-2C4DFC84C4A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71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D505B8F4-CC74-411D-8FE1-E29DED382B6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D2D76D-561B-4A0E-B0E4-BAD793009E7F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533F8BE-F287-4176-867E-0305A70377F4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137E5587-8B8B-452E-9D93-1607D6DDCB5B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82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757A022F-1A56-4DB5-A257-66910898E020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1617-0C53-4B8F-93E9-DF207E9A98D5}">
  <sheetPr filterMode="1">
    <pageSetUpPr fitToPage="1"/>
  </sheetPr>
  <dimension ref="A1:Q2220"/>
  <sheetViews>
    <sheetView rightToLeft="1" view="pageBreakPreview" zoomScale="80" zoomScaleNormal="90" zoomScaleSheetLayoutView="80" workbookViewId="0">
      <pane ySplit="5" topLeftCell="A6" activePane="bottomLeft" state="frozen"/>
      <selection activeCell="C1951" sqref="C1951"/>
      <selection pane="bottomLeft" activeCell="M5" sqref="M5"/>
    </sheetView>
  </sheetViews>
  <sheetFormatPr defaultColWidth="8.88671875" defaultRowHeight="16.2" thickBottom="1" x14ac:dyDescent="0.35"/>
  <cols>
    <col min="1" max="1" width="9.109375" style="38" bestFit="1" customWidth="1"/>
    <col min="2" max="2" width="47.109375" style="38" customWidth="1"/>
    <col min="3" max="3" width="27" style="38" customWidth="1"/>
    <col min="4" max="4" width="26" style="38" customWidth="1"/>
    <col min="5" max="5" width="21" style="38" customWidth="1"/>
    <col min="6" max="6" width="9.109375" style="38" bestFit="1" customWidth="1"/>
    <col min="7" max="7" width="14.6640625" style="38" customWidth="1"/>
    <col min="8" max="8" width="15" style="38" customWidth="1"/>
    <col min="9" max="9" width="13.6640625" style="38" customWidth="1"/>
    <col min="10" max="10" width="19.6640625" style="33" customWidth="1"/>
    <col min="11" max="11" width="10.44140625" style="33" customWidth="1"/>
    <col min="12" max="12" width="10.44140625" style="29" customWidth="1"/>
    <col min="13" max="13" width="10.44140625" style="72" customWidth="1"/>
    <col min="14" max="14" width="11" style="66" customWidth="1"/>
    <col min="15" max="17" width="8.88671875" style="38"/>
    <col min="18" max="18" width="11.88671875" style="38" customWidth="1"/>
    <col min="19" max="16384" width="8.88671875" style="38"/>
  </cols>
  <sheetData>
    <row r="1" spans="1:16" ht="23.4" customHeight="1" x14ac:dyDescent="0.3">
      <c r="A1" s="357" t="s">
        <v>490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9"/>
    </row>
    <row r="2" spans="1:16" ht="23.4" customHeight="1" x14ac:dyDescent="0.3">
      <c r="A2" s="357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9"/>
    </row>
    <row r="3" spans="1:16" ht="14.4" x14ac:dyDescent="0.3">
      <c r="A3" s="357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9"/>
    </row>
    <row r="4" spans="1:16" ht="15" thickBot="1" x14ac:dyDescent="0.35">
      <c r="A4" s="360"/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2"/>
    </row>
    <row r="5" spans="1:16" ht="43.8" thickBot="1" x14ac:dyDescent="0.35">
      <c r="A5" s="14" t="s">
        <v>1</v>
      </c>
      <c r="B5" s="14" t="s">
        <v>491</v>
      </c>
      <c r="C5" s="14" t="s">
        <v>5</v>
      </c>
      <c r="D5" s="14" t="s">
        <v>492</v>
      </c>
      <c r="E5" s="14" t="s">
        <v>493</v>
      </c>
      <c r="F5" s="15" t="s">
        <v>494</v>
      </c>
      <c r="G5" s="15" t="s">
        <v>484</v>
      </c>
      <c r="H5" s="34" t="s">
        <v>60</v>
      </c>
      <c r="I5" s="14" t="s">
        <v>61</v>
      </c>
      <c r="J5" s="30" t="s">
        <v>2</v>
      </c>
      <c r="K5" s="67" t="s">
        <v>1202</v>
      </c>
      <c r="L5" s="49" t="s">
        <v>1203</v>
      </c>
      <c r="M5" s="107" t="s">
        <v>1204</v>
      </c>
      <c r="N5" s="66" t="s">
        <v>1142</v>
      </c>
      <c r="P5" s="32"/>
    </row>
    <row r="6" spans="1:16" hidden="1" thickBot="1" x14ac:dyDescent="0.35">
      <c r="A6" s="14">
        <v>0</v>
      </c>
      <c r="B6" s="14" t="s">
        <v>1022</v>
      </c>
      <c r="C6" s="14" t="s">
        <v>1022</v>
      </c>
      <c r="D6" s="14" t="s">
        <v>497</v>
      </c>
      <c r="E6" s="14" t="s">
        <v>14</v>
      </c>
      <c r="F6" s="15">
        <v>101</v>
      </c>
      <c r="G6" s="273">
        <v>52938312</v>
      </c>
      <c r="H6" s="276">
        <v>52599312</v>
      </c>
      <c r="I6" s="273">
        <f>J6-H6</f>
        <v>472761</v>
      </c>
      <c r="J6" s="270">
        <v>53072073</v>
      </c>
      <c r="K6" s="267"/>
      <c r="L6" s="264">
        <f>G6-J6</f>
        <v>-133761</v>
      </c>
      <c r="M6" s="108"/>
      <c r="N6" s="110"/>
      <c r="P6" s="38" t="s">
        <v>1242</v>
      </c>
    </row>
    <row r="7" spans="1:16" s="163" customFormat="1" hidden="1" thickBot="1" x14ac:dyDescent="0.35">
      <c r="A7" s="47">
        <v>0</v>
      </c>
      <c r="B7" s="47" t="s">
        <v>1789</v>
      </c>
      <c r="C7" s="47" t="s">
        <v>1788</v>
      </c>
      <c r="D7" s="47" t="s">
        <v>497</v>
      </c>
      <c r="E7" s="47" t="s">
        <v>14</v>
      </c>
      <c r="F7" s="252">
        <v>1</v>
      </c>
      <c r="G7" s="274">
        <v>52938312</v>
      </c>
      <c r="H7" s="277">
        <v>52599312</v>
      </c>
      <c r="I7" s="274">
        <f>J7-H7</f>
        <v>472761</v>
      </c>
      <c r="J7" s="271">
        <v>53072073</v>
      </c>
      <c r="K7" s="268"/>
      <c r="L7" s="265">
        <f>G7-J7</f>
        <v>-133761</v>
      </c>
      <c r="M7" s="108"/>
      <c r="N7" s="263"/>
      <c r="P7" s="163" t="s">
        <v>1242</v>
      </c>
    </row>
    <row r="8" spans="1:16" s="163" customFormat="1" hidden="1" thickBot="1" x14ac:dyDescent="0.35">
      <c r="A8" s="47">
        <v>0</v>
      </c>
      <c r="B8" s="47" t="s">
        <v>1784</v>
      </c>
      <c r="C8" s="47" t="s">
        <v>1022</v>
      </c>
      <c r="D8" s="47" t="s">
        <v>497</v>
      </c>
      <c r="E8" s="47" t="s">
        <v>14</v>
      </c>
      <c r="F8" s="252">
        <v>101</v>
      </c>
      <c r="G8" s="275">
        <f>H8-M8</f>
        <v>50006860</v>
      </c>
      <c r="H8" s="278">
        <v>50006860</v>
      </c>
      <c r="I8" s="275">
        <f>J8-H8</f>
        <v>449179</v>
      </c>
      <c r="J8" s="272">
        <v>50456039</v>
      </c>
      <c r="K8" s="269"/>
      <c r="L8" s="266"/>
      <c r="M8" s="108"/>
      <c r="N8" s="263"/>
      <c r="P8" s="163" t="s">
        <v>1242</v>
      </c>
    </row>
    <row r="9" spans="1:16" s="163" customFormat="1" hidden="1" thickBot="1" x14ac:dyDescent="0.35">
      <c r="A9" s="47">
        <v>0</v>
      </c>
      <c r="B9" s="47" t="s">
        <v>1023</v>
      </c>
      <c r="C9" s="47" t="s">
        <v>1022</v>
      </c>
      <c r="D9" s="47" t="s">
        <v>497</v>
      </c>
      <c r="E9" s="47" t="s">
        <v>14</v>
      </c>
      <c r="F9" s="252">
        <v>5</v>
      </c>
      <c r="G9" s="275">
        <f>H9-M9</f>
        <v>2592452</v>
      </c>
      <c r="H9" s="278">
        <v>2592452</v>
      </c>
      <c r="I9" s="275">
        <f>J9-H9</f>
        <v>23582</v>
      </c>
      <c r="J9" s="272">
        <v>2616034</v>
      </c>
      <c r="K9" s="269"/>
      <c r="L9" s="266">
        <v>0</v>
      </c>
      <c r="M9" s="108"/>
      <c r="N9" s="263"/>
      <c r="P9" s="163" t="s">
        <v>1242</v>
      </c>
    </row>
    <row r="10" spans="1:16" ht="15" hidden="1" thickBot="1" x14ac:dyDescent="0.35">
      <c r="A10" s="14">
        <v>1</v>
      </c>
      <c r="B10" s="14" t="s">
        <v>495</v>
      </c>
      <c r="C10" s="14" t="s">
        <v>496</v>
      </c>
      <c r="D10" s="14" t="s">
        <v>497</v>
      </c>
      <c r="E10" s="14" t="s">
        <v>14</v>
      </c>
      <c r="F10" s="14">
        <v>2</v>
      </c>
      <c r="G10" s="16">
        <f>H10-M10</f>
        <v>5087297.5</v>
      </c>
      <c r="H10" s="16">
        <v>5087297.5</v>
      </c>
      <c r="I10" s="16">
        <f>J10-H10</f>
        <v>0</v>
      </c>
      <c r="J10" s="31">
        <v>5087297.5</v>
      </c>
      <c r="K10" s="68"/>
      <c r="L10" s="50"/>
      <c r="M10" s="109"/>
      <c r="N10" s="110"/>
    </row>
    <row r="11" spans="1:16" thickBot="1" x14ac:dyDescent="0.35">
      <c r="A11" s="14">
        <v>2</v>
      </c>
      <c r="B11" s="14" t="s">
        <v>498</v>
      </c>
      <c r="C11" s="20" t="s">
        <v>1278</v>
      </c>
      <c r="D11" s="200" t="s">
        <v>614</v>
      </c>
      <c r="E11" s="14" t="s">
        <v>499</v>
      </c>
      <c r="F11" s="14">
        <v>7</v>
      </c>
      <c r="G11" s="16">
        <f t="shared" ref="G11:G83" si="0">H11-M11</f>
        <v>201226</v>
      </c>
      <c r="H11" s="16">
        <v>202596</v>
      </c>
      <c r="I11" s="16">
        <f t="shared" ref="I11:I91" si="1">J11-H11</f>
        <v>0</v>
      </c>
      <c r="J11" s="31">
        <v>202596</v>
      </c>
      <c r="K11" s="69">
        <f>M11-L11</f>
        <v>0</v>
      </c>
      <c r="L11" s="50">
        <v>1370</v>
      </c>
      <c r="M11" s="109">
        <v>1370</v>
      </c>
      <c r="N11" s="66">
        <v>0.95</v>
      </c>
      <c r="P11" s="173"/>
    </row>
    <row r="12" spans="1:16" thickBot="1" x14ac:dyDescent="0.35">
      <c r="A12" s="14">
        <v>2</v>
      </c>
      <c r="B12" s="14" t="s">
        <v>498</v>
      </c>
      <c r="C12" s="20" t="s">
        <v>1278</v>
      </c>
      <c r="D12" s="200" t="s">
        <v>614</v>
      </c>
      <c r="E12" s="14" t="s">
        <v>500</v>
      </c>
      <c r="F12" s="14">
        <v>8</v>
      </c>
      <c r="G12" s="16">
        <f t="shared" si="0"/>
        <v>201090</v>
      </c>
      <c r="H12" s="16">
        <v>202940</v>
      </c>
      <c r="I12" s="16">
        <f>J12-H12</f>
        <v>0</v>
      </c>
      <c r="J12" s="31">
        <v>202940</v>
      </c>
      <c r="K12" s="69">
        <f>M12-L12</f>
        <v>0</v>
      </c>
      <c r="L12" s="50">
        <v>1850</v>
      </c>
      <c r="M12" s="109">
        <v>1850</v>
      </c>
      <c r="N12" s="66">
        <v>0.95</v>
      </c>
    </row>
    <row r="13" spans="1:16" thickBot="1" x14ac:dyDescent="0.35">
      <c r="A13" s="14">
        <v>2</v>
      </c>
      <c r="B13" s="14" t="s">
        <v>498</v>
      </c>
      <c r="C13" s="20" t="s">
        <v>1278</v>
      </c>
      <c r="D13" s="200" t="s">
        <v>614</v>
      </c>
      <c r="E13" s="14" t="s">
        <v>502</v>
      </c>
      <c r="F13" s="14">
        <v>8</v>
      </c>
      <c r="G13" s="16">
        <f t="shared" si="0"/>
        <v>200806</v>
      </c>
      <c r="H13" s="16">
        <v>202596</v>
      </c>
      <c r="I13" s="16">
        <f t="shared" si="1"/>
        <v>0</v>
      </c>
      <c r="J13" s="31">
        <v>202596</v>
      </c>
      <c r="K13" s="69">
        <f t="shared" ref="K13:K85" si="2">M13-L13</f>
        <v>0</v>
      </c>
      <c r="L13" s="50">
        <v>1790</v>
      </c>
      <c r="M13" s="109">
        <v>1790</v>
      </c>
      <c r="N13" s="66">
        <v>0.95</v>
      </c>
    </row>
    <row r="14" spans="1:16" thickBot="1" x14ac:dyDescent="0.35">
      <c r="A14" s="14">
        <v>2</v>
      </c>
      <c r="B14" s="14" t="s">
        <v>498</v>
      </c>
      <c r="C14" s="20" t="s">
        <v>1278</v>
      </c>
      <c r="D14" s="200" t="s">
        <v>614</v>
      </c>
      <c r="E14" s="14" t="s">
        <v>503</v>
      </c>
      <c r="F14" s="14">
        <v>7</v>
      </c>
      <c r="G14" s="16">
        <f t="shared" si="0"/>
        <v>200826</v>
      </c>
      <c r="H14" s="16">
        <v>202596</v>
      </c>
      <c r="I14" s="16">
        <f t="shared" si="1"/>
        <v>0</v>
      </c>
      <c r="J14" s="31">
        <v>202596</v>
      </c>
      <c r="K14" s="69">
        <f t="shared" si="2"/>
        <v>0</v>
      </c>
      <c r="L14" s="50">
        <v>1770</v>
      </c>
      <c r="M14" s="109">
        <v>1770</v>
      </c>
      <c r="N14" s="66">
        <v>0.95</v>
      </c>
    </row>
    <row r="15" spans="1:16" thickBot="1" x14ac:dyDescent="0.35">
      <c r="A15" s="14">
        <v>2</v>
      </c>
      <c r="B15" s="14" t="s">
        <v>498</v>
      </c>
      <c r="C15" s="20" t="s">
        <v>1278</v>
      </c>
      <c r="D15" s="200" t="s">
        <v>614</v>
      </c>
      <c r="E15" s="14" t="s">
        <v>504</v>
      </c>
      <c r="F15" s="14">
        <v>10</v>
      </c>
      <c r="G15" s="16">
        <f t="shared" si="0"/>
        <v>199510</v>
      </c>
      <c r="H15" s="16">
        <v>202832</v>
      </c>
      <c r="I15" s="16">
        <f t="shared" si="1"/>
        <v>0</v>
      </c>
      <c r="J15" s="31">
        <v>202832</v>
      </c>
      <c r="K15" s="69">
        <f t="shared" si="2"/>
        <v>0</v>
      </c>
      <c r="L15" s="50">
        <v>3322</v>
      </c>
      <c r="M15" s="109">
        <v>3322</v>
      </c>
      <c r="N15" s="66">
        <v>0.95</v>
      </c>
    </row>
    <row r="16" spans="1:16" thickBot="1" x14ac:dyDescent="0.35">
      <c r="A16" s="14">
        <v>2</v>
      </c>
      <c r="B16" s="14" t="s">
        <v>498</v>
      </c>
      <c r="C16" s="20" t="s">
        <v>1278</v>
      </c>
      <c r="D16" s="200" t="s">
        <v>1831</v>
      </c>
      <c r="E16" s="14" t="s">
        <v>504</v>
      </c>
      <c r="F16" s="14">
        <v>4</v>
      </c>
      <c r="G16" s="16">
        <f t="shared" si="0"/>
        <v>5952</v>
      </c>
      <c r="H16" s="16">
        <v>6552</v>
      </c>
      <c r="I16" s="16">
        <f t="shared" si="1"/>
        <v>0</v>
      </c>
      <c r="J16" s="31">
        <v>6552</v>
      </c>
      <c r="K16" s="69">
        <f t="shared" si="2"/>
        <v>0</v>
      </c>
      <c r="L16" s="50">
        <v>600</v>
      </c>
      <c r="M16" s="109">
        <v>600</v>
      </c>
      <c r="N16" s="66">
        <v>0.9</v>
      </c>
    </row>
    <row r="17" spans="1:14" thickBot="1" x14ac:dyDescent="0.35">
      <c r="A17" s="14">
        <v>2</v>
      </c>
      <c r="B17" s="14" t="s">
        <v>498</v>
      </c>
      <c r="C17" s="20" t="s">
        <v>1278</v>
      </c>
      <c r="D17" s="200" t="s">
        <v>505</v>
      </c>
      <c r="E17" s="14" t="s">
        <v>504</v>
      </c>
      <c r="F17" s="14">
        <v>4</v>
      </c>
      <c r="G17" s="16">
        <f t="shared" si="0"/>
        <v>90640</v>
      </c>
      <c r="H17" s="16">
        <v>92565</v>
      </c>
      <c r="I17" s="16">
        <f t="shared" si="1"/>
        <v>0</v>
      </c>
      <c r="J17" s="31">
        <v>92565</v>
      </c>
      <c r="K17" s="69">
        <f t="shared" si="2"/>
        <v>0</v>
      </c>
      <c r="L17" s="50">
        <v>1925</v>
      </c>
      <c r="M17" s="109">
        <v>1925</v>
      </c>
      <c r="N17" s="66">
        <v>0.95</v>
      </c>
    </row>
    <row r="18" spans="1:14" thickBot="1" x14ac:dyDescent="0.35">
      <c r="A18" s="14">
        <v>2</v>
      </c>
      <c r="B18" s="14" t="s">
        <v>498</v>
      </c>
      <c r="C18" s="20" t="s">
        <v>1278</v>
      </c>
      <c r="D18" s="200" t="s">
        <v>637</v>
      </c>
      <c r="E18" s="14" t="s">
        <v>504</v>
      </c>
      <c r="F18" s="14">
        <v>4</v>
      </c>
      <c r="G18" s="16">
        <f t="shared" si="0"/>
        <v>44220</v>
      </c>
      <c r="H18" s="16">
        <v>44820</v>
      </c>
      <c r="I18" s="16">
        <f t="shared" si="1"/>
        <v>0</v>
      </c>
      <c r="J18" s="31">
        <v>44820</v>
      </c>
      <c r="K18" s="69">
        <f t="shared" si="2"/>
        <v>0</v>
      </c>
      <c r="L18" s="50">
        <v>600</v>
      </c>
      <c r="M18" s="109">
        <v>600</v>
      </c>
      <c r="N18" s="66">
        <v>0.9</v>
      </c>
    </row>
    <row r="19" spans="1:14" thickBot="1" x14ac:dyDescent="0.35">
      <c r="A19" s="14">
        <v>2</v>
      </c>
      <c r="B19" s="14" t="s">
        <v>498</v>
      </c>
      <c r="C19" s="20" t="s">
        <v>1278</v>
      </c>
      <c r="D19" s="200" t="s">
        <v>614</v>
      </c>
      <c r="E19" s="14" t="s">
        <v>506</v>
      </c>
      <c r="F19" s="14">
        <v>8</v>
      </c>
      <c r="G19" s="16">
        <f t="shared" si="0"/>
        <v>201546</v>
      </c>
      <c r="H19" s="16">
        <v>202596</v>
      </c>
      <c r="I19" s="16">
        <f t="shared" si="1"/>
        <v>0</v>
      </c>
      <c r="J19" s="31">
        <v>202596</v>
      </c>
      <c r="K19" s="69">
        <f t="shared" si="2"/>
        <v>0</v>
      </c>
      <c r="L19" s="50">
        <v>1050</v>
      </c>
      <c r="M19" s="109">
        <v>1050</v>
      </c>
      <c r="N19" s="66">
        <v>0.95</v>
      </c>
    </row>
    <row r="20" spans="1:14" thickBot="1" x14ac:dyDescent="0.35">
      <c r="A20" s="14">
        <v>2</v>
      </c>
      <c r="B20" s="14" t="s">
        <v>498</v>
      </c>
      <c r="C20" s="20" t="s">
        <v>1278</v>
      </c>
      <c r="D20" s="200" t="s">
        <v>510</v>
      </c>
      <c r="E20" s="160" t="s">
        <v>506</v>
      </c>
      <c r="F20" s="14">
        <v>7</v>
      </c>
      <c r="G20" s="16">
        <f t="shared" si="0"/>
        <v>112253</v>
      </c>
      <c r="H20" s="16">
        <v>113243</v>
      </c>
      <c r="I20" s="16">
        <f t="shared" si="1"/>
        <v>0</v>
      </c>
      <c r="J20" s="31">
        <v>113243</v>
      </c>
      <c r="K20" s="69">
        <f t="shared" si="2"/>
        <v>0</v>
      </c>
      <c r="L20" s="50">
        <v>990</v>
      </c>
      <c r="M20" s="109">
        <v>990</v>
      </c>
      <c r="N20" s="66">
        <v>0.95</v>
      </c>
    </row>
    <row r="21" spans="1:14" thickBot="1" x14ac:dyDescent="0.35">
      <c r="A21" s="14">
        <v>2</v>
      </c>
      <c r="B21" s="14" t="s">
        <v>498</v>
      </c>
      <c r="C21" s="20" t="s">
        <v>1278</v>
      </c>
      <c r="D21" s="200" t="s">
        <v>510</v>
      </c>
      <c r="E21" s="14" t="s">
        <v>499</v>
      </c>
      <c r="F21" s="14">
        <v>8</v>
      </c>
      <c r="G21" s="16">
        <f t="shared" si="0"/>
        <v>112093</v>
      </c>
      <c r="H21" s="16">
        <v>113243</v>
      </c>
      <c r="I21" s="16">
        <f t="shared" si="1"/>
        <v>0</v>
      </c>
      <c r="J21" s="31">
        <v>113243</v>
      </c>
      <c r="K21" s="69">
        <f t="shared" si="2"/>
        <v>0</v>
      </c>
      <c r="L21" s="50">
        <v>1150</v>
      </c>
      <c r="M21" s="109">
        <v>1150</v>
      </c>
      <c r="N21" s="66">
        <v>0.95</v>
      </c>
    </row>
    <row r="22" spans="1:14" thickBot="1" x14ac:dyDescent="0.35">
      <c r="A22" s="14">
        <v>2</v>
      </c>
      <c r="B22" s="14" t="s">
        <v>498</v>
      </c>
      <c r="C22" s="20" t="s">
        <v>1278</v>
      </c>
      <c r="D22" s="200" t="s">
        <v>806</v>
      </c>
      <c r="E22" s="14" t="s">
        <v>506</v>
      </c>
      <c r="F22" s="14">
        <v>4</v>
      </c>
      <c r="G22" s="16">
        <f t="shared" si="0"/>
        <v>11105</v>
      </c>
      <c r="H22" s="16">
        <v>11305</v>
      </c>
      <c r="I22" s="16">
        <f t="shared" si="1"/>
        <v>0</v>
      </c>
      <c r="J22" s="31">
        <v>11305</v>
      </c>
      <c r="K22" s="69">
        <f t="shared" si="2"/>
        <v>0</v>
      </c>
      <c r="L22" s="50">
        <v>200</v>
      </c>
      <c r="M22" s="109">
        <v>200</v>
      </c>
      <c r="N22" s="66">
        <v>0.95</v>
      </c>
    </row>
    <row r="23" spans="1:14" thickBot="1" x14ac:dyDescent="0.35">
      <c r="A23" s="14">
        <v>2</v>
      </c>
      <c r="B23" s="14" t="s">
        <v>498</v>
      </c>
      <c r="C23" s="20" t="s">
        <v>1278</v>
      </c>
      <c r="D23" s="200" t="s">
        <v>507</v>
      </c>
      <c r="E23" s="14" t="s">
        <v>504</v>
      </c>
      <c r="F23" s="14">
        <v>6</v>
      </c>
      <c r="G23" s="16">
        <f t="shared" si="0"/>
        <v>90525</v>
      </c>
      <c r="H23" s="16">
        <v>92575</v>
      </c>
      <c r="I23" s="16">
        <f t="shared" si="1"/>
        <v>0</v>
      </c>
      <c r="J23" s="31">
        <v>92575</v>
      </c>
      <c r="K23" s="69">
        <f t="shared" si="2"/>
        <v>0</v>
      </c>
      <c r="L23" s="50">
        <v>2050</v>
      </c>
      <c r="M23" s="109">
        <v>2050</v>
      </c>
      <c r="N23" s="66">
        <v>0.95</v>
      </c>
    </row>
    <row r="24" spans="1:14" thickBot="1" x14ac:dyDescent="0.35">
      <c r="A24" s="14">
        <v>2</v>
      </c>
      <c r="B24" s="14" t="s">
        <v>498</v>
      </c>
      <c r="C24" s="20" t="s">
        <v>1278</v>
      </c>
      <c r="D24" s="200" t="s">
        <v>720</v>
      </c>
      <c r="E24" s="14" t="s">
        <v>508</v>
      </c>
      <c r="F24" s="14">
        <v>4</v>
      </c>
      <c r="G24" s="16">
        <f t="shared" si="0"/>
        <v>22318</v>
      </c>
      <c r="H24" s="16">
        <v>22468</v>
      </c>
      <c r="I24" s="16">
        <f t="shared" si="1"/>
        <v>0</v>
      </c>
      <c r="J24" s="31">
        <v>22468</v>
      </c>
      <c r="K24" s="69">
        <f t="shared" si="2"/>
        <v>0</v>
      </c>
      <c r="L24" s="50">
        <v>150</v>
      </c>
      <c r="M24" s="109">
        <v>150</v>
      </c>
      <c r="N24" s="66">
        <v>0.95</v>
      </c>
    </row>
    <row r="25" spans="1:14" thickBot="1" x14ac:dyDescent="0.35">
      <c r="A25" s="14">
        <v>2</v>
      </c>
      <c r="B25" s="14" t="s">
        <v>498</v>
      </c>
      <c r="C25" s="20" t="s">
        <v>1278</v>
      </c>
      <c r="D25" s="200" t="s">
        <v>614</v>
      </c>
      <c r="E25" s="14" t="s">
        <v>508</v>
      </c>
      <c r="F25" s="14">
        <v>6</v>
      </c>
      <c r="G25" s="16">
        <f t="shared" si="0"/>
        <v>199992</v>
      </c>
      <c r="H25" s="16">
        <v>202596</v>
      </c>
      <c r="I25" s="16">
        <f t="shared" si="1"/>
        <v>0</v>
      </c>
      <c r="J25" s="31">
        <v>202596</v>
      </c>
      <c r="K25" s="69">
        <f t="shared" si="2"/>
        <v>0</v>
      </c>
      <c r="L25" s="50">
        <v>2604</v>
      </c>
      <c r="M25" s="109">
        <v>2604</v>
      </c>
      <c r="N25" s="66">
        <v>0.95</v>
      </c>
    </row>
    <row r="26" spans="1:14" thickBot="1" x14ac:dyDescent="0.35">
      <c r="A26" s="14">
        <v>2</v>
      </c>
      <c r="B26" s="14" t="s">
        <v>498</v>
      </c>
      <c r="C26" s="20" t="s">
        <v>1278</v>
      </c>
      <c r="D26" s="200" t="s">
        <v>510</v>
      </c>
      <c r="E26" s="14" t="s">
        <v>504</v>
      </c>
      <c r="F26" s="14">
        <v>7</v>
      </c>
      <c r="G26" s="16">
        <f t="shared" si="0"/>
        <v>112133</v>
      </c>
      <c r="H26" s="16">
        <v>113243</v>
      </c>
      <c r="I26" s="16">
        <f t="shared" si="1"/>
        <v>0</v>
      </c>
      <c r="J26" s="31">
        <v>113243</v>
      </c>
      <c r="K26" s="69">
        <f t="shared" si="2"/>
        <v>0</v>
      </c>
      <c r="L26" s="50">
        <v>1110</v>
      </c>
      <c r="M26" s="109">
        <v>1110</v>
      </c>
      <c r="N26" s="66">
        <v>0.95</v>
      </c>
    </row>
    <row r="27" spans="1:14" thickBot="1" x14ac:dyDescent="0.35">
      <c r="A27" s="14">
        <v>2</v>
      </c>
      <c r="B27" s="14" t="s">
        <v>498</v>
      </c>
      <c r="C27" s="20" t="s">
        <v>1278</v>
      </c>
      <c r="D27" s="200" t="s">
        <v>510</v>
      </c>
      <c r="E27" s="14" t="s">
        <v>509</v>
      </c>
      <c r="F27" s="14">
        <v>5</v>
      </c>
      <c r="G27" s="16">
        <f t="shared" si="0"/>
        <v>112313</v>
      </c>
      <c r="H27" s="16">
        <v>113243</v>
      </c>
      <c r="I27" s="16">
        <f t="shared" si="1"/>
        <v>0</v>
      </c>
      <c r="J27" s="31">
        <v>113243</v>
      </c>
      <c r="K27" s="69">
        <f t="shared" si="2"/>
        <v>0</v>
      </c>
      <c r="L27" s="50">
        <v>930</v>
      </c>
      <c r="M27" s="109">
        <v>930</v>
      </c>
      <c r="N27" s="66">
        <v>0.95</v>
      </c>
    </row>
    <row r="28" spans="1:14" thickBot="1" x14ac:dyDescent="0.35">
      <c r="A28" s="14">
        <v>2</v>
      </c>
      <c r="B28" s="14" t="s">
        <v>498</v>
      </c>
      <c r="C28" s="20" t="s">
        <v>1278</v>
      </c>
      <c r="D28" s="200" t="s">
        <v>510</v>
      </c>
      <c r="E28" s="14" t="s">
        <v>503</v>
      </c>
      <c r="F28" s="14">
        <v>6</v>
      </c>
      <c r="G28" s="16">
        <f t="shared" si="0"/>
        <v>112153</v>
      </c>
      <c r="H28" s="16">
        <v>113243</v>
      </c>
      <c r="I28" s="16">
        <f t="shared" si="1"/>
        <v>0</v>
      </c>
      <c r="J28" s="31">
        <v>113243</v>
      </c>
      <c r="K28" s="69">
        <f t="shared" si="2"/>
        <v>0</v>
      </c>
      <c r="L28" s="50">
        <v>1090</v>
      </c>
      <c r="M28" s="109">
        <v>1090</v>
      </c>
      <c r="N28" s="66">
        <v>0.95</v>
      </c>
    </row>
    <row r="29" spans="1:14" thickBot="1" x14ac:dyDescent="0.35">
      <c r="A29" s="14">
        <v>2</v>
      </c>
      <c r="B29" s="14" t="s">
        <v>498</v>
      </c>
      <c r="C29" s="20" t="s">
        <v>1278</v>
      </c>
      <c r="D29" s="200" t="s">
        <v>511</v>
      </c>
      <c r="E29" s="14" t="s">
        <v>503</v>
      </c>
      <c r="F29" s="14">
        <v>4</v>
      </c>
      <c r="G29" s="16">
        <f t="shared" si="0"/>
        <v>25792.5</v>
      </c>
      <c r="H29" s="16">
        <v>25792.5</v>
      </c>
      <c r="I29" s="16">
        <f t="shared" si="1"/>
        <v>0</v>
      </c>
      <c r="J29" s="31">
        <v>25792.5</v>
      </c>
      <c r="K29" s="69">
        <f t="shared" si="2"/>
        <v>0</v>
      </c>
      <c r="L29" s="50"/>
      <c r="M29" s="109"/>
      <c r="N29" s="66">
        <v>0.95</v>
      </c>
    </row>
    <row r="30" spans="1:14" thickBot="1" x14ac:dyDescent="0.35">
      <c r="A30" s="14">
        <v>2</v>
      </c>
      <c r="B30" s="14" t="s">
        <v>498</v>
      </c>
      <c r="C30" s="20" t="s">
        <v>1278</v>
      </c>
      <c r="D30" s="200" t="s">
        <v>510</v>
      </c>
      <c r="E30" s="14" t="s">
        <v>512</v>
      </c>
      <c r="F30" s="14">
        <v>5</v>
      </c>
      <c r="G30" s="16">
        <f t="shared" si="0"/>
        <v>112433</v>
      </c>
      <c r="H30" s="16">
        <v>113243</v>
      </c>
      <c r="I30" s="16">
        <f t="shared" si="1"/>
        <v>0</v>
      </c>
      <c r="J30" s="31">
        <v>113243</v>
      </c>
      <c r="K30" s="69">
        <f t="shared" si="2"/>
        <v>0</v>
      </c>
      <c r="L30" s="50">
        <v>810</v>
      </c>
      <c r="M30" s="109">
        <v>810</v>
      </c>
      <c r="N30" s="66">
        <v>0.95</v>
      </c>
    </row>
    <row r="31" spans="1:14" thickBot="1" x14ac:dyDescent="0.35">
      <c r="A31" s="14">
        <v>2</v>
      </c>
      <c r="B31" s="14" t="s">
        <v>498</v>
      </c>
      <c r="C31" s="20" t="s">
        <v>1278</v>
      </c>
      <c r="D31" s="200" t="s">
        <v>513</v>
      </c>
      <c r="E31" s="14" t="s">
        <v>512</v>
      </c>
      <c r="F31" s="14">
        <v>6</v>
      </c>
      <c r="G31" s="16">
        <f t="shared" si="0"/>
        <v>91575</v>
      </c>
      <c r="H31" s="16">
        <v>92215</v>
      </c>
      <c r="I31" s="16">
        <f t="shared" si="1"/>
        <v>0</v>
      </c>
      <c r="J31" s="31">
        <v>92215</v>
      </c>
      <c r="K31" s="69">
        <f t="shared" si="2"/>
        <v>0</v>
      </c>
      <c r="L31" s="50">
        <v>640</v>
      </c>
      <c r="M31" s="109">
        <v>640</v>
      </c>
      <c r="N31" s="66">
        <v>0.95</v>
      </c>
    </row>
    <row r="32" spans="1:14" thickBot="1" x14ac:dyDescent="0.35">
      <c r="A32" s="14">
        <v>2</v>
      </c>
      <c r="B32" s="14" t="s">
        <v>498</v>
      </c>
      <c r="C32" s="20" t="s">
        <v>1278</v>
      </c>
      <c r="D32" s="200" t="s">
        <v>757</v>
      </c>
      <c r="E32" s="14" t="s">
        <v>512</v>
      </c>
      <c r="F32" s="14">
        <v>3</v>
      </c>
      <c r="G32" s="16">
        <f t="shared" si="0"/>
        <v>11935</v>
      </c>
      <c r="H32" s="16">
        <v>11935</v>
      </c>
      <c r="I32" s="16">
        <f t="shared" si="1"/>
        <v>0</v>
      </c>
      <c r="J32" s="31">
        <v>11935</v>
      </c>
      <c r="K32" s="69">
        <f t="shared" si="2"/>
        <v>0</v>
      </c>
      <c r="L32" s="50"/>
      <c r="M32" s="109"/>
    </row>
    <row r="33" spans="1:14" thickBot="1" x14ac:dyDescent="0.35">
      <c r="A33" s="14">
        <v>2</v>
      </c>
      <c r="B33" s="14" t="s">
        <v>498</v>
      </c>
      <c r="C33" s="20" t="s">
        <v>1278</v>
      </c>
      <c r="D33" s="200" t="s">
        <v>510</v>
      </c>
      <c r="E33" s="14" t="s">
        <v>500</v>
      </c>
      <c r="F33" s="14">
        <v>4</v>
      </c>
      <c r="G33" s="16">
        <f t="shared" si="0"/>
        <v>74492</v>
      </c>
      <c r="H33" s="16">
        <v>75212</v>
      </c>
      <c r="I33" s="16">
        <f t="shared" si="1"/>
        <v>0</v>
      </c>
      <c r="J33" s="31">
        <v>75212</v>
      </c>
      <c r="K33" s="69">
        <f t="shared" si="2"/>
        <v>0</v>
      </c>
      <c r="L33" s="50">
        <v>720</v>
      </c>
      <c r="M33" s="109">
        <v>720</v>
      </c>
      <c r="N33" s="66">
        <v>0.95</v>
      </c>
    </row>
    <row r="34" spans="1:14" thickBot="1" x14ac:dyDescent="0.35">
      <c r="A34" s="14">
        <v>2</v>
      </c>
      <c r="B34" s="14" t="s">
        <v>498</v>
      </c>
      <c r="C34" s="20" t="s">
        <v>1278</v>
      </c>
      <c r="D34" s="200" t="s">
        <v>614</v>
      </c>
      <c r="E34" s="14" t="s">
        <v>512</v>
      </c>
      <c r="F34" s="14">
        <v>9</v>
      </c>
      <c r="G34" s="16">
        <f t="shared" si="0"/>
        <v>201350</v>
      </c>
      <c r="H34" s="16">
        <v>202940</v>
      </c>
      <c r="I34" s="16">
        <f t="shared" si="1"/>
        <v>0</v>
      </c>
      <c r="J34" s="31">
        <v>202940</v>
      </c>
      <c r="K34" s="69">
        <f t="shared" si="2"/>
        <v>0</v>
      </c>
      <c r="L34" s="50">
        <v>1590</v>
      </c>
      <c r="M34" s="109">
        <v>1590</v>
      </c>
      <c r="N34" s="66">
        <v>0.95</v>
      </c>
    </row>
    <row r="35" spans="1:14" thickBot="1" x14ac:dyDescent="0.35">
      <c r="A35" s="14">
        <v>2</v>
      </c>
      <c r="B35" s="14" t="s">
        <v>498</v>
      </c>
      <c r="C35" s="20" t="s">
        <v>1278</v>
      </c>
      <c r="D35" s="200" t="s">
        <v>515</v>
      </c>
      <c r="E35" s="14" t="s">
        <v>512</v>
      </c>
      <c r="F35" s="14">
        <v>2</v>
      </c>
      <c r="G35" s="16">
        <f t="shared" si="0"/>
        <v>6453</v>
      </c>
      <c r="H35" s="16">
        <v>6453</v>
      </c>
      <c r="I35" s="16">
        <f t="shared" si="1"/>
        <v>0</v>
      </c>
      <c r="J35" s="31">
        <v>6453</v>
      </c>
      <c r="K35" s="69">
        <f t="shared" si="2"/>
        <v>0</v>
      </c>
      <c r="L35" s="50"/>
      <c r="M35" s="109"/>
      <c r="N35" s="66">
        <v>0.9</v>
      </c>
    </row>
    <row r="36" spans="1:14" thickBot="1" x14ac:dyDescent="0.35">
      <c r="A36" s="14">
        <v>2</v>
      </c>
      <c r="B36" s="14" t="s">
        <v>498</v>
      </c>
      <c r="C36" s="20" t="s">
        <v>1278</v>
      </c>
      <c r="D36" s="200" t="s">
        <v>516</v>
      </c>
      <c r="E36" s="14" t="s">
        <v>509</v>
      </c>
      <c r="F36" s="14">
        <v>2</v>
      </c>
      <c r="G36" s="16">
        <f t="shared" si="0"/>
        <v>14190</v>
      </c>
      <c r="H36" s="16">
        <v>14490</v>
      </c>
      <c r="I36" s="16">
        <f t="shared" si="1"/>
        <v>0</v>
      </c>
      <c r="J36" s="31">
        <v>14490</v>
      </c>
      <c r="K36" s="69">
        <f t="shared" si="2"/>
        <v>0</v>
      </c>
      <c r="L36" s="50">
        <v>300</v>
      </c>
      <c r="M36" s="109">
        <v>300</v>
      </c>
      <c r="N36" s="66">
        <v>0.9</v>
      </c>
    </row>
    <row r="37" spans="1:14" thickBot="1" x14ac:dyDescent="0.35">
      <c r="A37" s="14">
        <v>2</v>
      </c>
      <c r="B37" s="14" t="s">
        <v>498</v>
      </c>
      <c r="C37" s="20" t="s">
        <v>1278</v>
      </c>
      <c r="D37" s="200" t="s">
        <v>517</v>
      </c>
      <c r="E37" s="14" t="s">
        <v>502</v>
      </c>
      <c r="F37" s="14">
        <v>3</v>
      </c>
      <c r="G37" s="16">
        <f t="shared" si="0"/>
        <v>9291</v>
      </c>
      <c r="H37" s="16">
        <v>9291</v>
      </c>
      <c r="I37" s="16">
        <f t="shared" si="1"/>
        <v>0</v>
      </c>
      <c r="J37" s="31">
        <v>9291</v>
      </c>
      <c r="K37" s="69">
        <f t="shared" si="2"/>
        <v>0</v>
      </c>
      <c r="L37" s="50"/>
      <c r="M37" s="109"/>
      <c r="N37" s="66">
        <v>0.95</v>
      </c>
    </row>
    <row r="38" spans="1:14" thickBot="1" x14ac:dyDescent="0.35">
      <c r="A38" s="14">
        <v>2</v>
      </c>
      <c r="B38" s="14" t="s">
        <v>498</v>
      </c>
      <c r="C38" s="20" t="s">
        <v>1278</v>
      </c>
      <c r="D38" s="200" t="s">
        <v>518</v>
      </c>
      <c r="E38" s="14" t="s">
        <v>503</v>
      </c>
      <c r="F38" s="14">
        <v>3</v>
      </c>
      <c r="G38" s="16">
        <f t="shared" si="0"/>
        <v>12260</v>
      </c>
      <c r="H38" s="16">
        <v>12260</v>
      </c>
      <c r="I38" s="16">
        <f t="shared" si="1"/>
        <v>0</v>
      </c>
      <c r="J38" s="31">
        <v>12260</v>
      </c>
      <c r="K38" s="69">
        <f t="shared" si="2"/>
        <v>0</v>
      </c>
      <c r="L38" s="50"/>
      <c r="M38" s="109"/>
      <c r="N38" s="66">
        <v>0.95</v>
      </c>
    </row>
    <row r="39" spans="1:14" thickBot="1" x14ac:dyDescent="0.35">
      <c r="A39" s="14">
        <v>2</v>
      </c>
      <c r="B39" s="14" t="s">
        <v>498</v>
      </c>
      <c r="C39" s="20" t="s">
        <v>1278</v>
      </c>
      <c r="D39" s="200" t="s">
        <v>519</v>
      </c>
      <c r="E39" s="14" t="s">
        <v>503</v>
      </c>
      <c r="F39" s="14">
        <v>3</v>
      </c>
      <c r="G39" s="16">
        <f t="shared" si="0"/>
        <v>8229</v>
      </c>
      <c r="H39" s="16">
        <v>8229</v>
      </c>
      <c r="I39" s="16">
        <f t="shared" si="1"/>
        <v>0</v>
      </c>
      <c r="J39" s="31">
        <v>8229</v>
      </c>
      <c r="K39" s="69">
        <f t="shared" si="2"/>
        <v>0</v>
      </c>
      <c r="L39" s="50"/>
      <c r="M39" s="109"/>
      <c r="N39" s="66">
        <v>0.95</v>
      </c>
    </row>
    <row r="40" spans="1:14" thickBot="1" x14ac:dyDescent="0.35">
      <c r="A40" s="14">
        <v>2</v>
      </c>
      <c r="B40" s="14" t="s">
        <v>498</v>
      </c>
      <c r="C40" s="20" t="s">
        <v>1278</v>
      </c>
      <c r="D40" s="200" t="s">
        <v>520</v>
      </c>
      <c r="E40" s="14" t="s">
        <v>506</v>
      </c>
      <c r="F40" s="14">
        <v>3</v>
      </c>
      <c r="G40" s="16">
        <f t="shared" si="0"/>
        <v>7883</v>
      </c>
      <c r="H40" s="16">
        <v>7883</v>
      </c>
      <c r="I40" s="16">
        <f t="shared" si="1"/>
        <v>0</v>
      </c>
      <c r="J40" s="31">
        <v>7883</v>
      </c>
      <c r="K40" s="69">
        <f t="shared" si="2"/>
        <v>0</v>
      </c>
      <c r="L40" s="50"/>
      <c r="M40" s="109"/>
      <c r="N40" s="66">
        <v>0.95</v>
      </c>
    </row>
    <row r="41" spans="1:14" thickBot="1" x14ac:dyDescent="0.35">
      <c r="A41" s="14">
        <v>2</v>
      </c>
      <c r="B41" s="14" t="s">
        <v>498</v>
      </c>
      <c r="C41" s="20" t="s">
        <v>1278</v>
      </c>
      <c r="D41" s="200" t="s">
        <v>521</v>
      </c>
      <c r="E41" s="14" t="s">
        <v>500</v>
      </c>
      <c r="F41" s="14">
        <v>2</v>
      </c>
      <c r="G41" s="16">
        <f t="shared" si="0"/>
        <v>9315</v>
      </c>
      <c r="H41" s="16">
        <v>9765</v>
      </c>
      <c r="I41" s="16">
        <f t="shared" si="1"/>
        <v>0</v>
      </c>
      <c r="J41" s="31">
        <v>9765</v>
      </c>
      <c r="K41" s="69">
        <f t="shared" si="2"/>
        <v>0</v>
      </c>
      <c r="L41" s="50">
        <v>450</v>
      </c>
      <c r="M41" s="109">
        <v>450</v>
      </c>
      <c r="N41" s="66">
        <v>0.9</v>
      </c>
    </row>
    <row r="42" spans="1:14" thickBot="1" x14ac:dyDescent="0.35">
      <c r="A42" s="14">
        <v>2</v>
      </c>
      <c r="B42" s="14" t="s">
        <v>498</v>
      </c>
      <c r="C42" s="20" t="s">
        <v>1278</v>
      </c>
      <c r="D42" s="200" t="s">
        <v>522</v>
      </c>
      <c r="E42" s="14" t="s">
        <v>502</v>
      </c>
      <c r="F42" s="14">
        <v>6</v>
      </c>
      <c r="G42" s="16">
        <f t="shared" si="0"/>
        <v>91140</v>
      </c>
      <c r="H42" s="16">
        <v>91990</v>
      </c>
      <c r="I42" s="16">
        <f t="shared" si="1"/>
        <v>0</v>
      </c>
      <c r="J42" s="31">
        <v>91990</v>
      </c>
      <c r="K42" s="69">
        <f t="shared" si="2"/>
        <v>0</v>
      </c>
      <c r="L42" s="50">
        <v>850</v>
      </c>
      <c r="M42" s="109">
        <v>850</v>
      </c>
      <c r="N42" s="66">
        <v>0.95</v>
      </c>
    </row>
    <row r="43" spans="1:14" thickBot="1" x14ac:dyDescent="0.35">
      <c r="A43" s="14">
        <v>2</v>
      </c>
      <c r="B43" s="14" t="s">
        <v>498</v>
      </c>
      <c r="C43" s="20" t="s">
        <v>1278</v>
      </c>
      <c r="D43" s="200" t="s">
        <v>523</v>
      </c>
      <c r="E43" s="14" t="s">
        <v>508</v>
      </c>
      <c r="F43" s="14">
        <v>6</v>
      </c>
      <c r="G43" s="16">
        <f t="shared" si="0"/>
        <v>90476.9</v>
      </c>
      <c r="H43" s="16">
        <v>91676.9</v>
      </c>
      <c r="I43" s="16">
        <f t="shared" si="1"/>
        <v>0</v>
      </c>
      <c r="J43" s="31">
        <v>91676.9</v>
      </c>
      <c r="K43" s="69">
        <f t="shared" si="2"/>
        <v>0</v>
      </c>
      <c r="L43" s="50">
        <v>1200</v>
      </c>
      <c r="M43" s="109">
        <v>1200</v>
      </c>
      <c r="N43" s="66">
        <v>0.95</v>
      </c>
    </row>
    <row r="44" spans="1:14" thickBot="1" x14ac:dyDescent="0.35">
      <c r="A44" s="14">
        <v>2</v>
      </c>
      <c r="B44" s="14" t="s">
        <v>498</v>
      </c>
      <c r="C44" s="20" t="s">
        <v>1278</v>
      </c>
      <c r="D44" s="200" t="s">
        <v>1570</v>
      </c>
      <c r="E44" s="14" t="s">
        <v>504</v>
      </c>
      <c r="F44" s="14">
        <v>1</v>
      </c>
      <c r="G44" s="16">
        <f t="shared" si="0"/>
        <v>78979</v>
      </c>
      <c r="H44" s="16">
        <v>79979</v>
      </c>
      <c r="I44" s="16">
        <f t="shared" si="1"/>
        <v>0</v>
      </c>
      <c r="J44" s="31">
        <v>79979</v>
      </c>
      <c r="K44" s="69">
        <f t="shared" si="2"/>
        <v>0</v>
      </c>
      <c r="L44" s="50">
        <v>1000</v>
      </c>
      <c r="M44" s="109">
        <v>1000</v>
      </c>
      <c r="N44" s="66">
        <v>0.95</v>
      </c>
    </row>
    <row r="45" spans="1:14" thickBot="1" x14ac:dyDescent="0.35">
      <c r="A45" s="14">
        <v>2</v>
      </c>
      <c r="B45" s="14" t="s">
        <v>498</v>
      </c>
      <c r="C45" s="20" t="s">
        <v>1278</v>
      </c>
      <c r="D45" s="200" t="s">
        <v>776</v>
      </c>
      <c r="E45" s="14" t="s">
        <v>499</v>
      </c>
      <c r="F45" s="14">
        <v>3</v>
      </c>
      <c r="G45" s="16">
        <f t="shared" si="0"/>
        <v>6740</v>
      </c>
      <c r="H45" s="16">
        <v>7040</v>
      </c>
      <c r="I45" s="16">
        <f t="shared" si="1"/>
        <v>0</v>
      </c>
      <c r="J45" s="31">
        <v>7040</v>
      </c>
      <c r="K45" s="69">
        <f t="shared" si="2"/>
        <v>0</v>
      </c>
      <c r="L45" s="50">
        <v>300</v>
      </c>
      <c r="M45" s="109">
        <v>300</v>
      </c>
      <c r="N45" s="66">
        <v>0.95</v>
      </c>
    </row>
    <row r="46" spans="1:14" thickBot="1" x14ac:dyDescent="0.35">
      <c r="A46" s="14">
        <v>2</v>
      </c>
      <c r="B46" s="14" t="s">
        <v>498</v>
      </c>
      <c r="C46" s="20" t="s">
        <v>1278</v>
      </c>
      <c r="D46" s="200" t="s">
        <v>524</v>
      </c>
      <c r="E46" s="14" t="s">
        <v>503</v>
      </c>
      <c r="F46" s="158">
        <v>5</v>
      </c>
      <c r="G46" s="16">
        <f t="shared" si="0"/>
        <v>92358.6</v>
      </c>
      <c r="H46" s="16">
        <v>92878.6</v>
      </c>
      <c r="I46" s="16">
        <f t="shared" si="1"/>
        <v>0</v>
      </c>
      <c r="J46" s="31">
        <v>92878.6</v>
      </c>
      <c r="K46" s="69">
        <f t="shared" si="2"/>
        <v>0</v>
      </c>
      <c r="L46" s="50">
        <v>520</v>
      </c>
      <c r="M46" s="109">
        <v>520</v>
      </c>
      <c r="N46" s="66">
        <v>0.95</v>
      </c>
    </row>
    <row r="47" spans="1:14" thickBot="1" x14ac:dyDescent="0.35">
      <c r="A47" s="14">
        <v>2</v>
      </c>
      <c r="B47" s="14" t="s">
        <v>498</v>
      </c>
      <c r="C47" s="20" t="s">
        <v>1278</v>
      </c>
      <c r="D47" s="200" t="s">
        <v>510</v>
      </c>
      <c r="E47" s="14" t="s">
        <v>502</v>
      </c>
      <c r="F47" s="14">
        <v>5</v>
      </c>
      <c r="G47" s="16">
        <f t="shared" si="0"/>
        <v>112433</v>
      </c>
      <c r="H47" s="16">
        <v>113243</v>
      </c>
      <c r="I47" s="16">
        <f t="shared" si="1"/>
        <v>0</v>
      </c>
      <c r="J47" s="31">
        <v>113243</v>
      </c>
      <c r="K47" s="69">
        <f t="shared" si="2"/>
        <v>0</v>
      </c>
      <c r="L47" s="50">
        <v>810</v>
      </c>
      <c r="M47" s="109">
        <v>810</v>
      </c>
      <c r="N47" s="66">
        <v>0.95</v>
      </c>
    </row>
    <row r="48" spans="1:14" thickBot="1" x14ac:dyDescent="0.35">
      <c r="A48" s="14">
        <v>2</v>
      </c>
      <c r="B48" s="14" t="s">
        <v>498</v>
      </c>
      <c r="C48" s="20" t="s">
        <v>1278</v>
      </c>
      <c r="D48" s="200" t="s">
        <v>510</v>
      </c>
      <c r="E48" s="14" t="s">
        <v>508</v>
      </c>
      <c r="F48" s="14">
        <v>5</v>
      </c>
      <c r="G48" s="16">
        <f t="shared" si="0"/>
        <v>111952</v>
      </c>
      <c r="H48" s="16">
        <v>113242</v>
      </c>
      <c r="I48" s="16">
        <f t="shared" si="1"/>
        <v>0</v>
      </c>
      <c r="J48" s="31">
        <v>113242</v>
      </c>
      <c r="K48" s="69">
        <f t="shared" si="2"/>
        <v>0</v>
      </c>
      <c r="L48" s="50">
        <v>1290</v>
      </c>
      <c r="M48" s="109">
        <v>1290</v>
      </c>
      <c r="N48" s="66">
        <v>0.95</v>
      </c>
    </row>
    <row r="49" spans="1:14" thickBot="1" x14ac:dyDescent="0.35">
      <c r="A49" s="14">
        <v>2</v>
      </c>
      <c r="B49" s="14" t="s">
        <v>498</v>
      </c>
      <c r="C49" s="20" t="s">
        <v>1278</v>
      </c>
      <c r="D49" s="200" t="s">
        <v>525</v>
      </c>
      <c r="E49" s="14" t="s">
        <v>509</v>
      </c>
      <c r="F49" s="14">
        <v>2</v>
      </c>
      <c r="G49" s="16">
        <f t="shared" si="0"/>
        <v>12672</v>
      </c>
      <c r="H49" s="16">
        <v>13347</v>
      </c>
      <c r="I49" s="16">
        <f t="shared" si="1"/>
        <v>0</v>
      </c>
      <c r="J49" s="31">
        <v>13347</v>
      </c>
      <c r="K49" s="69">
        <f t="shared" si="2"/>
        <v>0</v>
      </c>
      <c r="L49" s="50">
        <v>675</v>
      </c>
      <c r="M49" s="109">
        <v>675</v>
      </c>
      <c r="N49" s="66">
        <v>0.9</v>
      </c>
    </row>
    <row r="50" spans="1:14" thickBot="1" x14ac:dyDescent="0.35">
      <c r="A50" s="14">
        <v>2</v>
      </c>
      <c r="B50" s="14" t="s">
        <v>498</v>
      </c>
      <c r="C50" s="20" t="s">
        <v>1278</v>
      </c>
      <c r="D50" s="200" t="s">
        <v>526</v>
      </c>
      <c r="E50" s="14" t="s">
        <v>509</v>
      </c>
      <c r="F50" s="14">
        <v>2</v>
      </c>
      <c r="G50" s="16">
        <f t="shared" si="0"/>
        <v>7099</v>
      </c>
      <c r="H50" s="16">
        <v>7699</v>
      </c>
      <c r="I50" s="16">
        <f t="shared" si="1"/>
        <v>0</v>
      </c>
      <c r="J50" s="31">
        <v>7699</v>
      </c>
      <c r="K50" s="69">
        <f t="shared" si="2"/>
        <v>0</v>
      </c>
      <c r="L50" s="50">
        <v>600</v>
      </c>
      <c r="M50" s="109">
        <v>600</v>
      </c>
      <c r="N50" s="66">
        <v>0.9</v>
      </c>
    </row>
    <row r="51" spans="1:14" thickBot="1" x14ac:dyDescent="0.35">
      <c r="A51" s="14">
        <v>2</v>
      </c>
      <c r="B51" s="14" t="s">
        <v>498</v>
      </c>
      <c r="C51" s="20" t="s">
        <v>1278</v>
      </c>
      <c r="D51" s="200" t="s">
        <v>527</v>
      </c>
      <c r="E51" s="14" t="s">
        <v>500</v>
      </c>
      <c r="F51" s="14">
        <v>2</v>
      </c>
      <c r="G51" s="16">
        <f t="shared" si="0"/>
        <v>13641</v>
      </c>
      <c r="H51" s="16">
        <v>13941</v>
      </c>
      <c r="I51" s="16">
        <f t="shared" si="1"/>
        <v>0</v>
      </c>
      <c r="J51" s="31">
        <v>13941</v>
      </c>
      <c r="K51" s="69">
        <f t="shared" si="2"/>
        <v>0</v>
      </c>
      <c r="L51" s="50">
        <v>300</v>
      </c>
      <c r="M51" s="109">
        <v>300</v>
      </c>
      <c r="N51" s="66">
        <v>0.9</v>
      </c>
    </row>
    <row r="52" spans="1:14" thickBot="1" x14ac:dyDescent="0.35">
      <c r="A52" s="14">
        <v>2</v>
      </c>
      <c r="B52" s="14" t="s">
        <v>498</v>
      </c>
      <c r="C52" s="20" t="s">
        <v>1278</v>
      </c>
      <c r="D52" s="200" t="s">
        <v>761</v>
      </c>
      <c r="E52" s="14" t="s">
        <v>500</v>
      </c>
      <c r="F52" s="14">
        <v>3</v>
      </c>
      <c r="G52" s="16">
        <f t="shared" si="0"/>
        <v>18567</v>
      </c>
      <c r="H52" s="16">
        <v>18567</v>
      </c>
      <c r="I52" s="16">
        <f t="shared" si="1"/>
        <v>0</v>
      </c>
      <c r="J52" s="31">
        <v>18567</v>
      </c>
      <c r="K52" s="69">
        <f t="shared" si="2"/>
        <v>0</v>
      </c>
      <c r="L52" s="50"/>
      <c r="M52" s="109"/>
      <c r="N52" s="66">
        <v>0.9</v>
      </c>
    </row>
    <row r="53" spans="1:14" thickBot="1" x14ac:dyDescent="0.35">
      <c r="A53" s="14">
        <v>2</v>
      </c>
      <c r="B53" s="14" t="s">
        <v>498</v>
      </c>
      <c r="C53" s="20" t="s">
        <v>1278</v>
      </c>
      <c r="D53" s="200" t="s">
        <v>614</v>
      </c>
      <c r="E53" s="14" t="s">
        <v>509</v>
      </c>
      <c r="F53" s="14">
        <v>8</v>
      </c>
      <c r="G53" s="16">
        <f t="shared" si="0"/>
        <v>201026</v>
      </c>
      <c r="H53" s="16">
        <v>203048</v>
      </c>
      <c r="I53" s="16">
        <f t="shared" si="1"/>
        <v>0</v>
      </c>
      <c r="J53" s="31">
        <v>203048</v>
      </c>
      <c r="K53" s="69">
        <f t="shared" si="2"/>
        <v>0</v>
      </c>
      <c r="L53" s="50">
        <v>2022</v>
      </c>
      <c r="M53" s="109">
        <v>2022</v>
      </c>
      <c r="N53" s="66">
        <v>0.95</v>
      </c>
    </row>
    <row r="54" spans="1:14" thickBot="1" x14ac:dyDescent="0.35">
      <c r="A54" s="14">
        <v>2</v>
      </c>
      <c r="B54" s="14" t="s">
        <v>498</v>
      </c>
      <c r="C54" s="20" t="s">
        <v>1278</v>
      </c>
      <c r="D54" s="200" t="s">
        <v>1061</v>
      </c>
      <c r="E54" s="14" t="s">
        <v>508</v>
      </c>
      <c r="F54" s="14">
        <v>4</v>
      </c>
      <c r="G54" s="16">
        <f t="shared" si="0"/>
        <v>633984</v>
      </c>
      <c r="H54" s="16">
        <v>635054</v>
      </c>
      <c r="I54" s="16">
        <f t="shared" si="1"/>
        <v>0</v>
      </c>
      <c r="J54" s="31">
        <v>635054</v>
      </c>
      <c r="K54" s="69">
        <f t="shared" si="2"/>
        <v>0</v>
      </c>
      <c r="L54" s="50">
        <v>1070</v>
      </c>
      <c r="M54" s="109">
        <v>1070</v>
      </c>
      <c r="N54" s="66">
        <v>0.88</v>
      </c>
    </row>
    <row r="55" spans="1:14" thickBot="1" x14ac:dyDescent="0.35">
      <c r="A55" s="14">
        <v>2</v>
      </c>
      <c r="B55" s="14" t="s">
        <v>498</v>
      </c>
      <c r="C55" s="20" t="s">
        <v>1278</v>
      </c>
      <c r="D55" s="200" t="s">
        <v>618</v>
      </c>
      <c r="E55" s="14" t="s">
        <v>509</v>
      </c>
      <c r="F55" s="14">
        <v>4</v>
      </c>
      <c r="G55" s="16">
        <f t="shared" si="0"/>
        <v>452888</v>
      </c>
      <c r="H55" s="16">
        <v>454748</v>
      </c>
      <c r="I55" s="16">
        <f t="shared" si="1"/>
        <v>0</v>
      </c>
      <c r="J55" s="31">
        <v>454748</v>
      </c>
      <c r="K55" s="69">
        <f t="shared" si="2"/>
        <v>0</v>
      </c>
      <c r="L55" s="50">
        <v>1860</v>
      </c>
      <c r="M55" s="109">
        <v>1860</v>
      </c>
      <c r="N55" s="66">
        <v>0.9</v>
      </c>
    </row>
    <row r="56" spans="1:14" thickBot="1" x14ac:dyDescent="0.35">
      <c r="A56" s="14">
        <v>2</v>
      </c>
      <c r="B56" s="14" t="s">
        <v>498</v>
      </c>
      <c r="C56" s="20" t="s">
        <v>1278</v>
      </c>
      <c r="D56" s="200" t="s">
        <v>679</v>
      </c>
      <c r="E56" s="14" t="s">
        <v>502</v>
      </c>
      <c r="F56" s="14">
        <v>6</v>
      </c>
      <c r="G56" s="16">
        <f t="shared" si="0"/>
        <v>451026</v>
      </c>
      <c r="H56" s="16">
        <v>453076</v>
      </c>
      <c r="I56" s="16">
        <f t="shared" si="1"/>
        <v>0</v>
      </c>
      <c r="J56" s="31">
        <v>453076</v>
      </c>
      <c r="K56" s="69">
        <f t="shared" si="2"/>
        <v>0</v>
      </c>
      <c r="L56" s="50">
        <v>2050</v>
      </c>
      <c r="M56" s="109">
        <v>2050</v>
      </c>
      <c r="N56" s="66">
        <v>0.88</v>
      </c>
    </row>
    <row r="57" spans="1:14" thickBot="1" x14ac:dyDescent="0.35">
      <c r="A57" s="14">
        <v>2</v>
      </c>
      <c r="B57" s="14" t="s">
        <v>498</v>
      </c>
      <c r="C57" s="20" t="s">
        <v>1278</v>
      </c>
      <c r="D57" s="200" t="s">
        <v>985</v>
      </c>
      <c r="E57" s="14" t="s">
        <v>506</v>
      </c>
      <c r="F57" s="14">
        <v>4</v>
      </c>
      <c r="G57" s="16">
        <f t="shared" si="0"/>
        <v>435185</v>
      </c>
      <c r="H57" s="16">
        <v>437975</v>
      </c>
      <c r="I57" s="16">
        <f t="shared" si="1"/>
        <v>0</v>
      </c>
      <c r="J57" s="31">
        <v>437975</v>
      </c>
      <c r="K57" s="69">
        <f t="shared" si="2"/>
        <v>0</v>
      </c>
      <c r="L57" s="50">
        <v>2790</v>
      </c>
      <c r="M57" s="109">
        <v>2790</v>
      </c>
      <c r="N57" s="66">
        <v>0.88</v>
      </c>
    </row>
    <row r="58" spans="1:14" thickBot="1" x14ac:dyDescent="0.35">
      <c r="A58" s="14">
        <v>2</v>
      </c>
      <c r="B58" s="14" t="s">
        <v>498</v>
      </c>
      <c r="C58" s="20" t="s">
        <v>1278</v>
      </c>
      <c r="D58" s="200" t="s">
        <v>1076</v>
      </c>
      <c r="E58" s="14" t="s">
        <v>512</v>
      </c>
      <c r="F58" s="14">
        <v>3</v>
      </c>
      <c r="G58" s="16">
        <f t="shared" si="0"/>
        <v>411485</v>
      </c>
      <c r="H58" s="16">
        <v>413705</v>
      </c>
      <c r="I58" s="16">
        <f t="shared" si="1"/>
        <v>0</v>
      </c>
      <c r="J58" s="31">
        <v>413705</v>
      </c>
      <c r="K58" s="69">
        <f t="shared" si="2"/>
        <v>0</v>
      </c>
      <c r="L58" s="50">
        <v>2220</v>
      </c>
      <c r="M58" s="109">
        <v>2220</v>
      </c>
      <c r="N58" s="66">
        <v>0.88</v>
      </c>
    </row>
    <row r="59" spans="1:14" thickBot="1" x14ac:dyDescent="0.35">
      <c r="A59" s="14">
        <v>2</v>
      </c>
      <c r="B59" s="14" t="s">
        <v>498</v>
      </c>
      <c r="C59" s="20" t="s">
        <v>1278</v>
      </c>
      <c r="D59" s="200" t="s">
        <v>1001</v>
      </c>
      <c r="E59" s="14" t="s">
        <v>504</v>
      </c>
      <c r="F59" s="14">
        <v>3</v>
      </c>
      <c r="G59" s="16">
        <f t="shared" si="0"/>
        <v>407046</v>
      </c>
      <c r="H59" s="16">
        <v>407646</v>
      </c>
      <c r="I59" s="16">
        <f t="shared" si="1"/>
        <v>0</v>
      </c>
      <c r="J59" s="31">
        <v>407646</v>
      </c>
      <c r="K59" s="69">
        <f t="shared" si="2"/>
        <v>0</v>
      </c>
      <c r="L59" s="50">
        <v>600</v>
      </c>
      <c r="M59" s="109">
        <v>600</v>
      </c>
      <c r="N59" s="66">
        <v>0.88</v>
      </c>
    </row>
    <row r="60" spans="1:14" thickBot="1" x14ac:dyDescent="0.35">
      <c r="A60" s="14">
        <v>2</v>
      </c>
      <c r="B60" s="14" t="s">
        <v>498</v>
      </c>
      <c r="C60" s="20" t="s">
        <v>1278</v>
      </c>
      <c r="D60" s="200" t="s">
        <v>638</v>
      </c>
      <c r="E60" s="14" t="s">
        <v>504</v>
      </c>
      <c r="F60" s="14">
        <v>1</v>
      </c>
      <c r="G60" s="16">
        <f t="shared" si="0"/>
        <v>206364</v>
      </c>
      <c r="H60" s="16">
        <v>206364</v>
      </c>
      <c r="I60" s="16">
        <f t="shared" si="1"/>
        <v>0</v>
      </c>
      <c r="J60" s="31">
        <v>206364</v>
      </c>
      <c r="K60" s="69">
        <f t="shared" si="2"/>
        <v>0</v>
      </c>
      <c r="L60" s="50"/>
      <c r="M60" s="109"/>
      <c r="N60" s="66">
        <v>0.85</v>
      </c>
    </row>
    <row r="61" spans="1:14" thickBot="1" x14ac:dyDescent="0.35">
      <c r="A61" s="14">
        <v>2</v>
      </c>
      <c r="B61" s="14" t="s">
        <v>498</v>
      </c>
      <c r="C61" s="20" t="s">
        <v>1278</v>
      </c>
      <c r="D61" s="200" t="s">
        <v>1102</v>
      </c>
      <c r="E61" s="14" t="s">
        <v>500</v>
      </c>
      <c r="F61" s="14">
        <v>3</v>
      </c>
      <c r="G61" s="16">
        <f t="shared" si="0"/>
        <v>549955</v>
      </c>
      <c r="H61" s="16">
        <v>551275</v>
      </c>
      <c r="I61" s="16">
        <f t="shared" si="1"/>
        <v>0</v>
      </c>
      <c r="J61" s="31">
        <v>551275</v>
      </c>
      <c r="K61" s="69">
        <f t="shared" si="2"/>
        <v>0</v>
      </c>
      <c r="L61" s="50">
        <v>1320</v>
      </c>
      <c r="M61" s="109">
        <v>1320</v>
      </c>
      <c r="N61" s="66">
        <v>0.9</v>
      </c>
    </row>
    <row r="62" spans="1:14" thickBot="1" x14ac:dyDescent="0.35">
      <c r="A62" s="14">
        <v>2</v>
      </c>
      <c r="B62" s="14" t="s">
        <v>498</v>
      </c>
      <c r="C62" s="20" t="s">
        <v>1278</v>
      </c>
      <c r="D62" s="200" t="s">
        <v>1105</v>
      </c>
      <c r="E62" s="14" t="s">
        <v>504</v>
      </c>
      <c r="F62" s="14">
        <v>3</v>
      </c>
      <c r="G62" s="16">
        <f t="shared" si="0"/>
        <v>401920</v>
      </c>
      <c r="H62" s="16">
        <v>403420</v>
      </c>
      <c r="I62" s="16">
        <f t="shared" si="1"/>
        <v>0</v>
      </c>
      <c r="J62" s="31">
        <v>403420</v>
      </c>
      <c r="K62" s="69">
        <f t="shared" si="2"/>
        <v>0</v>
      </c>
      <c r="L62" s="50">
        <v>1500</v>
      </c>
      <c r="M62" s="109">
        <v>1500</v>
      </c>
      <c r="N62" s="66">
        <v>0.88</v>
      </c>
    </row>
    <row r="63" spans="1:14" thickBot="1" x14ac:dyDescent="0.35">
      <c r="A63" s="14">
        <v>2</v>
      </c>
      <c r="B63" s="14" t="s">
        <v>498</v>
      </c>
      <c r="C63" s="20" t="s">
        <v>1278</v>
      </c>
      <c r="D63" s="200" t="s">
        <v>1043</v>
      </c>
      <c r="E63" s="14" t="s">
        <v>500</v>
      </c>
      <c r="F63" s="14">
        <v>5</v>
      </c>
      <c r="G63" s="16">
        <f t="shared" si="0"/>
        <v>405786</v>
      </c>
      <c r="H63" s="16">
        <v>406366</v>
      </c>
      <c r="I63" s="16">
        <f t="shared" si="1"/>
        <v>0</v>
      </c>
      <c r="J63" s="31">
        <v>406366</v>
      </c>
      <c r="K63" s="69">
        <f t="shared" si="2"/>
        <v>0</v>
      </c>
      <c r="L63" s="50">
        <v>580</v>
      </c>
      <c r="M63" s="109">
        <v>580</v>
      </c>
      <c r="N63" s="66">
        <v>0.88</v>
      </c>
    </row>
    <row r="64" spans="1:14" thickBot="1" x14ac:dyDescent="0.35">
      <c r="A64" s="14">
        <v>2</v>
      </c>
      <c r="B64" s="14" t="s">
        <v>498</v>
      </c>
      <c r="C64" s="20" t="s">
        <v>1278</v>
      </c>
      <c r="D64" s="200" t="s">
        <v>694</v>
      </c>
      <c r="E64" s="14" t="s">
        <v>509</v>
      </c>
      <c r="F64" s="14">
        <v>4</v>
      </c>
      <c r="G64" s="16">
        <f t="shared" si="0"/>
        <v>453148</v>
      </c>
      <c r="H64" s="16">
        <v>454748</v>
      </c>
      <c r="I64" s="16">
        <f t="shared" si="1"/>
        <v>0</v>
      </c>
      <c r="J64" s="31">
        <v>454748</v>
      </c>
      <c r="K64" s="69">
        <f t="shared" si="2"/>
        <v>0</v>
      </c>
      <c r="L64" s="50">
        <v>1600</v>
      </c>
      <c r="M64" s="109">
        <v>1600</v>
      </c>
      <c r="N64" s="66">
        <v>0.9</v>
      </c>
    </row>
    <row r="65" spans="1:14" thickBot="1" x14ac:dyDescent="0.35">
      <c r="A65" s="14">
        <v>2</v>
      </c>
      <c r="B65" s="14" t="s">
        <v>498</v>
      </c>
      <c r="C65" s="20" t="s">
        <v>1278</v>
      </c>
      <c r="D65" s="200" t="s">
        <v>980</v>
      </c>
      <c r="E65" s="14" t="s">
        <v>503</v>
      </c>
      <c r="F65" s="14">
        <v>3</v>
      </c>
      <c r="G65" s="16">
        <f t="shared" si="0"/>
        <v>391114</v>
      </c>
      <c r="H65" s="16">
        <v>391114</v>
      </c>
      <c r="I65" s="16">
        <f t="shared" si="1"/>
        <v>0</v>
      </c>
      <c r="J65" s="31">
        <v>391114</v>
      </c>
      <c r="K65" s="69">
        <f t="shared" si="2"/>
        <v>0</v>
      </c>
      <c r="L65" s="50"/>
      <c r="M65" s="109"/>
      <c r="N65" s="66">
        <v>0.88</v>
      </c>
    </row>
    <row r="66" spans="1:14" thickBot="1" x14ac:dyDescent="0.35">
      <c r="A66" s="14">
        <v>2</v>
      </c>
      <c r="B66" s="14" t="s">
        <v>498</v>
      </c>
      <c r="C66" s="20" t="s">
        <v>1278</v>
      </c>
      <c r="D66" s="200" t="s">
        <v>981</v>
      </c>
      <c r="E66" s="14" t="s">
        <v>502</v>
      </c>
      <c r="F66" s="14">
        <v>6</v>
      </c>
      <c r="G66" s="16">
        <f t="shared" si="0"/>
        <v>452316</v>
      </c>
      <c r="H66" s="16">
        <v>453076</v>
      </c>
      <c r="I66" s="16">
        <f t="shared" si="1"/>
        <v>0</v>
      </c>
      <c r="J66" s="31">
        <v>453076</v>
      </c>
      <c r="K66" s="69">
        <f t="shared" si="2"/>
        <v>0</v>
      </c>
      <c r="L66" s="50">
        <v>760</v>
      </c>
      <c r="M66" s="109">
        <v>760</v>
      </c>
      <c r="N66" s="66">
        <v>0.85</v>
      </c>
    </row>
    <row r="67" spans="1:14" thickBot="1" x14ac:dyDescent="0.35">
      <c r="A67" s="14">
        <v>2</v>
      </c>
      <c r="B67" s="14" t="s">
        <v>498</v>
      </c>
      <c r="C67" s="20" t="s">
        <v>1278</v>
      </c>
      <c r="D67" s="200" t="s">
        <v>670</v>
      </c>
      <c r="E67" s="14" t="s">
        <v>506</v>
      </c>
      <c r="F67" s="14">
        <v>4</v>
      </c>
      <c r="G67" s="16">
        <f t="shared" si="0"/>
        <v>635089</v>
      </c>
      <c r="H67" s="16">
        <v>635089</v>
      </c>
      <c r="I67" s="16">
        <f t="shared" si="1"/>
        <v>0</v>
      </c>
      <c r="J67" s="31">
        <v>635089</v>
      </c>
      <c r="K67" s="69">
        <f t="shared" si="2"/>
        <v>0</v>
      </c>
      <c r="L67" s="50"/>
      <c r="M67" s="109"/>
      <c r="N67" s="66">
        <v>0.88</v>
      </c>
    </row>
    <row r="68" spans="1:14" thickBot="1" x14ac:dyDescent="0.35">
      <c r="A68" s="14">
        <v>2</v>
      </c>
      <c r="B68" s="14" t="s">
        <v>498</v>
      </c>
      <c r="C68" s="20" t="s">
        <v>1278</v>
      </c>
      <c r="D68" s="200" t="s">
        <v>548</v>
      </c>
      <c r="E68" s="14" t="s">
        <v>504</v>
      </c>
      <c r="F68" s="14">
        <v>3</v>
      </c>
      <c r="G68" s="174">
        <f t="shared" si="0"/>
        <v>91904</v>
      </c>
      <c r="H68" s="16">
        <v>92879</v>
      </c>
      <c r="I68" s="16">
        <f t="shared" si="1"/>
        <v>0</v>
      </c>
      <c r="J68" s="31">
        <v>92879</v>
      </c>
      <c r="K68" s="69">
        <f t="shared" si="2"/>
        <v>0</v>
      </c>
      <c r="L68" s="50">
        <v>975</v>
      </c>
      <c r="M68" s="109">
        <v>975</v>
      </c>
      <c r="N68" s="66">
        <v>0.95</v>
      </c>
    </row>
    <row r="69" spans="1:14" thickBot="1" x14ac:dyDescent="0.35">
      <c r="A69" s="14">
        <v>2</v>
      </c>
      <c r="B69" s="14" t="s">
        <v>498</v>
      </c>
      <c r="C69" s="20" t="s">
        <v>1278</v>
      </c>
      <c r="D69" s="200" t="s">
        <v>528</v>
      </c>
      <c r="E69" s="14" t="s">
        <v>504</v>
      </c>
      <c r="F69" s="14">
        <v>1</v>
      </c>
      <c r="G69" s="16">
        <f t="shared" si="0"/>
        <v>-1245</v>
      </c>
      <c r="H69" s="16">
        <v>0</v>
      </c>
      <c r="I69" s="16">
        <f t="shared" si="1"/>
        <v>0</v>
      </c>
      <c r="J69" s="31">
        <v>0</v>
      </c>
      <c r="K69" s="69">
        <f t="shared" si="2"/>
        <v>0</v>
      </c>
      <c r="L69" s="50">
        <v>1245</v>
      </c>
      <c r="M69" s="109">
        <v>1245</v>
      </c>
    </row>
    <row r="70" spans="1:14" thickBot="1" x14ac:dyDescent="0.35">
      <c r="A70" s="14">
        <v>2</v>
      </c>
      <c r="B70" s="14" t="s">
        <v>498</v>
      </c>
      <c r="C70" s="20" t="s">
        <v>1278</v>
      </c>
      <c r="D70" s="200" t="s">
        <v>529</v>
      </c>
      <c r="E70" s="14" t="s">
        <v>500</v>
      </c>
      <c r="F70" s="14">
        <v>3</v>
      </c>
      <c r="G70" s="16">
        <f t="shared" si="0"/>
        <v>15747</v>
      </c>
      <c r="H70" s="16">
        <v>15822</v>
      </c>
      <c r="I70" s="16">
        <f t="shared" si="1"/>
        <v>0</v>
      </c>
      <c r="J70" s="31">
        <v>15822</v>
      </c>
      <c r="K70" s="69">
        <f t="shared" si="2"/>
        <v>0</v>
      </c>
      <c r="L70" s="50">
        <v>75</v>
      </c>
      <c r="M70" s="109">
        <v>75</v>
      </c>
      <c r="N70" s="66">
        <v>0.9</v>
      </c>
    </row>
    <row r="71" spans="1:14" thickBot="1" x14ac:dyDescent="0.35">
      <c r="A71" s="14">
        <v>2</v>
      </c>
      <c r="B71" s="14" t="s">
        <v>498</v>
      </c>
      <c r="C71" s="20" t="s">
        <v>1278</v>
      </c>
      <c r="D71" s="200" t="s">
        <v>530</v>
      </c>
      <c r="E71" s="14" t="s">
        <v>500</v>
      </c>
      <c r="F71" s="14">
        <v>3</v>
      </c>
      <c r="G71" s="16">
        <f t="shared" si="0"/>
        <v>15597</v>
      </c>
      <c r="H71" s="16">
        <v>15822</v>
      </c>
      <c r="I71" s="16">
        <f t="shared" si="1"/>
        <v>0</v>
      </c>
      <c r="J71" s="31">
        <v>15822</v>
      </c>
      <c r="K71" s="69">
        <f t="shared" si="2"/>
        <v>0</v>
      </c>
      <c r="L71" s="50">
        <v>225</v>
      </c>
      <c r="M71" s="109">
        <v>225</v>
      </c>
      <c r="N71" s="66">
        <v>0.9</v>
      </c>
    </row>
    <row r="72" spans="1:14" thickBot="1" x14ac:dyDescent="0.35">
      <c r="A72" s="14">
        <v>2</v>
      </c>
      <c r="B72" s="14" t="s">
        <v>498</v>
      </c>
      <c r="C72" s="20" t="s">
        <v>1278</v>
      </c>
      <c r="D72" s="200" t="s">
        <v>531</v>
      </c>
      <c r="E72" s="14" t="s">
        <v>502</v>
      </c>
      <c r="F72" s="14">
        <v>6</v>
      </c>
      <c r="G72" s="16">
        <f t="shared" si="0"/>
        <v>92079</v>
      </c>
      <c r="H72" s="16">
        <v>92879</v>
      </c>
      <c r="I72" s="16">
        <f t="shared" si="1"/>
        <v>0</v>
      </c>
      <c r="J72" s="31">
        <v>92879</v>
      </c>
      <c r="K72" s="69">
        <f t="shared" si="2"/>
        <v>0</v>
      </c>
      <c r="L72" s="50">
        <v>800</v>
      </c>
      <c r="M72" s="109">
        <v>800</v>
      </c>
      <c r="N72" s="66">
        <v>0.95</v>
      </c>
    </row>
    <row r="73" spans="1:14" thickBot="1" x14ac:dyDescent="0.35">
      <c r="A73" s="14">
        <v>2</v>
      </c>
      <c r="B73" s="14" t="s">
        <v>498</v>
      </c>
      <c r="C73" s="20" t="s">
        <v>1278</v>
      </c>
      <c r="D73" s="14" t="s">
        <v>532</v>
      </c>
      <c r="E73" s="14" t="s">
        <v>500</v>
      </c>
      <c r="F73" s="14">
        <v>4</v>
      </c>
      <c r="G73" s="16">
        <f t="shared" si="0"/>
        <v>23565</v>
      </c>
      <c r="H73" s="16">
        <v>23715</v>
      </c>
      <c r="I73" s="16">
        <f t="shared" si="1"/>
        <v>0</v>
      </c>
      <c r="J73" s="31">
        <v>23715</v>
      </c>
      <c r="K73" s="69">
        <f t="shared" si="2"/>
        <v>0</v>
      </c>
      <c r="L73" s="50">
        <v>150</v>
      </c>
      <c r="M73" s="109">
        <v>150</v>
      </c>
      <c r="N73" s="66">
        <v>0.9</v>
      </c>
    </row>
    <row r="74" spans="1:14" hidden="1" thickBot="1" x14ac:dyDescent="0.35">
      <c r="A74" s="14">
        <v>2</v>
      </c>
      <c r="B74" s="14" t="s">
        <v>1796</v>
      </c>
      <c r="C74" s="14" t="s">
        <v>1797</v>
      </c>
      <c r="D74" s="14" t="s">
        <v>497</v>
      </c>
      <c r="E74" s="14" t="s">
        <v>14</v>
      </c>
      <c r="F74" s="14">
        <v>1</v>
      </c>
      <c r="G74" s="16">
        <f t="shared" si="0"/>
        <v>307467</v>
      </c>
      <c r="H74" s="16">
        <v>307467</v>
      </c>
      <c r="I74" s="16">
        <f t="shared" si="1"/>
        <v>0</v>
      </c>
      <c r="J74" s="31">
        <v>307467</v>
      </c>
      <c r="K74" s="69">
        <f t="shared" si="2"/>
        <v>0</v>
      </c>
      <c r="L74" s="50">
        <v>0</v>
      </c>
      <c r="M74" s="109">
        <v>0</v>
      </c>
      <c r="N74" s="66">
        <v>1</v>
      </c>
    </row>
    <row r="75" spans="1:14" ht="15" hidden="1" thickBot="1" x14ac:dyDescent="0.35">
      <c r="A75" s="14">
        <v>3</v>
      </c>
      <c r="B75" s="14" t="s">
        <v>19</v>
      </c>
      <c r="C75" s="14" t="s">
        <v>533</v>
      </c>
      <c r="D75" s="14" t="s">
        <v>497</v>
      </c>
      <c r="E75" s="14" t="s">
        <v>14</v>
      </c>
      <c r="F75" s="14">
        <v>65</v>
      </c>
      <c r="G75" s="16">
        <f t="shared" si="0"/>
        <v>4547840.7</v>
      </c>
      <c r="H75" s="16">
        <v>4548060.7</v>
      </c>
      <c r="I75" s="16">
        <f t="shared" si="1"/>
        <v>0</v>
      </c>
      <c r="J75" s="31">
        <v>4548060.7</v>
      </c>
      <c r="K75" s="69">
        <f t="shared" si="2"/>
        <v>0</v>
      </c>
      <c r="L75" s="50">
        <v>220</v>
      </c>
      <c r="M75" s="109">
        <v>220</v>
      </c>
      <c r="N75" s="110"/>
    </row>
    <row r="76" spans="1:14" ht="15" hidden="1" thickBot="1" x14ac:dyDescent="0.35">
      <c r="A76" s="14">
        <v>3</v>
      </c>
      <c r="B76" s="14" t="s">
        <v>19</v>
      </c>
      <c r="C76" s="14" t="s">
        <v>534</v>
      </c>
      <c r="D76" s="14" t="s">
        <v>497</v>
      </c>
      <c r="E76" s="14" t="s">
        <v>14</v>
      </c>
      <c r="F76" s="14"/>
      <c r="G76" s="16">
        <f t="shared" si="0"/>
        <v>120000</v>
      </c>
      <c r="H76" s="16">
        <v>120000</v>
      </c>
      <c r="I76" s="16">
        <f t="shared" si="1"/>
        <v>0</v>
      </c>
      <c r="J76" s="31">
        <v>120000</v>
      </c>
      <c r="K76" s="69">
        <f t="shared" si="2"/>
        <v>0</v>
      </c>
      <c r="L76" s="50"/>
      <c r="M76" s="109"/>
      <c r="N76" s="110"/>
    </row>
    <row r="77" spans="1:14" ht="15" hidden="1" thickBot="1" x14ac:dyDescent="0.35">
      <c r="A77" s="14">
        <v>3</v>
      </c>
      <c r="B77" s="14" t="s">
        <v>19</v>
      </c>
      <c r="C77" s="14" t="s">
        <v>535</v>
      </c>
      <c r="D77" s="14" t="s">
        <v>497</v>
      </c>
      <c r="E77" s="14" t="s">
        <v>14</v>
      </c>
      <c r="F77" s="14"/>
      <c r="G77" s="16">
        <f t="shared" si="0"/>
        <v>146750</v>
      </c>
      <c r="H77" s="16">
        <v>146750</v>
      </c>
      <c r="I77" s="16">
        <f t="shared" si="1"/>
        <v>0</v>
      </c>
      <c r="J77" s="31">
        <v>146750</v>
      </c>
      <c r="K77" s="69">
        <f t="shared" si="2"/>
        <v>0</v>
      </c>
      <c r="L77" s="50"/>
      <c r="M77" s="109"/>
      <c r="N77" s="110"/>
    </row>
    <row r="78" spans="1:14" ht="15" hidden="1" thickBot="1" x14ac:dyDescent="0.35">
      <c r="A78" s="14">
        <v>3</v>
      </c>
      <c r="B78" s="14" t="s">
        <v>19</v>
      </c>
      <c r="C78" s="14" t="s">
        <v>536</v>
      </c>
      <c r="D78" s="14" t="s">
        <v>497</v>
      </c>
      <c r="E78" s="14" t="s">
        <v>14</v>
      </c>
      <c r="F78" s="14"/>
      <c r="G78" s="16">
        <f t="shared" si="0"/>
        <v>16500</v>
      </c>
      <c r="H78" s="16">
        <v>16500</v>
      </c>
      <c r="I78" s="16">
        <f t="shared" si="1"/>
        <v>0</v>
      </c>
      <c r="J78" s="31">
        <v>16500</v>
      </c>
      <c r="K78" s="69">
        <f t="shared" si="2"/>
        <v>0</v>
      </c>
      <c r="L78" s="50"/>
      <c r="M78" s="109"/>
      <c r="N78" s="110"/>
    </row>
    <row r="79" spans="1:14" ht="15" hidden="1" thickBot="1" x14ac:dyDescent="0.35">
      <c r="A79" s="14">
        <v>4</v>
      </c>
      <c r="B79" s="14" t="s">
        <v>537</v>
      </c>
      <c r="C79" s="15" t="s">
        <v>1731</v>
      </c>
      <c r="D79" s="14" t="s">
        <v>497</v>
      </c>
      <c r="E79" s="14" t="s">
        <v>14</v>
      </c>
      <c r="F79" s="47">
        <v>7</v>
      </c>
      <c r="G79" s="16">
        <f t="shared" si="0"/>
        <v>1558154</v>
      </c>
      <c r="H79" s="16">
        <v>1558154</v>
      </c>
      <c r="I79" s="16">
        <f t="shared" si="1"/>
        <v>0</v>
      </c>
      <c r="J79" s="31">
        <v>1558154</v>
      </c>
      <c r="K79" s="69">
        <f t="shared" si="2"/>
        <v>0</v>
      </c>
      <c r="L79" s="50"/>
      <c r="M79" s="109"/>
      <c r="N79" s="110"/>
    </row>
    <row r="80" spans="1:14" ht="15" hidden="1" thickBot="1" x14ac:dyDescent="0.35">
      <c r="A80" s="14">
        <v>5</v>
      </c>
      <c r="B80" s="14" t="s">
        <v>538</v>
      </c>
      <c r="C80" s="14" t="s">
        <v>539</v>
      </c>
      <c r="D80" s="14" t="s">
        <v>497</v>
      </c>
      <c r="E80" s="14" t="s">
        <v>14</v>
      </c>
      <c r="F80" s="14">
        <v>4</v>
      </c>
      <c r="G80" s="16">
        <f t="shared" si="0"/>
        <v>334623.5</v>
      </c>
      <c r="H80" s="16">
        <v>334623.5</v>
      </c>
      <c r="I80" s="16">
        <f t="shared" si="1"/>
        <v>0</v>
      </c>
      <c r="J80" s="31">
        <v>334623.5</v>
      </c>
      <c r="K80" s="69">
        <f t="shared" si="2"/>
        <v>0</v>
      </c>
      <c r="L80" s="50"/>
      <c r="M80" s="109"/>
      <c r="N80" s="110"/>
    </row>
    <row r="81" spans="1:14" ht="15" hidden="1" thickBot="1" x14ac:dyDescent="0.35">
      <c r="A81" s="14">
        <v>6</v>
      </c>
      <c r="B81" s="14" t="s">
        <v>540</v>
      </c>
      <c r="C81" s="14" t="s">
        <v>541</v>
      </c>
      <c r="D81" s="14" t="s">
        <v>497</v>
      </c>
      <c r="E81" s="14" t="s">
        <v>14</v>
      </c>
      <c r="F81" s="14">
        <v>6</v>
      </c>
      <c r="G81" s="16">
        <f t="shared" si="0"/>
        <v>842999.5</v>
      </c>
      <c r="H81" s="16">
        <v>842999.5</v>
      </c>
      <c r="I81" s="16">
        <f t="shared" si="1"/>
        <v>0</v>
      </c>
      <c r="J81" s="31">
        <v>842999.5</v>
      </c>
      <c r="K81" s="69">
        <f t="shared" si="2"/>
        <v>0</v>
      </c>
      <c r="L81" s="50"/>
      <c r="M81" s="109"/>
      <c r="N81" s="110"/>
    </row>
    <row r="82" spans="1:14" ht="15" hidden="1" thickBot="1" x14ac:dyDescent="0.35">
      <c r="A82" s="14">
        <v>7</v>
      </c>
      <c r="B82" s="15" t="s">
        <v>1811</v>
      </c>
      <c r="C82" s="14" t="s">
        <v>994</v>
      </c>
      <c r="D82" s="14" t="s">
        <v>497</v>
      </c>
      <c r="E82" s="14" t="s">
        <v>14</v>
      </c>
      <c r="F82" s="14">
        <v>20</v>
      </c>
      <c r="G82" s="16">
        <f t="shared" si="0"/>
        <v>2885876.7</v>
      </c>
      <c r="H82" s="16">
        <v>2885876.7</v>
      </c>
      <c r="I82" s="166">
        <f t="shared" si="1"/>
        <v>0</v>
      </c>
      <c r="J82" s="31">
        <v>2885876.7</v>
      </c>
      <c r="K82" s="69">
        <f t="shared" si="2"/>
        <v>0</v>
      </c>
      <c r="L82" s="50"/>
      <c r="M82" s="109"/>
      <c r="N82" s="110"/>
    </row>
    <row r="83" spans="1:14" ht="15" hidden="1" thickBot="1" x14ac:dyDescent="0.35">
      <c r="A83" s="14">
        <v>8</v>
      </c>
      <c r="B83" s="14" t="s">
        <v>542</v>
      </c>
      <c r="C83" s="14" t="s">
        <v>543</v>
      </c>
      <c r="D83" s="14" t="s">
        <v>497</v>
      </c>
      <c r="E83" s="14" t="s">
        <v>14</v>
      </c>
      <c r="F83" s="14">
        <v>4</v>
      </c>
      <c r="G83" s="16">
        <f t="shared" si="0"/>
        <v>152844</v>
      </c>
      <c r="H83" s="16">
        <v>152844</v>
      </c>
      <c r="I83" s="16">
        <f t="shared" si="1"/>
        <v>0</v>
      </c>
      <c r="J83" s="31">
        <v>152844</v>
      </c>
      <c r="K83" s="69">
        <f t="shared" si="2"/>
        <v>0</v>
      </c>
      <c r="L83" s="50"/>
      <c r="M83" s="109"/>
      <c r="N83" s="110"/>
    </row>
    <row r="84" spans="1:14" ht="15" hidden="1" thickBot="1" x14ac:dyDescent="0.35">
      <c r="A84" s="14">
        <v>9</v>
      </c>
      <c r="B84" s="14" t="s">
        <v>544</v>
      </c>
      <c r="C84" s="14" t="s">
        <v>1238</v>
      </c>
      <c r="D84" s="14" t="s">
        <v>614</v>
      </c>
      <c r="E84" s="14" t="s">
        <v>502</v>
      </c>
      <c r="F84" s="14">
        <v>5</v>
      </c>
      <c r="G84" s="16">
        <f t="shared" ref="G84:G155" si="3">H84-M84</f>
        <v>49286</v>
      </c>
      <c r="H84" s="16">
        <v>49566</v>
      </c>
      <c r="I84" s="16">
        <f t="shared" si="1"/>
        <v>0</v>
      </c>
      <c r="J84" s="31">
        <v>49566</v>
      </c>
      <c r="K84" s="69">
        <f t="shared" si="2"/>
        <v>0</v>
      </c>
      <c r="L84" s="50">
        <v>280</v>
      </c>
      <c r="M84" s="109">
        <v>280</v>
      </c>
      <c r="N84" s="110"/>
    </row>
    <row r="85" spans="1:14" ht="15" hidden="1" thickBot="1" x14ac:dyDescent="0.35">
      <c r="A85" s="14">
        <v>9</v>
      </c>
      <c r="B85" s="14" t="s">
        <v>544</v>
      </c>
      <c r="C85" s="14" t="s">
        <v>1238</v>
      </c>
      <c r="D85" s="14" t="s">
        <v>614</v>
      </c>
      <c r="E85" s="14" t="s">
        <v>506</v>
      </c>
      <c r="F85" s="14">
        <v>3</v>
      </c>
      <c r="G85" s="16">
        <f t="shared" si="3"/>
        <v>1600</v>
      </c>
      <c r="H85" s="16">
        <v>1900</v>
      </c>
      <c r="I85" s="16">
        <f t="shared" si="1"/>
        <v>0</v>
      </c>
      <c r="J85" s="31">
        <v>1900</v>
      </c>
      <c r="K85" s="69">
        <f t="shared" si="2"/>
        <v>0</v>
      </c>
      <c r="L85" s="50">
        <v>300</v>
      </c>
      <c r="M85" s="109">
        <v>300</v>
      </c>
      <c r="N85" s="110"/>
    </row>
    <row r="86" spans="1:14" ht="15" hidden="1" thickBot="1" x14ac:dyDescent="0.35">
      <c r="A86" s="14">
        <v>9</v>
      </c>
      <c r="B86" s="14" t="s">
        <v>544</v>
      </c>
      <c r="C86" s="14" t="s">
        <v>1238</v>
      </c>
      <c r="D86" s="14" t="s">
        <v>614</v>
      </c>
      <c r="E86" s="14" t="s">
        <v>503</v>
      </c>
      <c r="F86" s="14">
        <v>4</v>
      </c>
      <c r="G86" s="16">
        <f t="shared" si="3"/>
        <v>49246</v>
      </c>
      <c r="H86" s="16">
        <v>49246</v>
      </c>
      <c r="I86" s="16">
        <f t="shared" si="1"/>
        <v>0</v>
      </c>
      <c r="J86" s="31">
        <v>49246</v>
      </c>
      <c r="K86" s="69">
        <f t="shared" ref="K86:K157" si="4">M86-L86</f>
        <v>0</v>
      </c>
      <c r="L86" s="50"/>
      <c r="M86" s="109"/>
      <c r="N86" s="110"/>
    </row>
    <row r="87" spans="1:14" ht="15" hidden="1" thickBot="1" x14ac:dyDescent="0.35">
      <c r="A87" s="14">
        <v>9</v>
      </c>
      <c r="B87" s="14" t="s">
        <v>544</v>
      </c>
      <c r="C87" s="14" t="s">
        <v>1238</v>
      </c>
      <c r="D87" s="14" t="s">
        <v>614</v>
      </c>
      <c r="E87" s="14" t="s">
        <v>499</v>
      </c>
      <c r="F87" s="14">
        <v>5</v>
      </c>
      <c r="G87" s="16">
        <f t="shared" si="3"/>
        <v>47536</v>
      </c>
      <c r="H87" s="16">
        <v>47536</v>
      </c>
      <c r="I87" s="16">
        <f t="shared" si="1"/>
        <v>0</v>
      </c>
      <c r="J87" s="31">
        <v>47536</v>
      </c>
      <c r="K87" s="69">
        <f t="shared" si="4"/>
        <v>0</v>
      </c>
      <c r="L87" s="50"/>
      <c r="M87" s="109"/>
      <c r="N87" s="110"/>
    </row>
    <row r="88" spans="1:14" ht="15" hidden="1" thickBot="1" x14ac:dyDescent="0.35">
      <c r="A88" s="14">
        <v>9</v>
      </c>
      <c r="B88" s="14" t="s">
        <v>544</v>
      </c>
      <c r="C88" s="14" t="s">
        <v>1238</v>
      </c>
      <c r="D88" s="14" t="s">
        <v>522</v>
      </c>
      <c r="E88" s="14" t="s">
        <v>502</v>
      </c>
      <c r="F88" s="14">
        <v>4</v>
      </c>
      <c r="G88" s="16">
        <f t="shared" si="3"/>
        <v>7802</v>
      </c>
      <c r="H88" s="16">
        <v>7802</v>
      </c>
      <c r="I88" s="16">
        <f t="shared" si="1"/>
        <v>0</v>
      </c>
      <c r="J88" s="31">
        <v>7802</v>
      </c>
      <c r="K88" s="69">
        <f t="shared" si="4"/>
        <v>0</v>
      </c>
      <c r="L88" s="50"/>
      <c r="M88" s="109"/>
      <c r="N88" s="110"/>
    </row>
    <row r="89" spans="1:14" ht="15" hidden="1" thickBot="1" x14ac:dyDescent="0.35">
      <c r="A89" s="14">
        <v>9</v>
      </c>
      <c r="B89" s="14" t="s">
        <v>544</v>
      </c>
      <c r="C89" s="14" t="s">
        <v>1238</v>
      </c>
      <c r="D89" s="14" t="s">
        <v>505</v>
      </c>
      <c r="E89" s="14" t="s">
        <v>504</v>
      </c>
      <c r="F89" s="14">
        <v>2</v>
      </c>
      <c r="G89" s="16">
        <f t="shared" si="3"/>
        <v>7555</v>
      </c>
      <c r="H89" s="16">
        <v>7555</v>
      </c>
      <c r="I89" s="16">
        <f t="shared" si="1"/>
        <v>0</v>
      </c>
      <c r="J89" s="31">
        <v>7555</v>
      </c>
      <c r="K89" s="69">
        <f t="shared" si="4"/>
        <v>0</v>
      </c>
      <c r="L89" s="50"/>
      <c r="M89" s="109"/>
      <c r="N89" s="110"/>
    </row>
    <row r="90" spans="1:14" ht="15" hidden="1" thickBot="1" x14ac:dyDescent="0.35">
      <c r="A90" s="14">
        <v>9</v>
      </c>
      <c r="B90" s="14" t="s">
        <v>544</v>
      </c>
      <c r="C90" s="14" t="s">
        <v>1238</v>
      </c>
      <c r="D90" s="14" t="s">
        <v>507</v>
      </c>
      <c r="E90" s="14" t="s">
        <v>504</v>
      </c>
      <c r="F90" s="14"/>
      <c r="G90" s="16">
        <f t="shared" si="3"/>
        <v>7391</v>
      </c>
      <c r="H90" s="16">
        <v>7391</v>
      </c>
      <c r="I90" s="16">
        <f t="shared" si="1"/>
        <v>0</v>
      </c>
      <c r="J90" s="31">
        <v>7391</v>
      </c>
      <c r="K90" s="69">
        <f t="shared" si="4"/>
        <v>0</v>
      </c>
      <c r="L90" s="50"/>
      <c r="M90" s="109"/>
      <c r="N90" s="110"/>
    </row>
    <row r="91" spans="1:14" ht="15" hidden="1" thickBot="1" x14ac:dyDescent="0.35">
      <c r="A91" s="14">
        <v>9</v>
      </c>
      <c r="B91" s="14" t="s">
        <v>544</v>
      </c>
      <c r="C91" s="14" t="s">
        <v>1238</v>
      </c>
      <c r="D91" s="14" t="s">
        <v>614</v>
      </c>
      <c r="E91" s="14" t="s">
        <v>509</v>
      </c>
      <c r="F91" s="14">
        <v>3</v>
      </c>
      <c r="G91" s="16">
        <f t="shared" si="3"/>
        <v>23365</v>
      </c>
      <c r="H91" s="16">
        <v>24115</v>
      </c>
      <c r="I91" s="16">
        <f t="shared" si="1"/>
        <v>0</v>
      </c>
      <c r="J91" s="31">
        <v>24115</v>
      </c>
      <c r="K91" s="69">
        <f t="shared" si="4"/>
        <v>0</v>
      </c>
      <c r="L91" s="50">
        <v>750</v>
      </c>
      <c r="M91" s="109">
        <v>750</v>
      </c>
      <c r="N91" s="110"/>
    </row>
    <row r="92" spans="1:14" ht="15" hidden="1" thickBot="1" x14ac:dyDescent="0.35">
      <c r="A92" s="14">
        <v>9</v>
      </c>
      <c r="B92" s="14" t="s">
        <v>544</v>
      </c>
      <c r="C92" s="14" t="s">
        <v>1238</v>
      </c>
      <c r="D92" s="14" t="s">
        <v>510</v>
      </c>
      <c r="E92" s="14" t="s">
        <v>509</v>
      </c>
      <c r="F92" s="14">
        <v>2</v>
      </c>
      <c r="G92" s="16">
        <f t="shared" si="3"/>
        <v>10350</v>
      </c>
      <c r="H92" s="16">
        <v>10350</v>
      </c>
      <c r="I92" s="16">
        <f t="shared" ref="I92:I174" si="5">J92-H92</f>
        <v>0</v>
      </c>
      <c r="J92" s="31">
        <v>10350</v>
      </c>
      <c r="K92" s="69">
        <f t="shared" si="4"/>
        <v>0</v>
      </c>
      <c r="L92" s="50"/>
      <c r="M92" s="109"/>
      <c r="N92" s="110"/>
    </row>
    <row r="93" spans="1:14" ht="15" hidden="1" thickBot="1" x14ac:dyDescent="0.35">
      <c r="A93" s="14">
        <v>9</v>
      </c>
      <c r="B93" s="14" t="s">
        <v>544</v>
      </c>
      <c r="C93" s="14" t="s">
        <v>1238</v>
      </c>
      <c r="D93" s="14" t="s">
        <v>614</v>
      </c>
      <c r="E93" s="14" t="s">
        <v>500</v>
      </c>
      <c r="F93" s="14">
        <v>4</v>
      </c>
      <c r="G93" s="16">
        <f t="shared" si="3"/>
        <v>23585</v>
      </c>
      <c r="H93" s="16">
        <v>23885</v>
      </c>
      <c r="I93" s="16">
        <f t="shared" si="5"/>
        <v>0</v>
      </c>
      <c r="J93" s="31">
        <v>23885</v>
      </c>
      <c r="K93" s="69">
        <f t="shared" si="4"/>
        <v>0</v>
      </c>
      <c r="L93" s="50">
        <v>300</v>
      </c>
      <c r="M93" s="109">
        <v>300</v>
      </c>
      <c r="N93" s="110"/>
    </row>
    <row r="94" spans="1:14" ht="15" hidden="1" thickBot="1" x14ac:dyDescent="0.35">
      <c r="A94" s="14">
        <v>9</v>
      </c>
      <c r="B94" s="14" t="s">
        <v>544</v>
      </c>
      <c r="C94" s="14" t="s">
        <v>1238</v>
      </c>
      <c r="D94" s="14" t="s">
        <v>513</v>
      </c>
      <c r="E94" s="14" t="s">
        <v>546</v>
      </c>
      <c r="F94" s="14">
        <v>3</v>
      </c>
      <c r="G94" s="16">
        <f t="shared" si="3"/>
        <v>15110</v>
      </c>
      <c r="H94" s="16">
        <v>15110</v>
      </c>
      <c r="I94" s="16">
        <f t="shared" si="5"/>
        <v>0</v>
      </c>
      <c r="J94" s="31">
        <v>15110</v>
      </c>
      <c r="K94" s="69">
        <f t="shared" si="4"/>
        <v>0</v>
      </c>
      <c r="L94" s="50"/>
      <c r="M94" s="109"/>
      <c r="N94" s="110"/>
    </row>
    <row r="95" spans="1:14" ht="15" hidden="1" thickBot="1" x14ac:dyDescent="0.35">
      <c r="A95" s="14">
        <v>9</v>
      </c>
      <c r="B95" s="14" t="s">
        <v>544</v>
      </c>
      <c r="C95" s="14" t="s">
        <v>1238</v>
      </c>
      <c r="D95" s="14" t="s">
        <v>510</v>
      </c>
      <c r="E95" s="14" t="s">
        <v>512</v>
      </c>
      <c r="F95" s="14">
        <v>2</v>
      </c>
      <c r="G95" s="16">
        <f t="shared" si="3"/>
        <v>11040</v>
      </c>
      <c r="H95" s="16">
        <v>11040</v>
      </c>
      <c r="I95" s="16">
        <f t="shared" si="5"/>
        <v>0</v>
      </c>
      <c r="J95" s="31">
        <v>11040</v>
      </c>
      <c r="K95" s="69">
        <f t="shared" si="4"/>
        <v>0</v>
      </c>
      <c r="L95" s="50"/>
      <c r="M95" s="109"/>
      <c r="N95" s="110"/>
    </row>
    <row r="96" spans="1:14" ht="15" hidden="1" thickBot="1" x14ac:dyDescent="0.35">
      <c r="A96" s="14">
        <v>9</v>
      </c>
      <c r="B96" s="14" t="s">
        <v>544</v>
      </c>
      <c r="C96" s="14" t="s">
        <v>1238</v>
      </c>
      <c r="D96" s="14" t="s">
        <v>614</v>
      </c>
      <c r="E96" s="14" t="s">
        <v>512</v>
      </c>
      <c r="F96" s="14">
        <v>3</v>
      </c>
      <c r="G96" s="16">
        <f t="shared" si="3"/>
        <v>24012</v>
      </c>
      <c r="H96" s="16">
        <v>24012</v>
      </c>
      <c r="I96" s="16">
        <f t="shared" si="5"/>
        <v>0</v>
      </c>
      <c r="J96" s="31">
        <v>24012</v>
      </c>
      <c r="K96" s="69">
        <f t="shared" si="4"/>
        <v>0</v>
      </c>
      <c r="L96" s="50"/>
      <c r="M96" s="109"/>
      <c r="N96" s="110"/>
    </row>
    <row r="97" spans="1:14" ht="15" hidden="1" thickBot="1" x14ac:dyDescent="0.35">
      <c r="A97" s="14">
        <v>9</v>
      </c>
      <c r="B97" s="14" t="s">
        <v>544</v>
      </c>
      <c r="C97" s="14" t="s">
        <v>1238</v>
      </c>
      <c r="D97" s="14" t="s">
        <v>523</v>
      </c>
      <c r="E97" s="14" t="s">
        <v>508</v>
      </c>
      <c r="F97" s="14">
        <v>3</v>
      </c>
      <c r="G97" s="16">
        <f t="shared" si="3"/>
        <v>7802</v>
      </c>
      <c r="H97" s="16">
        <v>7802</v>
      </c>
      <c r="I97" s="16">
        <f t="shared" si="5"/>
        <v>0</v>
      </c>
      <c r="J97" s="31">
        <v>7802</v>
      </c>
      <c r="K97" s="69">
        <f t="shared" si="4"/>
        <v>0</v>
      </c>
      <c r="L97" s="50"/>
      <c r="M97" s="109"/>
      <c r="N97" s="110"/>
    </row>
    <row r="98" spans="1:14" ht="15" hidden="1" thickBot="1" x14ac:dyDescent="0.35">
      <c r="A98" s="14">
        <v>9</v>
      </c>
      <c r="B98" s="14" t="s">
        <v>544</v>
      </c>
      <c r="C98" s="14" t="s">
        <v>1238</v>
      </c>
      <c r="D98" s="14" t="s">
        <v>547</v>
      </c>
      <c r="E98" s="14" t="s">
        <v>502</v>
      </c>
      <c r="F98" s="14">
        <v>3</v>
      </c>
      <c r="G98" s="16">
        <f t="shared" si="3"/>
        <v>7681.8</v>
      </c>
      <c r="H98" s="16">
        <v>7801.8</v>
      </c>
      <c r="I98" s="16">
        <f t="shared" si="5"/>
        <v>0</v>
      </c>
      <c r="J98" s="31">
        <v>7801.8</v>
      </c>
      <c r="K98" s="69">
        <f t="shared" si="4"/>
        <v>0</v>
      </c>
      <c r="L98" s="50">
        <v>120</v>
      </c>
      <c r="M98" s="109">
        <v>120</v>
      </c>
      <c r="N98" s="110"/>
    </row>
    <row r="99" spans="1:14" ht="15" hidden="1" thickBot="1" x14ac:dyDescent="0.35">
      <c r="A99" s="14">
        <v>9</v>
      </c>
      <c r="B99" s="14" t="s">
        <v>544</v>
      </c>
      <c r="C99" s="14" t="s">
        <v>1238</v>
      </c>
      <c r="D99" s="14" t="s">
        <v>510</v>
      </c>
      <c r="E99" s="14" t="s">
        <v>499</v>
      </c>
      <c r="F99" s="14">
        <v>4</v>
      </c>
      <c r="G99" s="16">
        <f t="shared" si="3"/>
        <v>11400</v>
      </c>
      <c r="H99" s="16">
        <v>11400</v>
      </c>
      <c r="I99" s="16">
        <f t="shared" si="5"/>
        <v>0</v>
      </c>
      <c r="J99" s="31">
        <v>11400</v>
      </c>
      <c r="K99" s="69">
        <f t="shared" si="4"/>
        <v>0</v>
      </c>
      <c r="L99" s="50"/>
      <c r="M99" s="109"/>
      <c r="N99" s="110"/>
    </row>
    <row r="100" spans="1:14" ht="15" hidden="1" thickBot="1" x14ac:dyDescent="0.35">
      <c r="A100" s="14">
        <v>9</v>
      </c>
      <c r="B100" s="14" t="s">
        <v>544</v>
      </c>
      <c r="C100" s="14" t="s">
        <v>1238</v>
      </c>
      <c r="D100" s="14" t="s">
        <v>510</v>
      </c>
      <c r="E100" s="14" t="s">
        <v>503</v>
      </c>
      <c r="F100" s="14">
        <v>4</v>
      </c>
      <c r="G100" s="16">
        <f t="shared" si="3"/>
        <v>11350</v>
      </c>
      <c r="H100" s="16">
        <v>11400</v>
      </c>
      <c r="I100" s="16">
        <f t="shared" si="5"/>
        <v>0</v>
      </c>
      <c r="J100" s="31">
        <v>11400</v>
      </c>
      <c r="K100" s="69">
        <f t="shared" si="4"/>
        <v>0</v>
      </c>
      <c r="L100" s="50">
        <v>50</v>
      </c>
      <c r="M100" s="109">
        <v>50</v>
      </c>
      <c r="N100" s="110"/>
    </row>
    <row r="101" spans="1:14" ht="15" hidden="1" thickBot="1" x14ac:dyDescent="0.35">
      <c r="A101" s="14">
        <v>9</v>
      </c>
      <c r="B101" s="14" t="s">
        <v>544</v>
      </c>
      <c r="C101" s="14" t="s">
        <v>1238</v>
      </c>
      <c r="D101" s="14" t="s">
        <v>510</v>
      </c>
      <c r="E101" s="14" t="s">
        <v>506</v>
      </c>
      <c r="F101" s="14">
        <v>4</v>
      </c>
      <c r="G101" s="16">
        <f t="shared" si="3"/>
        <v>11400</v>
      </c>
      <c r="H101" s="16">
        <v>11400</v>
      </c>
      <c r="I101" s="16">
        <f t="shared" si="5"/>
        <v>0</v>
      </c>
      <c r="J101" s="31">
        <v>11400</v>
      </c>
      <c r="K101" s="69">
        <f t="shared" si="4"/>
        <v>0</v>
      </c>
      <c r="L101" s="50"/>
      <c r="M101" s="109"/>
      <c r="N101" s="110"/>
    </row>
    <row r="102" spans="1:14" ht="15" hidden="1" thickBot="1" x14ac:dyDescent="0.35">
      <c r="A102" s="14">
        <v>9</v>
      </c>
      <c r="B102" s="14" t="s">
        <v>544</v>
      </c>
      <c r="C102" s="14" t="s">
        <v>1238</v>
      </c>
      <c r="D102" s="14" t="s">
        <v>614</v>
      </c>
      <c r="E102" s="14" t="s">
        <v>508</v>
      </c>
      <c r="F102" s="14">
        <v>3</v>
      </c>
      <c r="G102" s="16">
        <f t="shared" si="3"/>
        <v>1850</v>
      </c>
      <c r="H102" s="16">
        <v>2000</v>
      </c>
      <c r="I102" s="16">
        <f t="shared" si="5"/>
        <v>0</v>
      </c>
      <c r="J102" s="31">
        <v>2000</v>
      </c>
      <c r="K102" s="69">
        <f t="shared" si="4"/>
        <v>0</v>
      </c>
      <c r="L102" s="50">
        <v>150</v>
      </c>
      <c r="M102" s="109">
        <v>150</v>
      </c>
      <c r="N102" s="110">
        <v>1</v>
      </c>
    </row>
    <row r="103" spans="1:14" ht="15" hidden="1" thickBot="1" x14ac:dyDescent="0.35">
      <c r="A103" s="14">
        <v>9</v>
      </c>
      <c r="B103" s="14" t="s">
        <v>544</v>
      </c>
      <c r="C103" s="14" t="s">
        <v>1238</v>
      </c>
      <c r="D103" s="14" t="s">
        <v>510</v>
      </c>
      <c r="E103" s="14" t="s">
        <v>502</v>
      </c>
      <c r="F103" s="14">
        <v>3</v>
      </c>
      <c r="G103" s="16">
        <f t="shared" si="3"/>
        <v>11280</v>
      </c>
      <c r="H103" s="16">
        <v>11400</v>
      </c>
      <c r="I103" s="16">
        <f t="shared" si="5"/>
        <v>0</v>
      </c>
      <c r="J103" s="31">
        <v>11400</v>
      </c>
      <c r="K103" s="69">
        <f t="shared" si="4"/>
        <v>0</v>
      </c>
      <c r="L103" s="50">
        <v>120</v>
      </c>
      <c r="M103" s="109">
        <v>120</v>
      </c>
      <c r="N103" s="110"/>
    </row>
    <row r="104" spans="1:14" ht="15" hidden="1" thickBot="1" x14ac:dyDescent="0.35">
      <c r="A104" s="14">
        <v>9</v>
      </c>
      <c r="B104" s="14" t="s">
        <v>544</v>
      </c>
      <c r="C104" s="14" t="s">
        <v>1238</v>
      </c>
      <c r="D104" s="14" t="s">
        <v>510</v>
      </c>
      <c r="E104" s="14" t="s">
        <v>504</v>
      </c>
      <c r="F104" s="14">
        <v>2</v>
      </c>
      <c r="G104" s="16">
        <f t="shared" si="3"/>
        <v>11040</v>
      </c>
      <c r="H104" s="16">
        <v>11040</v>
      </c>
      <c r="I104" s="16">
        <f t="shared" si="5"/>
        <v>0</v>
      </c>
      <c r="J104" s="31">
        <v>11040</v>
      </c>
      <c r="K104" s="69">
        <f t="shared" si="4"/>
        <v>0</v>
      </c>
      <c r="L104" s="50"/>
      <c r="M104" s="109"/>
      <c r="N104" s="110"/>
    </row>
    <row r="105" spans="1:14" ht="15" hidden="1" thickBot="1" x14ac:dyDescent="0.35">
      <c r="A105" s="14">
        <v>9</v>
      </c>
      <c r="B105" s="14" t="s">
        <v>544</v>
      </c>
      <c r="C105" s="14" t="s">
        <v>1238</v>
      </c>
      <c r="D105" s="14" t="s">
        <v>614</v>
      </c>
      <c r="E105" s="14" t="s">
        <v>504</v>
      </c>
      <c r="F105" s="14">
        <v>3</v>
      </c>
      <c r="G105" s="16">
        <f t="shared" si="3"/>
        <v>1600</v>
      </c>
      <c r="H105" s="16">
        <v>1840</v>
      </c>
      <c r="I105" s="16">
        <f t="shared" si="5"/>
        <v>0</v>
      </c>
      <c r="J105" s="31">
        <v>1840</v>
      </c>
      <c r="K105" s="69">
        <f t="shared" si="4"/>
        <v>0</v>
      </c>
      <c r="L105" s="50">
        <v>240</v>
      </c>
      <c r="M105" s="109">
        <v>240</v>
      </c>
      <c r="N105" s="110"/>
    </row>
    <row r="106" spans="1:14" ht="15" hidden="1" thickBot="1" x14ac:dyDescent="0.35">
      <c r="A106" s="14">
        <v>9</v>
      </c>
      <c r="B106" s="14" t="s">
        <v>544</v>
      </c>
      <c r="C106" s="14" t="s">
        <v>1238</v>
      </c>
      <c r="D106" s="14" t="s">
        <v>548</v>
      </c>
      <c r="E106" s="14" t="s">
        <v>504</v>
      </c>
      <c r="F106" s="14">
        <v>1</v>
      </c>
      <c r="G106" s="16">
        <f t="shared" si="3"/>
        <v>8322</v>
      </c>
      <c r="H106" s="16">
        <v>8322</v>
      </c>
      <c r="I106" s="16">
        <f>J106-H106</f>
        <v>0</v>
      </c>
      <c r="J106" s="31">
        <v>8322</v>
      </c>
      <c r="K106" s="69">
        <f t="shared" si="4"/>
        <v>0</v>
      </c>
      <c r="L106" s="50"/>
      <c r="M106" s="109"/>
      <c r="N106" s="110"/>
    </row>
    <row r="107" spans="1:14" ht="15" hidden="1" thickBot="1" x14ac:dyDescent="0.35">
      <c r="A107" s="14">
        <v>9</v>
      </c>
      <c r="B107" s="14" t="s">
        <v>544</v>
      </c>
      <c r="C107" s="14" t="s">
        <v>1238</v>
      </c>
      <c r="D107" s="14" t="s">
        <v>980</v>
      </c>
      <c r="E107" s="14" t="s">
        <v>503</v>
      </c>
      <c r="F107" s="14">
        <v>1</v>
      </c>
      <c r="G107" s="16">
        <f t="shared" si="3"/>
        <v>138624</v>
      </c>
      <c r="H107" s="16">
        <v>138624</v>
      </c>
      <c r="I107" s="16">
        <f>J107-H107</f>
        <v>0</v>
      </c>
      <c r="J107" s="31">
        <v>138624</v>
      </c>
      <c r="K107" s="69">
        <f t="shared" si="4"/>
        <v>0</v>
      </c>
      <c r="L107" s="50"/>
      <c r="M107" s="109"/>
      <c r="N107" s="110">
        <v>0.95</v>
      </c>
    </row>
    <row r="108" spans="1:14" ht="15" hidden="1" thickBot="1" x14ac:dyDescent="0.35">
      <c r="A108" s="14">
        <v>9</v>
      </c>
      <c r="B108" s="14" t="s">
        <v>544</v>
      </c>
      <c r="C108" s="14" t="s">
        <v>1238</v>
      </c>
      <c r="D108" s="14" t="s">
        <v>1102</v>
      </c>
      <c r="E108" s="14" t="s">
        <v>500</v>
      </c>
      <c r="F108" s="14">
        <v>2</v>
      </c>
      <c r="G108" s="16">
        <f t="shared" si="3"/>
        <v>155040</v>
      </c>
      <c r="H108" s="16">
        <v>155040</v>
      </c>
      <c r="I108" s="16">
        <f>J108-H108</f>
        <v>0</v>
      </c>
      <c r="J108" s="31">
        <v>155040</v>
      </c>
      <c r="K108" s="69">
        <f t="shared" si="4"/>
        <v>0</v>
      </c>
      <c r="L108" s="50"/>
      <c r="M108" s="109"/>
      <c r="N108" s="110">
        <v>0.95</v>
      </c>
    </row>
    <row r="109" spans="1:14" ht="15" hidden="1" thickBot="1" x14ac:dyDescent="0.35">
      <c r="A109" s="14">
        <v>9</v>
      </c>
      <c r="B109" s="14" t="s">
        <v>544</v>
      </c>
      <c r="C109" s="14" t="s">
        <v>1238</v>
      </c>
      <c r="D109" s="14" t="s">
        <v>985</v>
      </c>
      <c r="E109" s="14" t="s">
        <v>506</v>
      </c>
      <c r="F109" s="14">
        <v>3</v>
      </c>
      <c r="G109" s="16">
        <f t="shared" si="3"/>
        <v>132979</v>
      </c>
      <c r="H109" s="16">
        <v>133819</v>
      </c>
      <c r="I109" s="16">
        <f t="shared" ref="I109:I116" si="6">J109-H109</f>
        <v>0</v>
      </c>
      <c r="J109" s="31">
        <v>133819</v>
      </c>
      <c r="K109" s="69">
        <f t="shared" si="4"/>
        <v>0</v>
      </c>
      <c r="L109" s="50">
        <v>840</v>
      </c>
      <c r="M109" s="109">
        <v>840</v>
      </c>
      <c r="N109" s="110">
        <v>0.95</v>
      </c>
    </row>
    <row r="110" spans="1:14" ht="15" hidden="1" thickBot="1" x14ac:dyDescent="0.35">
      <c r="A110" s="14">
        <v>9</v>
      </c>
      <c r="B110" s="14" t="s">
        <v>544</v>
      </c>
      <c r="C110" s="14" t="s">
        <v>1238</v>
      </c>
      <c r="D110" s="14" t="s">
        <v>1043</v>
      </c>
      <c r="E110" s="14" t="s">
        <v>500</v>
      </c>
      <c r="F110" s="14">
        <v>4</v>
      </c>
      <c r="G110" s="16">
        <f t="shared" si="3"/>
        <v>74328</v>
      </c>
      <c r="H110" s="16">
        <v>74328</v>
      </c>
      <c r="I110" s="16">
        <f t="shared" si="6"/>
        <v>0</v>
      </c>
      <c r="J110" s="31">
        <v>74328</v>
      </c>
      <c r="K110" s="69">
        <f t="shared" si="4"/>
        <v>0</v>
      </c>
      <c r="L110" s="50"/>
      <c r="M110" s="109"/>
      <c r="N110" s="110">
        <v>0.95</v>
      </c>
    </row>
    <row r="111" spans="1:14" ht="15" hidden="1" thickBot="1" x14ac:dyDescent="0.35">
      <c r="A111" s="14">
        <v>9</v>
      </c>
      <c r="B111" s="14" t="s">
        <v>544</v>
      </c>
      <c r="C111" s="14" t="s">
        <v>1238</v>
      </c>
      <c r="D111" s="14" t="s">
        <v>1105</v>
      </c>
      <c r="E111" s="14" t="s">
        <v>504</v>
      </c>
      <c r="F111" s="14">
        <v>2</v>
      </c>
      <c r="G111" s="16">
        <f t="shared" si="3"/>
        <v>134672</v>
      </c>
      <c r="H111" s="16">
        <v>134672</v>
      </c>
      <c r="I111" s="16">
        <f t="shared" si="6"/>
        <v>0</v>
      </c>
      <c r="J111" s="31">
        <v>134672</v>
      </c>
      <c r="K111" s="69">
        <f t="shared" si="4"/>
        <v>0</v>
      </c>
      <c r="L111" s="50"/>
      <c r="M111" s="109"/>
      <c r="N111" s="110">
        <v>0.95</v>
      </c>
    </row>
    <row r="112" spans="1:14" ht="15" hidden="1" thickBot="1" x14ac:dyDescent="0.35">
      <c r="A112" s="14">
        <v>9</v>
      </c>
      <c r="B112" s="14" t="s">
        <v>544</v>
      </c>
      <c r="C112" s="14" t="s">
        <v>1238</v>
      </c>
      <c r="D112" s="14" t="s">
        <v>981</v>
      </c>
      <c r="E112" s="14" t="s">
        <v>502</v>
      </c>
      <c r="F112" s="14">
        <v>3</v>
      </c>
      <c r="G112" s="16">
        <f t="shared" si="3"/>
        <v>116589</v>
      </c>
      <c r="H112" s="16">
        <v>116589</v>
      </c>
      <c r="I112" s="16">
        <f t="shared" si="6"/>
        <v>0</v>
      </c>
      <c r="J112" s="31">
        <v>116589</v>
      </c>
      <c r="K112" s="69">
        <f t="shared" si="4"/>
        <v>0</v>
      </c>
      <c r="L112" s="50"/>
      <c r="M112" s="109"/>
      <c r="N112" s="110">
        <v>0.95</v>
      </c>
    </row>
    <row r="113" spans="1:14" ht="15" hidden="1" thickBot="1" x14ac:dyDescent="0.35">
      <c r="A113" s="14">
        <v>9</v>
      </c>
      <c r="B113" s="14" t="s">
        <v>544</v>
      </c>
      <c r="C113" s="14" t="s">
        <v>1238</v>
      </c>
      <c r="D113" s="14" t="s">
        <v>1061</v>
      </c>
      <c r="E113" s="14" t="s">
        <v>508</v>
      </c>
      <c r="F113" s="14">
        <v>2</v>
      </c>
      <c r="G113" s="16">
        <f t="shared" si="3"/>
        <v>142880</v>
      </c>
      <c r="H113" s="16">
        <v>142880</v>
      </c>
      <c r="I113" s="16">
        <f t="shared" si="6"/>
        <v>0</v>
      </c>
      <c r="J113" s="31">
        <v>142880</v>
      </c>
      <c r="K113" s="69">
        <f t="shared" si="4"/>
        <v>0</v>
      </c>
      <c r="L113" s="50">
        <v>0</v>
      </c>
      <c r="M113" s="109">
        <v>0</v>
      </c>
      <c r="N113" s="110">
        <v>0.95</v>
      </c>
    </row>
    <row r="114" spans="1:14" ht="15" hidden="1" thickBot="1" x14ac:dyDescent="0.35">
      <c r="A114" s="14">
        <v>9</v>
      </c>
      <c r="B114" s="14" t="s">
        <v>544</v>
      </c>
      <c r="C114" s="14" t="s">
        <v>1238</v>
      </c>
      <c r="D114" s="14" t="s">
        <v>670</v>
      </c>
      <c r="E114" s="14" t="s">
        <v>506</v>
      </c>
      <c r="F114" s="14">
        <v>4</v>
      </c>
      <c r="G114" s="16">
        <f t="shared" si="3"/>
        <v>190909</v>
      </c>
      <c r="H114" s="16">
        <v>191869</v>
      </c>
      <c r="I114" s="16">
        <f t="shared" si="6"/>
        <v>0</v>
      </c>
      <c r="J114" s="31">
        <v>191869</v>
      </c>
      <c r="K114" s="69">
        <f t="shared" si="4"/>
        <v>0</v>
      </c>
      <c r="L114" s="50">
        <v>960</v>
      </c>
      <c r="M114" s="109">
        <v>960</v>
      </c>
      <c r="N114" s="110">
        <v>0.95</v>
      </c>
    </row>
    <row r="115" spans="1:14" ht="15" hidden="1" thickBot="1" x14ac:dyDescent="0.35">
      <c r="A115" s="14">
        <v>9</v>
      </c>
      <c r="B115" s="14" t="s">
        <v>544</v>
      </c>
      <c r="C115" s="14" t="s">
        <v>1238</v>
      </c>
      <c r="D115" s="14" t="s">
        <v>618</v>
      </c>
      <c r="E115" s="14" t="s">
        <v>509</v>
      </c>
      <c r="F115" s="14">
        <v>4</v>
      </c>
      <c r="G115" s="16">
        <f t="shared" si="3"/>
        <v>119106</v>
      </c>
      <c r="H115" s="16">
        <v>119106</v>
      </c>
      <c r="I115" s="16">
        <f t="shared" si="6"/>
        <v>0</v>
      </c>
      <c r="J115" s="31">
        <v>119106</v>
      </c>
      <c r="K115" s="69">
        <f t="shared" si="4"/>
        <v>0</v>
      </c>
      <c r="L115" s="50"/>
      <c r="M115" s="109"/>
      <c r="N115" s="110"/>
    </row>
    <row r="116" spans="1:14" ht="15" hidden="1" thickBot="1" x14ac:dyDescent="0.35">
      <c r="A116" s="14">
        <v>9</v>
      </c>
      <c r="B116" s="14" t="s">
        <v>544</v>
      </c>
      <c r="C116" s="14" t="s">
        <v>1238</v>
      </c>
      <c r="D116" s="14" t="s">
        <v>679</v>
      </c>
      <c r="E116" s="14" t="s">
        <v>502</v>
      </c>
      <c r="F116" s="14">
        <v>3</v>
      </c>
      <c r="G116" s="16">
        <f t="shared" si="3"/>
        <v>107136</v>
      </c>
      <c r="H116" s="16">
        <v>107136</v>
      </c>
      <c r="I116" s="16">
        <f t="shared" si="6"/>
        <v>0</v>
      </c>
      <c r="J116" s="31">
        <v>107136</v>
      </c>
      <c r="K116" s="69">
        <f t="shared" si="4"/>
        <v>0</v>
      </c>
      <c r="L116" s="50"/>
      <c r="M116" s="109"/>
      <c r="N116" s="110">
        <v>0.95</v>
      </c>
    </row>
    <row r="117" spans="1:14" ht="15" hidden="1" thickBot="1" x14ac:dyDescent="0.35">
      <c r="A117" s="14">
        <v>9</v>
      </c>
      <c r="B117" s="14" t="s">
        <v>544</v>
      </c>
      <c r="C117" s="14" t="s">
        <v>1238</v>
      </c>
      <c r="D117" s="14" t="s">
        <v>524</v>
      </c>
      <c r="E117" s="14" t="s">
        <v>503</v>
      </c>
      <c r="F117" s="14">
        <v>3</v>
      </c>
      <c r="G117" s="16">
        <f t="shared" si="3"/>
        <v>8475</v>
      </c>
      <c r="H117" s="16">
        <v>8550</v>
      </c>
      <c r="I117" s="16">
        <f t="shared" si="5"/>
        <v>0</v>
      </c>
      <c r="J117" s="31">
        <v>8550</v>
      </c>
      <c r="K117" s="69">
        <f t="shared" si="4"/>
        <v>0</v>
      </c>
      <c r="L117" s="50">
        <v>75</v>
      </c>
      <c r="M117" s="109">
        <v>75</v>
      </c>
      <c r="N117" s="110"/>
    </row>
    <row r="118" spans="1:14" ht="15" hidden="1" thickBot="1" x14ac:dyDescent="0.35">
      <c r="A118" s="14">
        <v>9</v>
      </c>
      <c r="B118" s="14" t="s">
        <v>544</v>
      </c>
      <c r="C118" s="14" t="s">
        <v>1238</v>
      </c>
      <c r="D118" s="14" t="s">
        <v>510</v>
      </c>
      <c r="E118" s="14" t="s">
        <v>508</v>
      </c>
      <c r="F118" s="14">
        <v>3</v>
      </c>
      <c r="G118" s="16">
        <f t="shared" si="3"/>
        <v>11400</v>
      </c>
      <c r="H118" s="16">
        <v>11400</v>
      </c>
      <c r="I118" s="16">
        <f t="shared" si="5"/>
        <v>0</v>
      </c>
      <c r="J118" s="31">
        <v>11400</v>
      </c>
      <c r="K118" s="69">
        <f t="shared" si="4"/>
        <v>0</v>
      </c>
      <c r="L118" s="50"/>
      <c r="M118" s="109"/>
      <c r="N118" s="110"/>
    </row>
    <row r="119" spans="1:14" ht="15" hidden="1" thickBot="1" x14ac:dyDescent="0.35">
      <c r="A119" s="14">
        <v>10</v>
      </c>
      <c r="B119" s="14" t="s">
        <v>549</v>
      </c>
      <c r="C119" s="14" t="s">
        <v>550</v>
      </c>
      <c r="D119" s="14" t="s">
        <v>614</v>
      </c>
      <c r="E119" s="14" t="s">
        <v>503</v>
      </c>
      <c r="F119" s="14"/>
      <c r="G119" s="16">
        <f t="shared" si="3"/>
        <v>441071</v>
      </c>
      <c r="H119" s="16">
        <v>441071</v>
      </c>
      <c r="I119" s="16">
        <f t="shared" si="5"/>
        <v>0</v>
      </c>
      <c r="J119" s="31">
        <v>441071</v>
      </c>
      <c r="K119" s="69">
        <f t="shared" si="4"/>
        <v>0</v>
      </c>
      <c r="L119" s="50"/>
      <c r="M119" s="109"/>
      <c r="N119" s="110"/>
    </row>
    <row r="120" spans="1:14" ht="15" hidden="1" thickBot="1" x14ac:dyDescent="0.35">
      <c r="A120" s="14">
        <v>11</v>
      </c>
      <c r="B120" s="14" t="s">
        <v>551</v>
      </c>
      <c r="C120" s="14" t="s">
        <v>550</v>
      </c>
      <c r="D120" s="14" t="s">
        <v>614</v>
      </c>
      <c r="E120" s="14" t="s">
        <v>499</v>
      </c>
      <c r="F120" s="14">
        <v>2</v>
      </c>
      <c r="G120" s="16">
        <f t="shared" si="3"/>
        <v>169871</v>
      </c>
      <c r="H120" s="16">
        <v>169871</v>
      </c>
      <c r="I120" s="16">
        <f t="shared" si="5"/>
        <v>0</v>
      </c>
      <c r="J120" s="31">
        <v>169871</v>
      </c>
      <c r="K120" s="69">
        <f t="shared" si="4"/>
        <v>0</v>
      </c>
      <c r="L120" s="50"/>
      <c r="M120" s="109"/>
      <c r="N120" s="110"/>
    </row>
    <row r="121" spans="1:14" ht="15" hidden="1" thickBot="1" x14ac:dyDescent="0.35">
      <c r="A121" s="14">
        <v>12</v>
      </c>
      <c r="B121" s="14" t="s">
        <v>552</v>
      </c>
      <c r="C121" s="14" t="s">
        <v>550</v>
      </c>
      <c r="D121" s="14" t="s">
        <v>553</v>
      </c>
      <c r="E121" s="14" t="s">
        <v>508</v>
      </c>
      <c r="F121" s="14"/>
      <c r="G121" s="16">
        <f t="shared" si="3"/>
        <v>139050</v>
      </c>
      <c r="H121" s="16">
        <v>139850</v>
      </c>
      <c r="I121" s="16">
        <f t="shared" si="5"/>
        <v>0</v>
      </c>
      <c r="J121" s="31">
        <v>139850</v>
      </c>
      <c r="K121" s="69">
        <f t="shared" si="4"/>
        <v>0</v>
      </c>
      <c r="L121" s="50">
        <v>800</v>
      </c>
      <c r="M121" s="109">
        <v>800</v>
      </c>
      <c r="N121" s="110"/>
    </row>
    <row r="122" spans="1:14" ht="15" hidden="1" thickBot="1" x14ac:dyDescent="0.35">
      <c r="A122" s="14">
        <v>13</v>
      </c>
      <c r="B122" s="15" t="s">
        <v>1810</v>
      </c>
      <c r="C122" s="14" t="s">
        <v>550</v>
      </c>
      <c r="D122" s="14" t="s">
        <v>614</v>
      </c>
      <c r="E122" s="14" t="s">
        <v>502</v>
      </c>
      <c r="F122" s="14">
        <v>18</v>
      </c>
      <c r="G122" s="16">
        <f t="shared" si="3"/>
        <v>2515765</v>
      </c>
      <c r="H122" s="16">
        <v>2518175</v>
      </c>
      <c r="I122" s="16">
        <f t="shared" si="5"/>
        <v>0</v>
      </c>
      <c r="J122" s="31">
        <v>2518175</v>
      </c>
      <c r="K122" s="69">
        <f t="shared" si="4"/>
        <v>0</v>
      </c>
      <c r="L122" s="50">
        <v>2410</v>
      </c>
      <c r="M122" s="109">
        <v>2410</v>
      </c>
      <c r="N122" s="110"/>
    </row>
    <row r="123" spans="1:14" ht="15" hidden="1" thickBot="1" x14ac:dyDescent="0.35">
      <c r="A123" s="14">
        <v>14</v>
      </c>
      <c r="B123" s="14" t="s">
        <v>554</v>
      </c>
      <c r="C123" s="14" t="s">
        <v>550</v>
      </c>
      <c r="D123" s="14" t="s">
        <v>555</v>
      </c>
      <c r="E123" s="14" t="s">
        <v>502</v>
      </c>
      <c r="F123" s="14">
        <v>19</v>
      </c>
      <c r="G123" s="16">
        <f t="shared" si="3"/>
        <v>4530640</v>
      </c>
      <c r="H123" s="16">
        <v>4534665</v>
      </c>
      <c r="I123" s="16">
        <f t="shared" si="5"/>
        <v>0</v>
      </c>
      <c r="J123" s="31">
        <v>4534665</v>
      </c>
      <c r="K123" s="69">
        <f t="shared" si="4"/>
        <v>0</v>
      </c>
      <c r="L123" s="50">
        <v>4025</v>
      </c>
      <c r="M123" s="109">
        <v>4025</v>
      </c>
      <c r="N123" s="110"/>
    </row>
    <row r="124" spans="1:14" ht="15" hidden="1" thickBot="1" x14ac:dyDescent="0.35">
      <c r="A124" s="14">
        <v>15</v>
      </c>
      <c r="B124" s="14" t="s">
        <v>556</v>
      </c>
      <c r="C124" s="14" t="s">
        <v>940</v>
      </c>
      <c r="D124" s="14" t="s">
        <v>614</v>
      </c>
      <c r="E124" s="14" t="s">
        <v>503</v>
      </c>
      <c r="F124" s="14"/>
      <c r="G124" s="16">
        <f t="shared" si="3"/>
        <v>15246</v>
      </c>
      <c r="H124" s="16">
        <v>15246</v>
      </c>
      <c r="I124" s="16">
        <f t="shared" si="5"/>
        <v>0</v>
      </c>
      <c r="J124" s="31">
        <v>15246</v>
      </c>
      <c r="K124" s="69">
        <f t="shared" si="4"/>
        <v>0</v>
      </c>
      <c r="L124" s="50">
        <v>0</v>
      </c>
      <c r="M124" s="109">
        <v>0</v>
      </c>
      <c r="N124" s="110"/>
    </row>
    <row r="125" spans="1:14" ht="15" hidden="1" thickBot="1" x14ac:dyDescent="0.35">
      <c r="A125" s="14">
        <v>15</v>
      </c>
      <c r="B125" s="14" t="s">
        <v>556</v>
      </c>
      <c r="C125" s="14" t="s">
        <v>550</v>
      </c>
      <c r="D125" s="14" t="s">
        <v>497</v>
      </c>
      <c r="E125" s="14" t="s">
        <v>14</v>
      </c>
      <c r="F125" s="14">
        <v>44</v>
      </c>
      <c r="G125" s="16">
        <f t="shared" si="3"/>
        <v>5184269</v>
      </c>
      <c r="H125" s="16">
        <v>5185229</v>
      </c>
      <c r="I125" s="16">
        <f t="shared" si="5"/>
        <v>0</v>
      </c>
      <c r="J125" s="31">
        <v>5185229</v>
      </c>
      <c r="K125" s="69">
        <f t="shared" si="4"/>
        <v>0</v>
      </c>
      <c r="L125" s="50">
        <v>960</v>
      </c>
      <c r="M125" s="109">
        <v>960</v>
      </c>
      <c r="N125" s="110">
        <v>1</v>
      </c>
    </row>
    <row r="126" spans="1:14" ht="15" hidden="1" thickBot="1" x14ac:dyDescent="0.35">
      <c r="A126" s="14">
        <v>15</v>
      </c>
      <c r="B126" s="14" t="s">
        <v>556</v>
      </c>
      <c r="C126" s="14" t="s">
        <v>558</v>
      </c>
      <c r="D126" s="14" t="s">
        <v>497</v>
      </c>
      <c r="E126" s="14" t="s">
        <v>14</v>
      </c>
      <c r="F126" s="14">
        <v>3</v>
      </c>
      <c r="G126" s="16">
        <f t="shared" si="3"/>
        <v>6485</v>
      </c>
      <c r="H126" s="16">
        <v>6485</v>
      </c>
      <c r="I126" s="16">
        <f t="shared" si="5"/>
        <v>0</v>
      </c>
      <c r="J126" s="31">
        <v>6485</v>
      </c>
      <c r="K126" s="69">
        <f t="shared" si="4"/>
        <v>0</v>
      </c>
      <c r="L126" s="50"/>
      <c r="M126" s="109"/>
      <c r="N126" s="110"/>
    </row>
    <row r="127" spans="1:14" ht="15" hidden="1" thickBot="1" x14ac:dyDescent="0.35">
      <c r="A127" s="14">
        <v>15</v>
      </c>
      <c r="B127" s="14" t="s">
        <v>556</v>
      </c>
      <c r="C127" s="14" t="s">
        <v>108</v>
      </c>
      <c r="D127" s="14" t="s">
        <v>497</v>
      </c>
      <c r="E127" s="14" t="s">
        <v>14</v>
      </c>
      <c r="F127" s="14">
        <v>2</v>
      </c>
      <c r="G127" s="16">
        <f t="shared" si="3"/>
        <v>31200</v>
      </c>
      <c r="H127" s="16">
        <v>31200</v>
      </c>
      <c r="I127" s="16">
        <f t="shared" si="5"/>
        <v>0</v>
      </c>
      <c r="J127" s="31">
        <v>31200</v>
      </c>
      <c r="K127" s="69">
        <f t="shared" si="4"/>
        <v>0</v>
      </c>
      <c r="L127" s="50">
        <v>0</v>
      </c>
      <c r="M127" s="109">
        <v>0</v>
      </c>
      <c r="N127" s="110"/>
    </row>
    <row r="128" spans="1:14" ht="15" hidden="1" thickBot="1" x14ac:dyDescent="0.35">
      <c r="A128" s="14">
        <v>16</v>
      </c>
      <c r="B128" s="14" t="s">
        <v>559</v>
      </c>
      <c r="C128" s="14" t="s">
        <v>108</v>
      </c>
      <c r="D128" s="14" t="s">
        <v>510</v>
      </c>
      <c r="E128" s="14" t="s">
        <v>502</v>
      </c>
      <c r="F128" s="14"/>
      <c r="G128" s="16">
        <f t="shared" si="3"/>
        <v>16950</v>
      </c>
      <c r="H128" s="16">
        <v>16950</v>
      </c>
      <c r="I128" s="16">
        <f t="shared" si="5"/>
        <v>0</v>
      </c>
      <c r="J128" s="31">
        <v>16950</v>
      </c>
      <c r="K128" s="69">
        <f t="shared" si="4"/>
        <v>0</v>
      </c>
      <c r="L128" s="50">
        <v>0</v>
      </c>
      <c r="M128" s="109">
        <v>0</v>
      </c>
      <c r="N128" s="110"/>
    </row>
    <row r="129" spans="1:16" ht="15" hidden="1" thickBot="1" x14ac:dyDescent="0.35">
      <c r="A129" s="20">
        <v>17</v>
      </c>
      <c r="B129" s="14" t="s">
        <v>1185</v>
      </c>
      <c r="C129" s="14" t="s">
        <v>108</v>
      </c>
      <c r="D129" s="14" t="s">
        <v>497</v>
      </c>
      <c r="E129" s="14" t="s">
        <v>14</v>
      </c>
      <c r="F129" s="14">
        <v>8</v>
      </c>
      <c r="G129" s="16">
        <f t="shared" si="3"/>
        <v>150880</v>
      </c>
      <c r="H129" s="16">
        <v>150880</v>
      </c>
      <c r="I129" s="16">
        <f t="shared" si="5"/>
        <v>0</v>
      </c>
      <c r="J129" s="31">
        <v>150880</v>
      </c>
      <c r="K129" s="69">
        <f t="shared" si="4"/>
        <v>0</v>
      </c>
      <c r="L129" s="50">
        <v>0</v>
      </c>
      <c r="M129" s="109">
        <v>0</v>
      </c>
      <c r="N129" s="110"/>
    </row>
    <row r="130" spans="1:16" ht="15" hidden="1" thickBot="1" x14ac:dyDescent="0.35">
      <c r="A130" s="20">
        <v>17</v>
      </c>
      <c r="B130" s="14" t="s">
        <v>1185</v>
      </c>
      <c r="C130" s="14" t="s">
        <v>550</v>
      </c>
      <c r="D130" s="14" t="s">
        <v>497</v>
      </c>
      <c r="E130" s="14" t="s">
        <v>14</v>
      </c>
      <c r="F130" s="14">
        <v>50</v>
      </c>
      <c r="G130" s="16">
        <f t="shared" si="3"/>
        <v>723775</v>
      </c>
      <c r="H130" s="16">
        <v>723775</v>
      </c>
      <c r="I130" s="16">
        <f t="shared" si="5"/>
        <v>0</v>
      </c>
      <c r="J130" s="31">
        <v>723775</v>
      </c>
      <c r="K130" s="69">
        <f t="shared" si="4"/>
        <v>0</v>
      </c>
      <c r="L130" s="50">
        <v>0</v>
      </c>
      <c r="M130" s="109">
        <v>0</v>
      </c>
      <c r="N130" s="110"/>
      <c r="P130" s="38" t="s">
        <v>1767</v>
      </c>
    </row>
    <row r="131" spans="1:16" ht="15" hidden="1" thickBot="1" x14ac:dyDescent="0.35">
      <c r="A131" s="14">
        <v>18</v>
      </c>
      <c r="B131" s="14" t="s">
        <v>560</v>
      </c>
      <c r="C131" s="14" t="s">
        <v>71</v>
      </c>
      <c r="D131" s="14" t="s">
        <v>497</v>
      </c>
      <c r="E131" s="14" t="s">
        <v>14</v>
      </c>
      <c r="F131" s="14">
        <v>14</v>
      </c>
      <c r="G131" s="16">
        <f t="shared" si="3"/>
        <v>1414530</v>
      </c>
      <c r="H131" s="16">
        <v>1414530</v>
      </c>
      <c r="I131" s="16">
        <f t="shared" si="5"/>
        <v>0</v>
      </c>
      <c r="J131" s="31">
        <v>1414530</v>
      </c>
      <c r="K131" s="69">
        <f t="shared" si="4"/>
        <v>0</v>
      </c>
      <c r="L131" s="50">
        <v>0</v>
      </c>
      <c r="M131" s="109">
        <v>0</v>
      </c>
      <c r="N131" s="110"/>
    </row>
    <row r="132" spans="1:16" ht="15" hidden="1" thickBot="1" x14ac:dyDescent="0.35">
      <c r="A132" s="14">
        <v>19</v>
      </c>
      <c r="B132" s="14" t="s">
        <v>561</v>
      </c>
      <c r="C132" s="14" t="s">
        <v>550</v>
      </c>
      <c r="D132" s="14" t="s">
        <v>497</v>
      </c>
      <c r="E132" s="14" t="s">
        <v>14</v>
      </c>
      <c r="F132" s="14">
        <v>6</v>
      </c>
      <c r="G132" s="16">
        <f t="shared" si="3"/>
        <v>458405</v>
      </c>
      <c r="H132" s="16">
        <v>458405</v>
      </c>
      <c r="I132" s="16">
        <f t="shared" si="5"/>
        <v>0</v>
      </c>
      <c r="J132" s="31">
        <v>458405</v>
      </c>
      <c r="K132" s="69">
        <f t="shared" si="4"/>
        <v>0</v>
      </c>
      <c r="L132" s="50">
        <v>0</v>
      </c>
      <c r="M132" s="109">
        <v>0</v>
      </c>
      <c r="N132" s="110"/>
    </row>
    <row r="133" spans="1:16" ht="15" hidden="1" thickBot="1" x14ac:dyDescent="0.35">
      <c r="A133" s="20">
        <v>20</v>
      </c>
      <c r="B133" s="14" t="s">
        <v>562</v>
      </c>
      <c r="C133" s="20" t="s">
        <v>664</v>
      </c>
      <c r="D133" s="14" t="s">
        <v>563</v>
      </c>
      <c r="E133" s="14" t="s">
        <v>509</v>
      </c>
      <c r="F133" s="14">
        <v>9</v>
      </c>
      <c r="G133" s="16">
        <f t="shared" si="3"/>
        <v>82754</v>
      </c>
      <c r="H133" s="16">
        <v>84954</v>
      </c>
      <c r="I133" s="16">
        <f t="shared" si="5"/>
        <v>0</v>
      </c>
      <c r="J133" s="31">
        <v>84954</v>
      </c>
      <c r="K133" s="69">
        <f t="shared" si="4"/>
        <v>0</v>
      </c>
      <c r="L133" s="50">
        <v>2200</v>
      </c>
      <c r="M133" s="109">
        <v>2200</v>
      </c>
      <c r="N133" s="110">
        <v>0.95</v>
      </c>
    </row>
    <row r="134" spans="1:16" ht="15" hidden="1" thickBot="1" x14ac:dyDescent="0.35">
      <c r="A134" s="20">
        <v>20</v>
      </c>
      <c r="B134" s="14" t="s">
        <v>562</v>
      </c>
      <c r="C134" s="20" t="s">
        <v>664</v>
      </c>
      <c r="D134" s="14" t="s">
        <v>1170</v>
      </c>
      <c r="E134" s="14" t="s">
        <v>509</v>
      </c>
      <c r="F134" s="14">
        <v>2</v>
      </c>
      <c r="G134" s="16">
        <f t="shared" si="3"/>
        <v>8415</v>
      </c>
      <c r="H134" s="16">
        <v>8415</v>
      </c>
      <c r="I134" s="16">
        <f t="shared" si="5"/>
        <v>0</v>
      </c>
      <c r="J134" s="31">
        <v>8415</v>
      </c>
      <c r="K134" s="69">
        <f t="shared" si="4"/>
        <v>0</v>
      </c>
      <c r="L134" s="50"/>
      <c r="M134" s="109"/>
      <c r="N134" s="110">
        <v>0.85</v>
      </c>
    </row>
    <row r="135" spans="1:16" ht="15" hidden="1" thickBot="1" x14ac:dyDescent="0.35">
      <c r="A135" s="20">
        <v>20</v>
      </c>
      <c r="B135" s="14" t="s">
        <v>1066</v>
      </c>
      <c r="C135" s="15" t="s">
        <v>1732</v>
      </c>
      <c r="D135" s="14" t="s">
        <v>564</v>
      </c>
      <c r="E135" s="14" t="s">
        <v>509</v>
      </c>
      <c r="F135" s="14">
        <v>14</v>
      </c>
      <c r="G135" s="16">
        <f t="shared" si="3"/>
        <v>91700</v>
      </c>
      <c r="H135" s="16">
        <v>91700</v>
      </c>
      <c r="I135" s="16">
        <f t="shared" si="5"/>
        <v>0</v>
      </c>
      <c r="J135" s="31">
        <v>91700</v>
      </c>
      <c r="K135" s="69">
        <f t="shared" si="4"/>
        <v>0</v>
      </c>
      <c r="L135" s="50"/>
      <c r="M135" s="109"/>
      <c r="N135" s="110"/>
    </row>
    <row r="136" spans="1:16" ht="15" hidden="1" thickBot="1" x14ac:dyDescent="0.35">
      <c r="A136" s="20">
        <v>20</v>
      </c>
      <c r="B136" s="14" t="s">
        <v>562</v>
      </c>
      <c r="C136" s="14" t="s">
        <v>108</v>
      </c>
      <c r="D136" s="14" t="s">
        <v>497</v>
      </c>
      <c r="E136" s="14" t="s">
        <v>14</v>
      </c>
      <c r="F136" s="14">
        <v>3</v>
      </c>
      <c r="G136" s="16">
        <f t="shared" si="3"/>
        <v>230400</v>
      </c>
      <c r="H136" s="16">
        <v>230400</v>
      </c>
      <c r="I136" s="16">
        <f t="shared" si="5"/>
        <v>0</v>
      </c>
      <c r="J136" s="31">
        <v>230400</v>
      </c>
      <c r="K136" s="69">
        <f t="shared" si="4"/>
        <v>0</v>
      </c>
      <c r="L136" s="50">
        <v>0</v>
      </c>
      <c r="M136" s="109">
        <v>0</v>
      </c>
      <c r="N136" s="110"/>
    </row>
    <row r="137" spans="1:16" ht="15" hidden="1" thickBot="1" x14ac:dyDescent="0.35">
      <c r="A137" s="14">
        <v>21</v>
      </c>
      <c r="B137" s="14" t="s">
        <v>565</v>
      </c>
      <c r="C137" s="14" t="s">
        <v>108</v>
      </c>
      <c r="D137" s="14" t="s">
        <v>497</v>
      </c>
      <c r="E137" s="14" t="s">
        <v>14</v>
      </c>
      <c r="F137" s="14">
        <v>19</v>
      </c>
      <c r="G137" s="16">
        <f t="shared" si="3"/>
        <v>3141801</v>
      </c>
      <c r="H137" s="16">
        <v>3146401</v>
      </c>
      <c r="I137" s="16">
        <f t="shared" si="5"/>
        <v>0</v>
      </c>
      <c r="J137" s="31">
        <v>3146401</v>
      </c>
      <c r="K137" s="69">
        <f t="shared" si="4"/>
        <v>0</v>
      </c>
      <c r="L137" s="50">
        <v>4600</v>
      </c>
      <c r="M137" s="109">
        <v>4600</v>
      </c>
      <c r="N137" s="110"/>
    </row>
    <row r="138" spans="1:16" ht="15" hidden="1" thickBot="1" x14ac:dyDescent="0.35">
      <c r="A138" s="14">
        <v>22</v>
      </c>
      <c r="B138" s="14" t="s">
        <v>566</v>
      </c>
      <c r="C138" s="14" t="s">
        <v>550</v>
      </c>
      <c r="D138" s="14" t="s">
        <v>567</v>
      </c>
      <c r="E138" s="14" t="s">
        <v>504</v>
      </c>
      <c r="F138" s="14">
        <v>1</v>
      </c>
      <c r="G138" s="16">
        <f t="shared" si="3"/>
        <v>315</v>
      </c>
      <c r="H138" s="16">
        <v>315</v>
      </c>
      <c r="I138" s="16">
        <f t="shared" si="5"/>
        <v>0</v>
      </c>
      <c r="J138" s="31">
        <v>315</v>
      </c>
      <c r="K138" s="69">
        <f t="shared" si="4"/>
        <v>0</v>
      </c>
      <c r="L138" s="50">
        <v>0</v>
      </c>
      <c r="M138" s="109">
        <v>0</v>
      </c>
      <c r="N138" s="110"/>
    </row>
    <row r="139" spans="1:16" ht="15" hidden="1" thickBot="1" x14ac:dyDescent="0.35">
      <c r="A139" s="14">
        <v>22</v>
      </c>
      <c r="B139" s="14" t="s">
        <v>566</v>
      </c>
      <c r="C139" s="14" t="s">
        <v>550</v>
      </c>
      <c r="D139" s="14" t="s">
        <v>513</v>
      </c>
      <c r="E139" s="14" t="s">
        <v>512</v>
      </c>
      <c r="F139" s="14">
        <v>2</v>
      </c>
      <c r="G139" s="16">
        <f t="shared" si="3"/>
        <v>67040</v>
      </c>
      <c r="H139" s="16">
        <v>79880</v>
      </c>
      <c r="I139" s="16">
        <f t="shared" si="5"/>
        <v>0</v>
      </c>
      <c r="J139" s="31">
        <v>79880</v>
      </c>
      <c r="K139" s="69">
        <f t="shared" si="4"/>
        <v>0</v>
      </c>
      <c r="L139" s="50">
        <v>12840</v>
      </c>
      <c r="M139" s="109">
        <v>12840</v>
      </c>
      <c r="N139" s="110"/>
    </row>
    <row r="140" spans="1:16" ht="15" hidden="1" thickBot="1" x14ac:dyDescent="0.35">
      <c r="A140" s="14">
        <v>23</v>
      </c>
      <c r="B140" s="14" t="s">
        <v>568</v>
      </c>
      <c r="C140" s="14" t="s">
        <v>550</v>
      </c>
      <c r="D140" s="14" t="s">
        <v>497</v>
      </c>
      <c r="E140" s="14" t="s">
        <v>14</v>
      </c>
      <c r="F140" s="14">
        <v>43</v>
      </c>
      <c r="G140" s="16">
        <f t="shared" si="3"/>
        <v>1579255</v>
      </c>
      <c r="H140" s="16">
        <v>1581505</v>
      </c>
      <c r="I140" s="16">
        <f t="shared" si="5"/>
        <v>0</v>
      </c>
      <c r="J140" s="31">
        <v>1581505</v>
      </c>
      <c r="K140" s="69">
        <f t="shared" si="4"/>
        <v>0</v>
      </c>
      <c r="L140" s="50">
        <v>2250</v>
      </c>
      <c r="M140" s="109">
        <v>2250</v>
      </c>
      <c r="N140" s="110"/>
    </row>
    <row r="141" spans="1:16" ht="15" hidden="1" thickBot="1" x14ac:dyDescent="0.35">
      <c r="A141" s="14">
        <v>23</v>
      </c>
      <c r="B141" s="14" t="s">
        <v>568</v>
      </c>
      <c r="C141" s="14" t="s">
        <v>953</v>
      </c>
      <c r="D141" s="14" t="s">
        <v>497</v>
      </c>
      <c r="E141" s="14" t="s">
        <v>14</v>
      </c>
      <c r="F141" s="14">
        <v>5</v>
      </c>
      <c r="G141" s="16">
        <f t="shared" si="3"/>
        <v>35910</v>
      </c>
      <c r="H141" s="16">
        <v>35910</v>
      </c>
      <c r="I141" s="16">
        <f>J141-H141</f>
        <v>0</v>
      </c>
      <c r="J141" s="31">
        <v>35910</v>
      </c>
      <c r="K141" s="69">
        <f t="shared" si="4"/>
        <v>0</v>
      </c>
      <c r="L141" s="50">
        <v>0</v>
      </c>
      <c r="M141" s="109">
        <v>0</v>
      </c>
      <c r="N141" s="110"/>
    </row>
    <row r="142" spans="1:16" ht="15" hidden="1" thickBot="1" x14ac:dyDescent="0.35">
      <c r="A142" s="14">
        <v>23</v>
      </c>
      <c r="B142" s="14" t="s">
        <v>568</v>
      </c>
      <c r="C142" s="14" t="s">
        <v>991</v>
      </c>
      <c r="D142" s="14" t="s">
        <v>497</v>
      </c>
      <c r="E142" s="14" t="s">
        <v>14</v>
      </c>
      <c r="F142" s="14">
        <v>11</v>
      </c>
      <c r="G142" s="16">
        <f t="shared" si="3"/>
        <v>694366</v>
      </c>
      <c r="H142" s="16">
        <v>697826</v>
      </c>
      <c r="I142" s="16">
        <f>J142-H142</f>
        <v>0</v>
      </c>
      <c r="J142" s="31">
        <v>697826</v>
      </c>
      <c r="K142" s="69">
        <f t="shared" si="4"/>
        <v>0</v>
      </c>
      <c r="L142" s="50">
        <v>3460</v>
      </c>
      <c r="M142" s="109">
        <v>3460</v>
      </c>
      <c r="N142" s="110"/>
    </row>
    <row r="143" spans="1:16" ht="15" hidden="1" thickBot="1" x14ac:dyDescent="0.35">
      <c r="A143" s="14">
        <v>23</v>
      </c>
      <c r="B143" s="158" t="s">
        <v>568</v>
      </c>
      <c r="C143" s="14" t="s">
        <v>569</v>
      </c>
      <c r="D143" s="14" t="s">
        <v>497</v>
      </c>
      <c r="E143" s="14" t="s">
        <v>14</v>
      </c>
      <c r="F143" s="14">
        <v>51</v>
      </c>
      <c r="G143" s="16">
        <f t="shared" si="3"/>
        <v>3497392</v>
      </c>
      <c r="H143" s="16">
        <v>3508738</v>
      </c>
      <c r="I143" s="16">
        <f t="shared" ref="I143" si="7">J143-H143</f>
        <v>0</v>
      </c>
      <c r="J143" s="31">
        <v>3508738</v>
      </c>
      <c r="K143" s="69">
        <f t="shared" si="4"/>
        <v>0</v>
      </c>
      <c r="L143" s="50">
        <v>11346</v>
      </c>
      <c r="M143" s="109">
        <v>11346</v>
      </c>
      <c r="N143" s="110"/>
    </row>
    <row r="144" spans="1:16" ht="15" hidden="1" thickBot="1" x14ac:dyDescent="0.35">
      <c r="A144" s="14">
        <v>23</v>
      </c>
      <c r="B144" s="158" t="s">
        <v>568</v>
      </c>
      <c r="C144" s="14" t="s">
        <v>1026</v>
      </c>
      <c r="D144" s="14" t="s">
        <v>497</v>
      </c>
      <c r="E144" s="14" t="s">
        <v>14</v>
      </c>
      <c r="F144" s="14">
        <v>27</v>
      </c>
      <c r="G144" s="16">
        <f t="shared" si="3"/>
        <v>2567028</v>
      </c>
      <c r="H144" s="16">
        <v>2569678</v>
      </c>
      <c r="I144" s="16">
        <f>J144-H144</f>
        <v>0</v>
      </c>
      <c r="J144" s="31">
        <v>2569678</v>
      </c>
      <c r="K144" s="69">
        <f t="shared" si="4"/>
        <v>0</v>
      </c>
      <c r="L144" s="50">
        <v>2650</v>
      </c>
      <c r="M144" s="109">
        <v>2650</v>
      </c>
      <c r="N144" s="110"/>
      <c r="O144" s="38" t="s">
        <v>1802</v>
      </c>
    </row>
    <row r="145" spans="1:14" ht="15" hidden="1" thickBot="1" x14ac:dyDescent="0.35">
      <c r="A145" s="14">
        <v>23</v>
      </c>
      <c r="B145" s="14" t="s">
        <v>568</v>
      </c>
      <c r="C145" s="14" t="s">
        <v>1468</v>
      </c>
      <c r="D145" s="14" t="s">
        <v>497</v>
      </c>
      <c r="E145" s="14" t="s">
        <v>14</v>
      </c>
      <c r="F145" s="14">
        <v>10</v>
      </c>
      <c r="G145" s="16">
        <f t="shared" si="3"/>
        <v>111640</v>
      </c>
      <c r="H145" s="16">
        <v>112240</v>
      </c>
      <c r="I145" s="16">
        <f>J145-H145</f>
        <v>0</v>
      </c>
      <c r="J145" s="31">
        <v>112240</v>
      </c>
      <c r="K145" s="69">
        <f t="shared" si="4"/>
        <v>0</v>
      </c>
      <c r="L145" s="50">
        <v>600</v>
      </c>
      <c r="M145" s="109">
        <v>600</v>
      </c>
      <c r="N145" s="110"/>
    </row>
    <row r="146" spans="1:14" ht="15" hidden="1" thickBot="1" x14ac:dyDescent="0.35">
      <c r="A146" s="14">
        <v>24</v>
      </c>
      <c r="B146" s="14" t="s">
        <v>570</v>
      </c>
      <c r="C146" s="14" t="s">
        <v>571</v>
      </c>
      <c r="D146" s="14" t="s">
        <v>497</v>
      </c>
      <c r="E146" s="14" t="s">
        <v>14</v>
      </c>
      <c r="F146" s="14"/>
      <c r="G146" s="16">
        <f t="shared" si="3"/>
        <v>810</v>
      </c>
      <c r="H146" s="16">
        <v>810</v>
      </c>
      <c r="I146" s="16">
        <f t="shared" si="5"/>
        <v>0</v>
      </c>
      <c r="J146" s="31">
        <v>810</v>
      </c>
      <c r="K146" s="69">
        <f t="shared" si="4"/>
        <v>0</v>
      </c>
      <c r="L146" s="50"/>
      <c r="M146" s="109"/>
      <c r="N146" s="110"/>
    </row>
    <row r="147" spans="1:14" ht="15" hidden="1" thickBot="1" x14ac:dyDescent="0.35">
      <c r="A147" s="14">
        <v>25</v>
      </c>
      <c r="B147" s="14" t="s">
        <v>572</v>
      </c>
      <c r="C147" s="14" t="s">
        <v>550</v>
      </c>
      <c r="D147" s="14" t="s">
        <v>497</v>
      </c>
      <c r="E147" s="14" t="s">
        <v>14</v>
      </c>
      <c r="F147" s="14">
        <v>15</v>
      </c>
      <c r="G147" s="16">
        <f t="shared" si="3"/>
        <v>258643</v>
      </c>
      <c r="H147" s="16">
        <v>258643</v>
      </c>
      <c r="I147" s="16">
        <f t="shared" si="5"/>
        <v>0</v>
      </c>
      <c r="J147" s="31">
        <v>258643</v>
      </c>
      <c r="K147" s="69">
        <f t="shared" si="4"/>
        <v>0</v>
      </c>
      <c r="L147" s="50"/>
      <c r="M147" s="109"/>
      <c r="N147" s="110"/>
    </row>
    <row r="148" spans="1:14" ht="15" hidden="1" thickBot="1" x14ac:dyDescent="0.35">
      <c r="A148" s="14">
        <v>25</v>
      </c>
      <c r="B148" s="14" t="s">
        <v>572</v>
      </c>
      <c r="C148" s="14" t="s">
        <v>108</v>
      </c>
      <c r="D148" s="14" t="s">
        <v>497</v>
      </c>
      <c r="E148" s="14" t="s">
        <v>14</v>
      </c>
      <c r="F148" s="14"/>
      <c r="G148" s="16">
        <f t="shared" si="3"/>
        <v>23495</v>
      </c>
      <c r="H148" s="16">
        <v>23495</v>
      </c>
      <c r="I148" s="16">
        <f t="shared" si="5"/>
        <v>0</v>
      </c>
      <c r="J148" s="31">
        <v>23495</v>
      </c>
      <c r="K148" s="69">
        <f t="shared" si="4"/>
        <v>0</v>
      </c>
      <c r="L148" s="50"/>
      <c r="M148" s="109"/>
      <c r="N148" s="110"/>
    </row>
    <row r="149" spans="1:14" ht="15" hidden="1" thickBot="1" x14ac:dyDescent="0.35">
      <c r="A149" s="14">
        <v>26</v>
      </c>
      <c r="B149" s="14" t="s">
        <v>573</v>
      </c>
      <c r="C149" s="14" t="s">
        <v>550</v>
      </c>
      <c r="D149" s="14" t="s">
        <v>497</v>
      </c>
      <c r="E149" s="14" t="s">
        <v>14</v>
      </c>
      <c r="F149" s="14"/>
      <c r="G149" s="16">
        <f t="shared" si="3"/>
        <v>27300</v>
      </c>
      <c r="H149" s="16">
        <v>27300</v>
      </c>
      <c r="I149" s="16">
        <f t="shared" si="5"/>
        <v>0</v>
      </c>
      <c r="J149" s="31">
        <v>27300</v>
      </c>
      <c r="K149" s="69">
        <f t="shared" si="4"/>
        <v>0</v>
      </c>
      <c r="L149" s="50"/>
      <c r="M149" s="109"/>
      <c r="N149" s="110"/>
    </row>
    <row r="150" spans="1:14" ht="15" hidden="1" thickBot="1" x14ac:dyDescent="0.35">
      <c r="A150" s="14">
        <v>27</v>
      </c>
      <c r="B150" s="14" t="s">
        <v>574</v>
      </c>
      <c r="C150" s="14" t="s">
        <v>575</v>
      </c>
      <c r="D150" s="14" t="s">
        <v>497</v>
      </c>
      <c r="E150" s="14" t="s">
        <v>14</v>
      </c>
      <c r="F150" s="47">
        <v>45</v>
      </c>
      <c r="G150" s="16">
        <f t="shared" si="3"/>
        <v>29179914.300000001</v>
      </c>
      <c r="H150" s="16">
        <v>29181414.300000001</v>
      </c>
      <c r="I150" s="166">
        <f t="shared" si="5"/>
        <v>0</v>
      </c>
      <c r="J150" s="31">
        <v>29181414.300000001</v>
      </c>
      <c r="K150" s="69">
        <f t="shared" si="4"/>
        <v>0</v>
      </c>
      <c r="L150" s="50">
        <v>1500</v>
      </c>
      <c r="M150" s="109">
        <v>1500</v>
      </c>
      <c r="N150" s="110"/>
    </row>
    <row r="151" spans="1:14" ht="15" hidden="1" thickBot="1" x14ac:dyDescent="0.35">
      <c r="A151" s="14">
        <v>28</v>
      </c>
      <c r="B151" s="14" t="s">
        <v>576</v>
      </c>
      <c r="C151" s="15" t="s">
        <v>569</v>
      </c>
      <c r="D151" s="14" t="s">
        <v>497</v>
      </c>
      <c r="E151" s="14" t="s">
        <v>14</v>
      </c>
      <c r="F151" s="14">
        <v>5</v>
      </c>
      <c r="G151" s="16">
        <f t="shared" si="3"/>
        <v>143040</v>
      </c>
      <c r="H151" s="16">
        <v>143040</v>
      </c>
      <c r="I151" s="16">
        <f t="shared" si="5"/>
        <v>0</v>
      </c>
      <c r="J151" s="31">
        <v>143040</v>
      </c>
      <c r="K151" s="69">
        <f t="shared" si="4"/>
        <v>0</v>
      </c>
      <c r="L151" s="50"/>
      <c r="M151" s="109"/>
      <c r="N151" s="110"/>
    </row>
    <row r="152" spans="1:14" ht="15" hidden="1" thickBot="1" x14ac:dyDescent="0.35">
      <c r="A152" s="14">
        <v>28</v>
      </c>
      <c r="B152" s="14" t="s">
        <v>576</v>
      </c>
      <c r="C152" s="15" t="s">
        <v>1026</v>
      </c>
      <c r="D152" s="14" t="s">
        <v>497</v>
      </c>
      <c r="E152" s="14" t="s">
        <v>14</v>
      </c>
      <c r="F152" s="14">
        <v>6</v>
      </c>
      <c r="G152" s="16">
        <f t="shared" si="3"/>
        <v>173800</v>
      </c>
      <c r="H152" s="16">
        <v>173800</v>
      </c>
      <c r="I152" s="16">
        <f t="shared" si="5"/>
        <v>0</v>
      </c>
      <c r="J152" s="31">
        <v>173800</v>
      </c>
      <c r="K152" s="69">
        <f t="shared" si="4"/>
        <v>0</v>
      </c>
      <c r="L152" s="50"/>
      <c r="M152" s="109"/>
      <c r="N152" s="110"/>
    </row>
    <row r="153" spans="1:14" ht="15" hidden="1" thickBot="1" x14ac:dyDescent="0.35">
      <c r="A153" s="14">
        <v>28</v>
      </c>
      <c r="B153" s="14" t="s">
        <v>576</v>
      </c>
      <c r="C153" s="14" t="s">
        <v>550</v>
      </c>
      <c r="D153" s="14" t="s">
        <v>497</v>
      </c>
      <c r="E153" s="14" t="s">
        <v>14</v>
      </c>
      <c r="F153" s="14">
        <v>101</v>
      </c>
      <c r="G153" s="16">
        <f t="shared" si="3"/>
        <v>9620913</v>
      </c>
      <c r="H153" s="16">
        <v>9623238</v>
      </c>
      <c r="I153" s="151">
        <f t="shared" si="5"/>
        <v>0</v>
      </c>
      <c r="J153" s="31">
        <v>9623238</v>
      </c>
      <c r="K153" s="69">
        <f t="shared" si="4"/>
        <v>0</v>
      </c>
      <c r="L153" s="50">
        <v>2325</v>
      </c>
      <c r="M153" s="109">
        <v>2325</v>
      </c>
      <c r="N153" s="110"/>
    </row>
    <row r="154" spans="1:14" ht="15" hidden="1" thickBot="1" x14ac:dyDescent="0.35">
      <c r="A154" s="14">
        <v>28</v>
      </c>
      <c r="B154" s="14" t="s">
        <v>576</v>
      </c>
      <c r="C154" s="15" t="s">
        <v>968</v>
      </c>
      <c r="D154" s="14" t="s">
        <v>497</v>
      </c>
      <c r="E154" s="15" t="s">
        <v>14</v>
      </c>
      <c r="F154" s="15">
        <v>2</v>
      </c>
      <c r="G154" s="16">
        <f t="shared" si="3"/>
        <v>83440</v>
      </c>
      <c r="H154" s="16">
        <v>83440</v>
      </c>
      <c r="I154" s="16">
        <f t="shared" si="5"/>
        <v>0</v>
      </c>
      <c r="J154" s="31">
        <v>83440</v>
      </c>
      <c r="K154" s="69">
        <f t="shared" si="4"/>
        <v>0</v>
      </c>
      <c r="L154" s="50"/>
      <c r="M154" s="109"/>
      <c r="N154" s="110"/>
    </row>
    <row r="155" spans="1:14" ht="15" hidden="1" thickBot="1" x14ac:dyDescent="0.35">
      <c r="A155" s="14">
        <v>29</v>
      </c>
      <c r="B155" s="14" t="s">
        <v>577</v>
      </c>
      <c r="C155" s="14" t="s">
        <v>550</v>
      </c>
      <c r="D155" s="14" t="s">
        <v>497</v>
      </c>
      <c r="E155" s="14" t="s">
        <v>14</v>
      </c>
      <c r="F155" s="14"/>
      <c r="G155" s="16">
        <f t="shared" si="3"/>
        <v>12650</v>
      </c>
      <c r="H155" s="16">
        <v>12650</v>
      </c>
      <c r="I155" s="16">
        <f t="shared" si="5"/>
        <v>0</v>
      </c>
      <c r="J155" s="31">
        <v>12650</v>
      </c>
      <c r="K155" s="69">
        <f t="shared" si="4"/>
        <v>0</v>
      </c>
      <c r="L155" s="50"/>
      <c r="M155" s="109"/>
      <c r="N155" s="110"/>
    </row>
    <row r="156" spans="1:14" ht="15" hidden="1" thickBot="1" x14ac:dyDescent="0.35">
      <c r="A156" s="14">
        <v>30</v>
      </c>
      <c r="B156" s="14" t="s">
        <v>578</v>
      </c>
      <c r="C156" s="14" t="s">
        <v>533</v>
      </c>
      <c r="D156" s="14" t="s">
        <v>497</v>
      </c>
      <c r="E156" s="14" t="s">
        <v>14</v>
      </c>
      <c r="F156" s="14">
        <v>13</v>
      </c>
      <c r="G156" s="16">
        <f t="shared" ref="G156:G225" si="8">H156-M156</f>
        <v>241321</v>
      </c>
      <c r="H156" s="16">
        <v>241321</v>
      </c>
      <c r="I156" s="16">
        <f t="shared" si="5"/>
        <v>0</v>
      </c>
      <c r="J156" s="31">
        <v>241321</v>
      </c>
      <c r="K156" s="69">
        <f t="shared" si="4"/>
        <v>0</v>
      </c>
      <c r="L156" s="50"/>
      <c r="M156" s="109"/>
      <c r="N156" s="110"/>
    </row>
    <row r="157" spans="1:14" ht="15" hidden="1" thickBot="1" x14ac:dyDescent="0.35">
      <c r="A157" s="14">
        <v>31</v>
      </c>
      <c r="B157" s="14" t="s">
        <v>579</v>
      </c>
      <c r="C157" s="14" t="s">
        <v>550</v>
      </c>
      <c r="D157" s="14" t="s">
        <v>507</v>
      </c>
      <c r="E157" s="14" t="s">
        <v>504</v>
      </c>
      <c r="F157" s="14"/>
      <c r="G157" s="16">
        <f t="shared" si="8"/>
        <v>461863</v>
      </c>
      <c r="H157" s="16">
        <v>461863</v>
      </c>
      <c r="I157" s="16">
        <f t="shared" si="5"/>
        <v>0</v>
      </c>
      <c r="J157" s="31">
        <v>461863</v>
      </c>
      <c r="K157" s="69">
        <f t="shared" si="4"/>
        <v>0</v>
      </c>
      <c r="L157" s="50"/>
      <c r="M157" s="109"/>
      <c r="N157" s="110"/>
    </row>
    <row r="158" spans="1:14" ht="15" hidden="1" thickBot="1" x14ac:dyDescent="0.35">
      <c r="A158" s="14">
        <v>32</v>
      </c>
      <c r="B158" s="14" t="s">
        <v>580</v>
      </c>
      <c r="C158" s="14" t="s">
        <v>550</v>
      </c>
      <c r="D158" s="14" t="s">
        <v>497</v>
      </c>
      <c r="E158" s="14" t="s">
        <v>14</v>
      </c>
      <c r="F158" s="14">
        <v>40</v>
      </c>
      <c r="G158" s="16">
        <f t="shared" si="8"/>
        <v>2745803</v>
      </c>
      <c r="H158" s="16">
        <v>2745803</v>
      </c>
      <c r="I158" s="16">
        <f t="shared" si="5"/>
        <v>0</v>
      </c>
      <c r="J158" s="31">
        <v>2745803</v>
      </c>
      <c r="K158" s="69">
        <f t="shared" ref="K158:K227" si="9">M158-L158</f>
        <v>0</v>
      </c>
      <c r="L158" s="50"/>
      <c r="M158" s="109"/>
      <c r="N158" s="110"/>
    </row>
    <row r="159" spans="1:14" ht="15" hidden="1" thickBot="1" x14ac:dyDescent="0.35">
      <c r="A159" s="14">
        <v>33</v>
      </c>
      <c r="B159" s="14" t="s">
        <v>581</v>
      </c>
      <c r="C159" s="14" t="s">
        <v>550</v>
      </c>
      <c r="D159" s="14" t="s">
        <v>698</v>
      </c>
      <c r="E159" s="14" t="s">
        <v>508</v>
      </c>
      <c r="F159" s="14"/>
      <c r="G159" s="16">
        <f t="shared" si="8"/>
        <v>74930</v>
      </c>
      <c r="H159" s="16">
        <v>74930</v>
      </c>
      <c r="I159" s="16">
        <f t="shared" si="5"/>
        <v>0</v>
      </c>
      <c r="J159" s="31">
        <v>74930</v>
      </c>
      <c r="K159" s="69">
        <f t="shared" si="9"/>
        <v>0</v>
      </c>
      <c r="L159" s="50"/>
      <c r="M159" s="109"/>
      <c r="N159" s="110"/>
    </row>
    <row r="160" spans="1:14" ht="15" hidden="1" thickBot="1" x14ac:dyDescent="0.35">
      <c r="A160" s="14">
        <v>34</v>
      </c>
      <c r="B160" s="14" t="s">
        <v>582</v>
      </c>
      <c r="C160" s="14" t="s">
        <v>550</v>
      </c>
      <c r="D160" s="14" t="s">
        <v>614</v>
      </c>
      <c r="E160" s="14" t="s">
        <v>509</v>
      </c>
      <c r="F160" s="14"/>
      <c r="G160" s="16">
        <f t="shared" si="8"/>
        <v>11970</v>
      </c>
      <c r="H160" s="16">
        <v>11970</v>
      </c>
      <c r="I160" s="16">
        <f t="shared" si="5"/>
        <v>0</v>
      </c>
      <c r="J160" s="31">
        <v>11970</v>
      </c>
      <c r="K160" s="69">
        <f t="shared" si="9"/>
        <v>0</v>
      </c>
      <c r="L160" s="50"/>
      <c r="M160" s="109"/>
      <c r="N160" s="110"/>
    </row>
    <row r="161" spans="1:14" ht="15" hidden="1" thickBot="1" x14ac:dyDescent="0.35">
      <c r="A161" s="14">
        <v>35</v>
      </c>
      <c r="B161" s="14" t="s">
        <v>583</v>
      </c>
      <c r="C161" s="14" t="s">
        <v>550</v>
      </c>
      <c r="D161" s="14" t="s">
        <v>806</v>
      </c>
      <c r="E161" s="14" t="s">
        <v>506</v>
      </c>
      <c r="F161" s="14"/>
      <c r="G161" s="16">
        <f t="shared" si="8"/>
        <v>16358</v>
      </c>
      <c r="H161" s="16">
        <v>16358</v>
      </c>
      <c r="I161" s="16">
        <f t="shared" si="5"/>
        <v>0</v>
      </c>
      <c r="J161" s="31">
        <v>16358</v>
      </c>
      <c r="K161" s="69">
        <f t="shared" si="9"/>
        <v>0</v>
      </c>
      <c r="L161" s="50"/>
      <c r="M161" s="109"/>
      <c r="N161" s="110"/>
    </row>
    <row r="162" spans="1:14" ht="15" hidden="1" thickBot="1" x14ac:dyDescent="0.35">
      <c r="A162" s="14">
        <v>36</v>
      </c>
      <c r="B162" s="14" t="s">
        <v>584</v>
      </c>
      <c r="C162" s="14" t="s">
        <v>550</v>
      </c>
      <c r="D162" s="14" t="s">
        <v>659</v>
      </c>
      <c r="E162" s="14" t="s">
        <v>502</v>
      </c>
      <c r="F162" s="14"/>
      <c r="G162" s="16">
        <f t="shared" si="8"/>
        <v>2205</v>
      </c>
      <c r="H162" s="16">
        <v>2205</v>
      </c>
      <c r="I162" s="16">
        <f t="shared" si="5"/>
        <v>0</v>
      </c>
      <c r="J162" s="31">
        <v>2205</v>
      </c>
      <c r="K162" s="69">
        <f t="shared" si="9"/>
        <v>0</v>
      </c>
      <c r="L162" s="50"/>
      <c r="M162" s="109"/>
      <c r="N162" s="110"/>
    </row>
    <row r="163" spans="1:14" ht="15" hidden="1" thickBot="1" x14ac:dyDescent="0.35">
      <c r="A163" s="14">
        <v>37</v>
      </c>
      <c r="B163" s="14" t="s">
        <v>585</v>
      </c>
      <c r="C163" s="14" t="s">
        <v>550</v>
      </c>
      <c r="D163" s="14" t="s">
        <v>497</v>
      </c>
      <c r="E163" s="14" t="s">
        <v>14</v>
      </c>
      <c r="F163" s="14"/>
      <c r="G163" s="16">
        <f t="shared" si="8"/>
        <v>6410</v>
      </c>
      <c r="H163" s="16">
        <v>6410</v>
      </c>
      <c r="I163" s="16">
        <f t="shared" si="5"/>
        <v>0</v>
      </c>
      <c r="J163" s="31">
        <v>6410</v>
      </c>
      <c r="K163" s="69">
        <f t="shared" si="9"/>
        <v>0</v>
      </c>
      <c r="L163" s="50"/>
      <c r="M163" s="109"/>
      <c r="N163" s="110"/>
    </row>
    <row r="164" spans="1:14" ht="15" hidden="1" thickBot="1" x14ac:dyDescent="0.35">
      <c r="A164" s="14">
        <v>38</v>
      </c>
      <c r="B164" s="14" t="s">
        <v>586</v>
      </c>
      <c r="C164" s="14" t="s">
        <v>550</v>
      </c>
      <c r="D164" s="14" t="s">
        <v>497</v>
      </c>
      <c r="E164" s="14" t="s">
        <v>14</v>
      </c>
      <c r="F164" s="14">
        <v>4</v>
      </c>
      <c r="G164" s="16">
        <f t="shared" si="8"/>
        <v>51065</v>
      </c>
      <c r="H164" s="16">
        <v>51065</v>
      </c>
      <c r="I164" s="16">
        <f t="shared" si="5"/>
        <v>0</v>
      </c>
      <c r="J164" s="31">
        <v>51065</v>
      </c>
      <c r="K164" s="69">
        <f t="shared" si="9"/>
        <v>0</v>
      </c>
      <c r="L164" s="50"/>
      <c r="M164" s="109"/>
      <c r="N164" s="110"/>
    </row>
    <row r="165" spans="1:14" ht="15" hidden="1" thickBot="1" x14ac:dyDescent="0.35">
      <c r="A165" s="14">
        <v>39</v>
      </c>
      <c r="B165" s="14" t="s">
        <v>587</v>
      </c>
      <c r="C165" s="14" t="s">
        <v>550</v>
      </c>
      <c r="D165" s="14" t="s">
        <v>497</v>
      </c>
      <c r="E165" s="14" t="s">
        <v>14</v>
      </c>
      <c r="F165" s="14"/>
      <c r="G165" s="16">
        <f t="shared" si="8"/>
        <v>30810</v>
      </c>
      <c r="H165" s="16">
        <v>30810</v>
      </c>
      <c r="I165" s="16">
        <f t="shared" si="5"/>
        <v>0</v>
      </c>
      <c r="J165" s="31">
        <v>30810</v>
      </c>
      <c r="K165" s="69">
        <f t="shared" si="9"/>
        <v>0</v>
      </c>
      <c r="L165" s="50"/>
      <c r="M165" s="109"/>
      <c r="N165" s="110"/>
    </row>
    <row r="166" spans="1:14" ht="15" hidden="1" thickBot="1" x14ac:dyDescent="0.35">
      <c r="A166" s="14">
        <v>40</v>
      </c>
      <c r="B166" s="14" t="s">
        <v>588</v>
      </c>
      <c r="C166" s="14" t="s">
        <v>550</v>
      </c>
      <c r="D166" s="14" t="s">
        <v>529</v>
      </c>
      <c r="E166" s="14" t="s">
        <v>500</v>
      </c>
      <c r="F166" s="14"/>
      <c r="G166" s="16">
        <f t="shared" si="8"/>
        <v>5500</v>
      </c>
      <c r="H166" s="16">
        <v>5500</v>
      </c>
      <c r="I166" s="16">
        <f t="shared" si="5"/>
        <v>0</v>
      </c>
      <c r="J166" s="31">
        <v>5500</v>
      </c>
      <c r="K166" s="69">
        <f t="shared" si="9"/>
        <v>0</v>
      </c>
      <c r="L166" s="50"/>
      <c r="M166" s="109"/>
      <c r="N166" s="110"/>
    </row>
    <row r="167" spans="1:14" ht="15" hidden="1" thickBot="1" x14ac:dyDescent="0.35">
      <c r="A167" s="14">
        <v>41</v>
      </c>
      <c r="B167" s="14" t="s">
        <v>589</v>
      </c>
      <c r="C167" s="14" t="s">
        <v>550</v>
      </c>
      <c r="D167" s="14" t="s">
        <v>497</v>
      </c>
      <c r="E167" s="14" t="s">
        <v>14</v>
      </c>
      <c r="F167" s="14">
        <v>65</v>
      </c>
      <c r="G167" s="16">
        <f t="shared" ref="G167" si="10">H167-M167</f>
        <v>10958878</v>
      </c>
      <c r="H167" s="16">
        <v>10959647</v>
      </c>
      <c r="I167" s="16">
        <f t="shared" ref="I167" si="11">J167-H167</f>
        <v>0</v>
      </c>
      <c r="J167" s="31">
        <v>10959647</v>
      </c>
      <c r="K167" s="69">
        <f t="shared" ref="K167" si="12">M167-L167</f>
        <v>0</v>
      </c>
      <c r="L167" s="50">
        <v>769</v>
      </c>
      <c r="M167" s="109">
        <v>769</v>
      </c>
      <c r="N167" s="110"/>
    </row>
    <row r="168" spans="1:14" ht="15" hidden="1" thickBot="1" x14ac:dyDescent="0.35">
      <c r="A168" s="14">
        <v>41</v>
      </c>
      <c r="B168" s="14" t="s">
        <v>589</v>
      </c>
      <c r="C168" s="14" t="s">
        <v>1902</v>
      </c>
      <c r="D168" s="14" t="s">
        <v>1336</v>
      </c>
      <c r="E168" s="14" t="s">
        <v>500</v>
      </c>
      <c r="F168" s="14">
        <v>1</v>
      </c>
      <c r="G168" s="16">
        <f t="shared" si="8"/>
        <v>97295</v>
      </c>
      <c r="H168" s="16">
        <v>97295</v>
      </c>
      <c r="I168" s="16">
        <f t="shared" si="5"/>
        <v>0</v>
      </c>
      <c r="J168" s="31">
        <v>97295</v>
      </c>
      <c r="K168" s="69">
        <f t="shared" si="9"/>
        <v>0</v>
      </c>
      <c r="L168" s="50">
        <v>0</v>
      </c>
      <c r="M168" s="109">
        <v>0</v>
      </c>
      <c r="N168" s="110"/>
    </row>
    <row r="169" spans="1:14" ht="15" hidden="1" thickBot="1" x14ac:dyDescent="0.35">
      <c r="A169" s="14">
        <v>41</v>
      </c>
      <c r="B169" s="14" t="s">
        <v>1015</v>
      </c>
      <c r="C169" s="15" t="s">
        <v>1732</v>
      </c>
      <c r="D169" s="14" t="s">
        <v>497</v>
      </c>
      <c r="E169" s="14" t="s">
        <v>14</v>
      </c>
      <c r="F169" s="14">
        <v>33</v>
      </c>
      <c r="G169" s="16">
        <f t="shared" si="8"/>
        <v>117170</v>
      </c>
      <c r="H169" s="16">
        <v>117795</v>
      </c>
      <c r="I169" s="16">
        <f>J169-H169</f>
        <v>0</v>
      </c>
      <c r="J169" s="31">
        <v>117795</v>
      </c>
      <c r="K169" s="69">
        <f t="shared" si="9"/>
        <v>0</v>
      </c>
      <c r="L169" s="50">
        <v>625</v>
      </c>
      <c r="M169" s="109">
        <v>625</v>
      </c>
      <c r="N169" s="110"/>
    </row>
    <row r="170" spans="1:14" ht="15" hidden="1" thickBot="1" x14ac:dyDescent="0.35">
      <c r="A170" s="14">
        <v>41</v>
      </c>
      <c r="B170" s="14" t="s">
        <v>589</v>
      </c>
      <c r="C170" s="14" t="s">
        <v>108</v>
      </c>
      <c r="D170" s="14" t="s">
        <v>497</v>
      </c>
      <c r="E170" s="14" t="s">
        <v>14</v>
      </c>
      <c r="F170" s="14">
        <v>12</v>
      </c>
      <c r="G170" s="16">
        <f t="shared" si="8"/>
        <v>355970</v>
      </c>
      <c r="H170" s="16">
        <v>355970</v>
      </c>
      <c r="I170" s="16">
        <f t="shared" si="5"/>
        <v>0</v>
      </c>
      <c r="J170" s="31">
        <v>355970</v>
      </c>
      <c r="K170" s="69">
        <f t="shared" si="9"/>
        <v>0</v>
      </c>
      <c r="L170" s="50"/>
      <c r="M170" s="109"/>
      <c r="N170" s="110"/>
    </row>
    <row r="171" spans="1:14" ht="15" hidden="1" thickBot="1" x14ac:dyDescent="0.35">
      <c r="A171" s="14">
        <v>42</v>
      </c>
      <c r="B171" s="14" t="s">
        <v>590</v>
      </c>
      <c r="C171" s="14" t="s">
        <v>550</v>
      </c>
      <c r="D171" s="14" t="s">
        <v>701</v>
      </c>
      <c r="E171" s="14" t="s">
        <v>504</v>
      </c>
      <c r="F171" s="14"/>
      <c r="G171" s="16">
        <f t="shared" si="8"/>
        <v>3000</v>
      </c>
      <c r="H171" s="16">
        <v>3000</v>
      </c>
      <c r="I171" s="16">
        <f t="shared" si="5"/>
        <v>0</v>
      </c>
      <c r="J171" s="31">
        <v>3000</v>
      </c>
      <c r="K171" s="69">
        <f t="shared" si="9"/>
        <v>0</v>
      </c>
      <c r="L171" s="50"/>
      <c r="M171" s="109"/>
      <c r="N171" s="110"/>
    </row>
    <row r="172" spans="1:14" ht="15" hidden="1" thickBot="1" x14ac:dyDescent="0.35">
      <c r="A172" s="14">
        <v>43</v>
      </c>
      <c r="B172" s="14" t="s">
        <v>591</v>
      </c>
      <c r="C172" s="14" t="s">
        <v>550</v>
      </c>
      <c r="D172" s="14" t="s">
        <v>592</v>
      </c>
      <c r="E172" s="14" t="s">
        <v>506</v>
      </c>
      <c r="F172" s="14"/>
      <c r="G172" s="16">
        <f t="shared" si="8"/>
        <v>3400</v>
      </c>
      <c r="H172" s="16">
        <v>3400</v>
      </c>
      <c r="I172" s="16">
        <f t="shared" si="5"/>
        <v>0</v>
      </c>
      <c r="J172" s="31">
        <v>3400</v>
      </c>
      <c r="K172" s="69">
        <f t="shared" si="9"/>
        <v>0</v>
      </c>
      <c r="L172" s="50"/>
      <c r="M172" s="109"/>
      <c r="N172" s="110"/>
    </row>
    <row r="173" spans="1:14" ht="15" hidden="1" thickBot="1" x14ac:dyDescent="0.35">
      <c r="A173" s="14">
        <v>44</v>
      </c>
      <c r="B173" s="14" t="s">
        <v>593</v>
      </c>
      <c r="C173" s="14" t="s">
        <v>550</v>
      </c>
      <c r="D173" s="14" t="s">
        <v>510</v>
      </c>
      <c r="E173" s="14" t="s">
        <v>506</v>
      </c>
      <c r="F173" s="14"/>
      <c r="G173" s="16">
        <f t="shared" si="8"/>
        <v>4800</v>
      </c>
      <c r="H173" s="16">
        <v>4800</v>
      </c>
      <c r="I173" s="16">
        <f t="shared" si="5"/>
        <v>0</v>
      </c>
      <c r="J173" s="31">
        <v>4800</v>
      </c>
      <c r="K173" s="69">
        <f t="shared" si="9"/>
        <v>0</v>
      </c>
      <c r="L173" s="50"/>
      <c r="M173" s="109"/>
      <c r="N173" s="110"/>
    </row>
    <row r="174" spans="1:14" ht="15" hidden="1" thickBot="1" x14ac:dyDescent="0.35">
      <c r="A174" s="14">
        <v>45</v>
      </c>
      <c r="B174" s="14" t="s">
        <v>594</v>
      </c>
      <c r="C174" s="14" t="s">
        <v>550</v>
      </c>
      <c r="D174" s="14" t="s">
        <v>497</v>
      </c>
      <c r="E174" s="14" t="s">
        <v>14</v>
      </c>
      <c r="F174" s="14">
        <v>38</v>
      </c>
      <c r="G174" s="16">
        <f t="shared" si="8"/>
        <v>1119355</v>
      </c>
      <c r="H174" s="16">
        <v>1119755</v>
      </c>
      <c r="I174" s="16">
        <f t="shared" si="5"/>
        <v>0</v>
      </c>
      <c r="J174" s="31">
        <v>1119755</v>
      </c>
      <c r="K174" s="69">
        <f t="shared" si="9"/>
        <v>0</v>
      </c>
      <c r="L174" s="50">
        <v>400</v>
      </c>
      <c r="M174" s="109">
        <v>400</v>
      </c>
      <c r="N174" s="110"/>
    </row>
    <row r="175" spans="1:14" ht="15" hidden="1" thickBot="1" x14ac:dyDescent="0.35">
      <c r="A175" s="14">
        <v>46</v>
      </c>
      <c r="B175" s="14" t="s">
        <v>595</v>
      </c>
      <c r="C175" s="14" t="s">
        <v>550</v>
      </c>
      <c r="D175" s="14" t="s">
        <v>497</v>
      </c>
      <c r="E175" s="14" t="s">
        <v>14</v>
      </c>
      <c r="F175" s="14">
        <v>12</v>
      </c>
      <c r="G175" s="16">
        <f t="shared" si="8"/>
        <v>65465</v>
      </c>
      <c r="H175" s="16">
        <v>65465</v>
      </c>
      <c r="I175" s="16">
        <f t="shared" ref="I175:I266" si="13">J175-H175</f>
        <v>0</v>
      </c>
      <c r="J175" s="31">
        <v>65465</v>
      </c>
      <c r="K175" s="69">
        <f t="shared" si="9"/>
        <v>0</v>
      </c>
      <c r="L175" s="50"/>
      <c r="M175" s="109"/>
      <c r="N175" s="110"/>
    </row>
    <row r="176" spans="1:14" ht="15" hidden="1" thickBot="1" x14ac:dyDescent="0.35">
      <c r="A176" s="14">
        <v>46</v>
      </c>
      <c r="B176" s="14" t="s">
        <v>595</v>
      </c>
      <c r="C176" s="14" t="s">
        <v>108</v>
      </c>
      <c r="D176" s="14" t="s">
        <v>497</v>
      </c>
      <c r="E176" s="14" t="s">
        <v>14</v>
      </c>
      <c r="F176" s="14">
        <v>4</v>
      </c>
      <c r="G176" s="16">
        <f t="shared" si="8"/>
        <v>63050</v>
      </c>
      <c r="H176" s="16">
        <v>63050</v>
      </c>
      <c r="I176" s="16">
        <f t="shared" si="13"/>
        <v>0</v>
      </c>
      <c r="J176" s="31">
        <v>63050</v>
      </c>
      <c r="K176" s="69">
        <f t="shared" si="9"/>
        <v>0</v>
      </c>
      <c r="L176" s="50"/>
      <c r="M176" s="109"/>
      <c r="N176" s="110"/>
    </row>
    <row r="177" spans="1:16" ht="15" hidden="1" thickBot="1" x14ac:dyDescent="0.35">
      <c r="A177" s="14">
        <v>47</v>
      </c>
      <c r="B177" s="14" t="s">
        <v>596</v>
      </c>
      <c r="C177" s="14" t="s">
        <v>550</v>
      </c>
      <c r="D177" s="14" t="s">
        <v>530</v>
      </c>
      <c r="E177" s="14" t="s">
        <v>500</v>
      </c>
      <c r="F177" s="14"/>
      <c r="G177" s="16">
        <f t="shared" si="8"/>
        <v>2415</v>
      </c>
      <c r="H177" s="16">
        <v>2415</v>
      </c>
      <c r="I177" s="16">
        <f t="shared" si="13"/>
        <v>0</v>
      </c>
      <c r="J177" s="31">
        <v>2415</v>
      </c>
      <c r="K177" s="69">
        <f t="shared" si="9"/>
        <v>0</v>
      </c>
      <c r="L177" s="50"/>
      <c r="M177" s="109"/>
      <c r="N177" s="110"/>
    </row>
    <row r="178" spans="1:16" ht="15" hidden="1" thickBot="1" x14ac:dyDescent="0.35">
      <c r="A178" s="14">
        <v>48</v>
      </c>
      <c r="B178" s="14" t="s">
        <v>597</v>
      </c>
      <c r="C178" s="14" t="s">
        <v>550</v>
      </c>
      <c r="D178" s="14" t="s">
        <v>598</v>
      </c>
      <c r="E178" s="14" t="s">
        <v>512</v>
      </c>
      <c r="F178" s="14"/>
      <c r="G178" s="16">
        <f t="shared" si="8"/>
        <v>800</v>
      </c>
      <c r="H178" s="16">
        <v>800</v>
      </c>
      <c r="I178" s="16">
        <f t="shared" si="13"/>
        <v>0</v>
      </c>
      <c r="J178" s="31">
        <v>800</v>
      </c>
      <c r="K178" s="69">
        <f t="shared" si="9"/>
        <v>0</v>
      </c>
      <c r="L178" s="50"/>
      <c r="M178" s="109"/>
      <c r="N178" s="110"/>
    </row>
    <row r="179" spans="1:16" ht="15" hidden="1" thickBot="1" x14ac:dyDescent="0.35">
      <c r="A179" s="20">
        <v>49</v>
      </c>
      <c r="B179" s="14" t="s">
        <v>599</v>
      </c>
      <c r="C179" s="14" t="s">
        <v>550</v>
      </c>
      <c r="D179" s="14" t="s">
        <v>497</v>
      </c>
      <c r="E179" s="14" t="s">
        <v>14</v>
      </c>
      <c r="F179" s="14">
        <v>29</v>
      </c>
      <c r="G179" s="16">
        <f t="shared" si="8"/>
        <v>854776</v>
      </c>
      <c r="H179" s="16">
        <v>855301</v>
      </c>
      <c r="I179" s="16">
        <f t="shared" si="13"/>
        <v>0</v>
      </c>
      <c r="J179" s="31">
        <v>855301</v>
      </c>
      <c r="K179" s="69">
        <f t="shared" si="9"/>
        <v>0</v>
      </c>
      <c r="L179" s="50">
        <v>525</v>
      </c>
      <c r="M179" s="109">
        <v>525</v>
      </c>
      <c r="N179" s="110"/>
      <c r="P179" s="38" t="s">
        <v>1767</v>
      </c>
    </row>
    <row r="180" spans="1:16" ht="15" hidden="1" thickBot="1" x14ac:dyDescent="0.35">
      <c r="A180" s="20">
        <v>49</v>
      </c>
      <c r="B180" s="14" t="s">
        <v>599</v>
      </c>
      <c r="C180" s="14" t="s">
        <v>108</v>
      </c>
      <c r="D180" s="14" t="s">
        <v>497</v>
      </c>
      <c r="E180" s="14" t="s">
        <v>14</v>
      </c>
      <c r="F180" s="14"/>
      <c r="G180" s="16">
        <f t="shared" si="8"/>
        <v>19200</v>
      </c>
      <c r="H180" s="16">
        <v>19200</v>
      </c>
      <c r="I180" s="16">
        <f t="shared" si="13"/>
        <v>0</v>
      </c>
      <c r="J180" s="31">
        <v>19200</v>
      </c>
      <c r="K180" s="69">
        <f t="shared" si="9"/>
        <v>0</v>
      </c>
      <c r="L180" s="50"/>
      <c r="M180" s="109"/>
      <c r="N180" s="110"/>
    </row>
    <row r="181" spans="1:16" ht="15" hidden="1" thickBot="1" x14ac:dyDescent="0.35">
      <c r="A181" s="20">
        <v>49</v>
      </c>
      <c r="B181" s="14" t="s">
        <v>600</v>
      </c>
      <c r="C181" s="36" t="s">
        <v>967</v>
      </c>
      <c r="D181" s="37"/>
      <c r="E181" s="37"/>
      <c r="F181" s="37"/>
      <c r="G181" s="16">
        <f t="shared" si="8"/>
        <v>0</v>
      </c>
      <c r="H181" s="37"/>
      <c r="I181" s="16">
        <f t="shared" si="13"/>
        <v>0</v>
      </c>
      <c r="J181" s="39"/>
      <c r="K181" s="68">
        <f t="shared" si="9"/>
        <v>0</v>
      </c>
      <c r="L181" s="40"/>
      <c r="M181" s="109"/>
      <c r="N181" s="110"/>
    </row>
    <row r="182" spans="1:16" ht="15" hidden="1" thickBot="1" x14ac:dyDescent="0.35">
      <c r="A182" s="14">
        <v>50</v>
      </c>
      <c r="B182" s="14" t="s">
        <v>601</v>
      </c>
      <c r="C182" s="14" t="s">
        <v>550</v>
      </c>
      <c r="D182" s="14" t="s">
        <v>497</v>
      </c>
      <c r="E182" s="15" t="s">
        <v>14</v>
      </c>
      <c r="F182" s="15"/>
      <c r="G182" s="16">
        <f t="shared" si="8"/>
        <v>420</v>
      </c>
      <c r="H182" s="16">
        <v>420</v>
      </c>
      <c r="I182" s="16">
        <f t="shared" si="13"/>
        <v>0</v>
      </c>
      <c r="J182" s="31">
        <v>420</v>
      </c>
      <c r="K182" s="69">
        <f t="shared" si="9"/>
        <v>0</v>
      </c>
      <c r="L182" s="50"/>
      <c r="M182" s="109"/>
      <c r="N182" s="110"/>
    </row>
    <row r="183" spans="1:16" ht="15" hidden="1" thickBot="1" x14ac:dyDescent="0.35">
      <c r="A183" s="14">
        <v>50</v>
      </c>
      <c r="B183" s="14" t="s">
        <v>601</v>
      </c>
      <c r="C183" s="14" t="s">
        <v>973</v>
      </c>
      <c r="D183" s="14" t="s">
        <v>497</v>
      </c>
      <c r="E183" s="15" t="s">
        <v>14</v>
      </c>
      <c r="F183" s="15">
        <v>57</v>
      </c>
      <c r="G183" s="16">
        <f t="shared" si="8"/>
        <v>1179964.6000000001</v>
      </c>
      <c r="H183" s="16">
        <v>1179964.6000000001</v>
      </c>
      <c r="I183" s="16">
        <f t="shared" si="13"/>
        <v>0</v>
      </c>
      <c r="J183" s="31">
        <v>1179964.6000000001</v>
      </c>
      <c r="K183" s="69">
        <f t="shared" si="9"/>
        <v>0</v>
      </c>
      <c r="L183" s="50"/>
      <c r="M183" s="109"/>
      <c r="N183" s="110"/>
    </row>
    <row r="184" spans="1:16" ht="15" hidden="1" thickBot="1" x14ac:dyDescent="0.35">
      <c r="A184" s="14">
        <v>50</v>
      </c>
      <c r="B184" s="14" t="s">
        <v>601</v>
      </c>
      <c r="C184" s="14" t="s">
        <v>602</v>
      </c>
      <c r="D184" s="14" t="s">
        <v>520</v>
      </c>
      <c r="E184" s="15" t="s">
        <v>506</v>
      </c>
      <c r="F184" s="15">
        <v>6</v>
      </c>
      <c r="G184" s="16">
        <f t="shared" si="8"/>
        <v>8642</v>
      </c>
      <c r="H184" s="16">
        <v>8642</v>
      </c>
      <c r="I184" s="16">
        <f t="shared" si="13"/>
        <v>0</v>
      </c>
      <c r="J184" s="31">
        <v>8642</v>
      </c>
      <c r="K184" s="69">
        <f t="shared" si="9"/>
        <v>0</v>
      </c>
      <c r="L184" s="50"/>
      <c r="M184" s="109"/>
      <c r="N184" s="110"/>
    </row>
    <row r="185" spans="1:16" ht="15" hidden="1" thickBot="1" x14ac:dyDescent="0.35">
      <c r="A185" s="14">
        <v>50</v>
      </c>
      <c r="B185" s="14" t="s">
        <v>601</v>
      </c>
      <c r="C185" s="14" t="s">
        <v>603</v>
      </c>
      <c r="D185" s="14" t="s">
        <v>520</v>
      </c>
      <c r="E185" s="15" t="s">
        <v>506</v>
      </c>
      <c r="F185" s="15">
        <v>5</v>
      </c>
      <c r="G185" s="16">
        <f t="shared" si="8"/>
        <v>21108</v>
      </c>
      <c r="H185" s="16">
        <v>21108</v>
      </c>
      <c r="I185" s="16">
        <f t="shared" si="13"/>
        <v>0</v>
      </c>
      <c r="J185" s="31">
        <v>21108</v>
      </c>
      <c r="K185" s="69">
        <f t="shared" si="9"/>
        <v>0</v>
      </c>
      <c r="L185" s="50"/>
      <c r="M185" s="109"/>
      <c r="N185" s="110"/>
    </row>
    <row r="186" spans="1:16" ht="15" hidden="1" thickBot="1" x14ac:dyDescent="0.35">
      <c r="A186" s="14">
        <v>50</v>
      </c>
      <c r="B186" s="14" t="s">
        <v>601</v>
      </c>
      <c r="C186" s="14" t="s">
        <v>604</v>
      </c>
      <c r="D186" s="14" t="s">
        <v>520</v>
      </c>
      <c r="E186" s="15" t="s">
        <v>506</v>
      </c>
      <c r="F186" s="15">
        <v>3</v>
      </c>
      <c r="G186" s="16">
        <f t="shared" si="8"/>
        <v>9380</v>
      </c>
      <c r="H186" s="16">
        <v>9380</v>
      </c>
      <c r="I186" s="16">
        <f t="shared" si="13"/>
        <v>0</v>
      </c>
      <c r="J186" s="31">
        <v>9380</v>
      </c>
      <c r="K186" s="69">
        <f t="shared" si="9"/>
        <v>0</v>
      </c>
      <c r="L186" s="50"/>
      <c r="M186" s="109"/>
      <c r="N186" s="110"/>
    </row>
    <row r="187" spans="1:16" ht="15" hidden="1" thickBot="1" x14ac:dyDescent="0.35">
      <c r="A187" s="14">
        <v>50</v>
      </c>
      <c r="B187" s="14" t="s">
        <v>601</v>
      </c>
      <c r="C187" s="14" t="s">
        <v>605</v>
      </c>
      <c r="D187" s="14" t="s">
        <v>520</v>
      </c>
      <c r="E187" s="15" t="s">
        <v>506</v>
      </c>
      <c r="F187" s="15">
        <v>2</v>
      </c>
      <c r="G187" s="16">
        <f t="shared" si="8"/>
        <v>2200</v>
      </c>
      <c r="H187" s="16">
        <v>2200</v>
      </c>
      <c r="I187" s="16">
        <f t="shared" si="13"/>
        <v>0</v>
      </c>
      <c r="J187" s="31">
        <v>2200</v>
      </c>
      <c r="K187" s="69">
        <f t="shared" si="9"/>
        <v>0</v>
      </c>
      <c r="L187" s="50"/>
      <c r="M187" s="109"/>
      <c r="N187" s="110"/>
    </row>
    <row r="188" spans="1:16" ht="15" hidden="1" thickBot="1" x14ac:dyDescent="0.35">
      <c r="A188" s="14">
        <v>50</v>
      </c>
      <c r="B188" s="14" t="s">
        <v>601</v>
      </c>
      <c r="C188" s="14" t="s">
        <v>940</v>
      </c>
      <c r="D188" s="14" t="s">
        <v>520</v>
      </c>
      <c r="E188" s="15" t="s">
        <v>506</v>
      </c>
      <c r="F188" s="15">
        <v>2</v>
      </c>
      <c r="G188" s="16">
        <f t="shared" si="8"/>
        <v>2600</v>
      </c>
      <c r="H188" s="16">
        <v>2600</v>
      </c>
      <c r="I188" s="16">
        <f t="shared" si="13"/>
        <v>0</v>
      </c>
      <c r="J188" s="31">
        <v>2600</v>
      </c>
      <c r="K188" s="69">
        <f t="shared" si="9"/>
        <v>0</v>
      </c>
      <c r="L188" s="50"/>
      <c r="M188" s="109"/>
      <c r="N188" s="110"/>
    </row>
    <row r="189" spans="1:16" ht="15" hidden="1" thickBot="1" x14ac:dyDescent="0.35">
      <c r="A189" s="14">
        <v>51</v>
      </c>
      <c r="B189" s="14" t="s">
        <v>606</v>
      </c>
      <c r="C189" s="14" t="s">
        <v>550</v>
      </c>
      <c r="D189" s="14" t="s">
        <v>529</v>
      </c>
      <c r="E189" s="14" t="s">
        <v>500</v>
      </c>
      <c r="F189" s="14"/>
      <c r="G189" s="16">
        <f t="shared" si="8"/>
        <v>14850</v>
      </c>
      <c r="H189" s="16">
        <v>14850</v>
      </c>
      <c r="I189" s="16">
        <f t="shared" si="13"/>
        <v>0</v>
      </c>
      <c r="J189" s="31">
        <v>14850</v>
      </c>
      <c r="K189" s="69">
        <f t="shared" si="9"/>
        <v>0</v>
      </c>
      <c r="L189" s="50"/>
      <c r="M189" s="109"/>
      <c r="N189" s="110"/>
    </row>
    <row r="190" spans="1:16" ht="15" hidden="1" thickBot="1" x14ac:dyDescent="0.35">
      <c r="A190" s="14">
        <v>52</v>
      </c>
      <c r="B190" s="14" t="s">
        <v>607</v>
      </c>
      <c r="C190" s="14" t="s">
        <v>550</v>
      </c>
      <c r="D190" s="14" t="s">
        <v>497</v>
      </c>
      <c r="E190" s="14" t="s">
        <v>14</v>
      </c>
      <c r="F190" s="14">
        <v>3</v>
      </c>
      <c r="G190" s="16">
        <f t="shared" si="8"/>
        <v>5113</v>
      </c>
      <c r="H190" s="16">
        <v>5113</v>
      </c>
      <c r="I190" s="16">
        <f t="shared" si="13"/>
        <v>0</v>
      </c>
      <c r="J190" s="31">
        <v>5113</v>
      </c>
      <c r="K190" s="69">
        <f t="shared" si="9"/>
        <v>0</v>
      </c>
      <c r="L190" s="50"/>
      <c r="M190" s="109"/>
      <c r="N190" s="110"/>
    </row>
    <row r="191" spans="1:16" ht="15" hidden="1" thickBot="1" x14ac:dyDescent="0.35">
      <c r="A191" s="14">
        <v>53</v>
      </c>
      <c r="B191" s="14" t="s">
        <v>608</v>
      </c>
      <c r="C191" s="14" t="s">
        <v>533</v>
      </c>
      <c r="D191" s="14" t="s">
        <v>497</v>
      </c>
      <c r="E191" s="14" t="s">
        <v>14</v>
      </c>
      <c r="F191" s="14"/>
      <c r="G191" s="16">
        <f t="shared" si="8"/>
        <v>19220</v>
      </c>
      <c r="H191" s="16">
        <v>19220</v>
      </c>
      <c r="I191" s="16">
        <f t="shared" si="13"/>
        <v>0</v>
      </c>
      <c r="J191" s="31">
        <v>19220</v>
      </c>
      <c r="K191" s="69">
        <f t="shared" si="9"/>
        <v>0</v>
      </c>
      <c r="L191" s="50"/>
      <c r="M191" s="109"/>
      <c r="N191" s="110"/>
    </row>
    <row r="192" spans="1:16" ht="15" hidden="1" thickBot="1" x14ac:dyDescent="0.35">
      <c r="A192" s="14">
        <v>54</v>
      </c>
      <c r="B192" s="14" t="s">
        <v>609</v>
      </c>
      <c r="C192" s="14" t="s">
        <v>989</v>
      </c>
      <c r="D192" s="14" t="s">
        <v>497</v>
      </c>
      <c r="E192" s="14" t="s">
        <v>14</v>
      </c>
      <c r="F192" s="14">
        <v>16</v>
      </c>
      <c r="G192" s="16">
        <f t="shared" si="8"/>
        <v>687407.1</v>
      </c>
      <c r="H192" s="16">
        <v>687407.1</v>
      </c>
      <c r="I192" s="16">
        <f t="shared" si="13"/>
        <v>0</v>
      </c>
      <c r="J192" s="31">
        <v>687407.1</v>
      </c>
      <c r="K192" s="69">
        <f t="shared" si="9"/>
        <v>0</v>
      </c>
      <c r="L192" s="50"/>
      <c r="M192" s="109"/>
      <c r="N192" s="110"/>
    </row>
    <row r="193" spans="1:14" ht="15" hidden="1" thickBot="1" x14ac:dyDescent="0.35">
      <c r="A193" s="14">
        <v>55</v>
      </c>
      <c r="B193" s="14" t="s">
        <v>610</v>
      </c>
      <c r="C193" s="14" t="s">
        <v>558</v>
      </c>
      <c r="D193" s="14" t="s">
        <v>614</v>
      </c>
      <c r="E193" s="14" t="s">
        <v>499</v>
      </c>
      <c r="F193" s="14">
        <v>20</v>
      </c>
      <c r="G193" s="16">
        <f t="shared" si="8"/>
        <v>502350</v>
      </c>
      <c r="H193" s="16">
        <v>502350</v>
      </c>
      <c r="I193" s="16">
        <f t="shared" si="13"/>
        <v>0</v>
      </c>
      <c r="J193" s="31">
        <v>502350</v>
      </c>
      <c r="K193" s="69">
        <f t="shared" si="9"/>
        <v>0</v>
      </c>
      <c r="L193" s="50"/>
      <c r="M193" s="109"/>
      <c r="N193" s="110"/>
    </row>
    <row r="194" spans="1:14" ht="15" hidden="1" thickBot="1" x14ac:dyDescent="0.35">
      <c r="A194" s="14">
        <v>56</v>
      </c>
      <c r="B194" s="14" t="s">
        <v>611</v>
      </c>
      <c r="C194" s="14" t="s">
        <v>558</v>
      </c>
      <c r="D194" s="14" t="s">
        <v>497</v>
      </c>
      <c r="E194" s="14" t="s">
        <v>14</v>
      </c>
      <c r="F194" s="14">
        <v>3</v>
      </c>
      <c r="G194" s="16">
        <f t="shared" si="8"/>
        <v>82000</v>
      </c>
      <c r="H194" s="16">
        <v>82000</v>
      </c>
      <c r="I194" s="16">
        <f t="shared" si="13"/>
        <v>0</v>
      </c>
      <c r="J194" s="31">
        <v>82000</v>
      </c>
      <c r="K194" s="69">
        <f t="shared" si="9"/>
        <v>0</v>
      </c>
      <c r="L194" s="50"/>
      <c r="M194" s="109"/>
      <c r="N194" s="110"/>
    </row>
    <row r="195" spans="1:14" ht="15" hidden="1" thickBot="1" x14ac:dyDescent="0.35">
      <c r="A195" s="14">
        <v>57</v>
      </c>
      <c r="B195" s="14" t="s">
        <v>612</v>
      </c>
      <c r="C195" s="14" t="s">
        <v>558</v>
      </c>
      <c r="D195" s="14" t="s">
        <v>497</v>
      </c>
      <c r="E195" s="14" t="s">
        <v>14</v>
      </c>
      <c r="F195" s="14"/>
      <c r="G195" s="16">
        <f t="shared" si="8"/>
        <v>54320</v>
      </c>
      <c r="H195" s="16">
        <v>54320</v>
      </c>
      <c r="I195" s="16">
        <f t="shared" si="13"/>
        <v>0</v>
      </c>
      <c r="J195" s="31">
        <v>54320</v>
      </c>
      <c r="K195" s="69">
        <f t="shared" si="9"/>
        <v>0</v>
      </c>
      <c r="L195" s="50">
        <v>0</v>
      </c>
      <c r="M195" s="109">
        <v>0</v>
      </c>
      <c r="N195" s="110"/>
    </row>
    <row r="196" spans="1:14" ht="15" hidden="1" thickBot="1" x14ac:dyDescent="0.35">
      <c r="A196" s="14">
        <v>58</v>
      </c>
      <c r="B196" s="14" t="s">
        <v>613</v>
      </c>
      <c r="C196" s="14" t="s">
        <v>558</v>
      </c>
      <c r="D196" s="14" t="s">
        <v>614</v>
      </c>
      <c r="E196" s="14" t="s">
        <v>502</v>
      </c>
      <c r="F196" s="14">
        <v>19</v>
      </c>
      <c r="G196" s="16">
        <f t="shared" si="8"/>
        <v>1239276</v>
      </c>
      <c r="H196" s="16">
        <v>1247456</v>
      </c>
      <c r="I196" s="16">
        <f t="shared" si="13"/>
        <v>0</v>
      </c>
      <c r="J196" s="31">
        <v>1247456</v>
      </c>
      <c r="K196" s="69">
        <f t="shared" si="9"/>
        <v>0</v>
      </c>
      <c r="L196" s="50">
        <v>8180</v>
      </c>
      <c r="M196" s="109">
        <v>8180</v>
      </c>
      <c r="N196" s="110"/>
    </row>
    <row r="197" spans="1:14" ht="15" hidden="1" thickBot="1" x14ac:dyDescent="0.35">
      <c r="A197" s="14">
        <v>59</v>
      </c>
      <c r="B197" s="14" t="s">
        <v>156</v>
      </c>
      <c r="C197" s="14" t="s">
        <v>558</v>
      </c>
      <c r="D197" s="14" t="s">
        <v>497</v>
      </c>
      <c r="E197" s="14" t="s">
        <v>14</v>
      </c>
      <c r="F197" s="14">
        <v>4</v>
      </c>
      <c r="G197" s="16">
        <f t="shared" si="8"/>
        <v>454560</v>
      </c>
      <c r="H197" s="16">
        <v>459560</v>
      </c>
      <c r="I197" s="16">
        <f t="shared" si="13"/>
        <v>0</v>
      </c>
      <c r="J197" s="31">
        <v>459560</v>
      </c>
      <c r="K197" s="69">
        <f t="shared" si="9"/>
        <v>0</v>
      </c>
      <c r="L197" s="50">
        <v>5000</v>
      </c>
      <c r="M197" s="109">
        <v>5000</v>
      </c>
      <c r="N197" s="110"/>
    </row>
    <row r="198" spans="1:14" ht="15" hidden="1" thickBot="1" x14ac:dyDescent="0.35">
      <c r="A198" s="14">
        <v>60</v>
      </c>
      <c r="B198" s="14" t="s">
        <v>616</v>
      </c>
      <c r="C198" s="14" t="s">
        <v>550</v>
      </c>
      <c r="D198" s="14" t="s">
        <v>497</v>
      </c>
      <c r="E198" s="14" t="s">
        <v>14</v>
      </c>
      <c r="F198" s="14">
        <v>30</v>
      </c>
      <c r="G198" s="16">
        <f t="shared" si="8"/>
        <v>581775</v>
      </c>
      <c r="H198" s="16">
        <v>581775</v>
      </c>
      <c r="I198" s="16">
        <f t="shared" si="13"/>
        <v>0</v>
      </c>
      <c r="J198" s="31">
        <v>581775</v>
      </c>
      <c r="K198" s="69">
        <f t="shared" si="9"/>
        <v>0</v>
      </c>
      <c r="L198" s="50"/>
      <c r="M198" s="109"/>
      <c r="N198" s="110"/>
    </row>
    <row r="199" spans="1:14" ht="15" hidden="1" thickBot="1" x14ac:dyDescent="0.35">
      <c r="A199" s="14">
        <v>60</v>
      </c>
      <c r="B199" s="14" t="s">
        <v>616</v>
      </c>
      <c r="C199" s="20" t="s">
        <v>617</v>
      </c>
      <c r="D199" s="14" t="s">
        <v>1001</v>
      </c>
      <c r="E199" s="14" t="s">
        <v>504</v>
      </c>
      <c r="F199" s="14">
        <v>9</v>
      </c>
      <c r="G199" s="16">
        <f t="shared" si="8"/>
        <v>389579</v>
      </c>
      <c r="H199" s="16">
        <v>392669</v>
      </c>
      <c r="I199" s="16">
        <f t="shared" si="13"/>
        <v>0</v>
      </c>
      <c r="J199" s="31">
        <v>392669</v>
      </c>
      <c r="K199" s="69">
        <f t="shared" si="9"/>
        <v>0</v>
      </c>
      <c r="L199" s="50">
        <v>3090</v>
      </c>
      <c r="M199" s="109">
        <v>3090</v>
      </c>
      <c r="N199" s="110">
        <v>0.9</v>
      </c>
    </row>
    <row r="200" spans="1:14" ht="15" hidden="1" thickBot="1" x14ac:dyDescent="0.35">
      <c r="A200" s="14">
        <v>60</v>
      </c>
      <c r="B200" s="14" t="s">
        <v>616</v>
      </c>
      <c r="C200" s="20" t="s">
        <v>617</v>
      </c>
      <c r="D200" s="14" t="s">
        <v>1091</v>
      </c>
      <c r="E200" s="14" t="s">
        <v>504</v>
      </c>
      <c r="F200" s="14">
        <v>6</v>
      </c>
      <c r="G200" s="16">
        <f t="shared" si="8"/>
        <v>84004</v>
      </c>
      <c r="H200" s="16">
        <v>84004</v>
      </c>
      <c r="I200" s="16">
        <f t="shared" si="13"/>
        <v>0</v>
      </c>
      <c r="J200" s="31">
        <v>84004</v>
      </c>
      <c r="K200" s="69">
        <f t="shared" si="9"/>
        <v>0</v>
      </c>
      <c r="L200" s="50"/>
      <c r="M200" s="109"/>
      <c r="N200" s="110" t="s">
        <v>1229</v>
      </c>
    </row>
    <row r="201" spans="1:14" ht="15" hidden="1" thickBot="1" x14ac:dyDescent="0.35">
      <c r="A201" s="14">
        <v>60</v>
      </c>
      <c r="B201" s="14" t="s">
        <v>616</v>
      </c>
      <c r="C201" s="20" t="s">
        <v>617</v>
      </c>
      <c r="D201" s="14" t="s">
        <v>1077</v>
      </c>
      <c r="E201" s="15" t="s">
        <v>509</v>
      </c>
      <c r="F201" s="15">
        <v>6</v>
      </c>
      <c r="G201" s="16">
        <f t="shared" si="8"/>
        <v>68410</v>
      </c>
      <c r="H201" s="16">
        <v>68410</v>
      </c>
      <c r="I201" s="16">
        <f t="shared" si="13"/>
        <v>0</v>
      </c>
      <c r="J201" s="31">
        <v>68410</v>
      </c>
      <c r="K201" s="69">
        <f t="shared" si="9"/>
        <v>0</v>
      </c>
      <c r="L201" s="50"/>
      <c r="M201" s="109"/>
      <c r="N201" s="110">
        <v>0.9</v>
      </c>
    </row>
    <row r="202" spans="1:14" ht="15" hidden="1" thickBot="1" x14ac:dyDescent="0.35">
      <c r="A202" s="14">
        <v>60</v>
      </c>
      <c r="B202" s="14" t="s">
        <v>616</v>
      </c>
      <c r="C202" s="20" t="s">
        <v>617</v>
      </c>
      <c r="D202" s="14" t="s">
        <v>1228</v>
      </c>
      <c r="E202" s="15" t="s">
        <v>500</v>
      </c>
      <c r="F202" s="15">
        <v>2</v>
      </c>
      <c r="G202" s="16">
        <f t="shared" si="8"/>
        <v>40787</v>
      </c>
      <c r="H202" s="16">
        <v>40787</v>
      </c>
      <c r="I202" s="16">
        <f t="shared" si="13"/>
        <v>0</v>
      </c>
      <c r="J202" s="31">
        <v>40787</v>
      </c>
      <c r="K202" s="69">
        <f t="shared" si="9"/>
        <v>0</v>
      </c>
      <c r="L202" s="50"/>
      <c r="M202" s="109"/>
      <c r="N202" s="110">
        <v>0.9</v>
      </c>
    </row>
    <row r="203" spans="1:14" ht="15" hidden="1" thickBot="1" x14ac:dyDescent="0.35">
      <c r="A203" s="14">
        <v>60</v>
      </c>
      <c r="B203" s="14" t="s">
        <v>616</v>
      </c>
      <c r="C203" s="20" t="s">
        <v>617</v>
      </c>
      <c r="D203" s="14" t="s">
        <v>1450</v>
      </c>
      <c r="E203" s="15" t="s">
        <v>509</v>
      </c>
      <c r="F203" s="15">
        <v>2</v>
      </c>
      <c r="G203" s="16">
        <f t="shared" si="8"/>
        <v>10000</v>
      </c>
      <c r="H203" s="16">
        <v>10000</v>
      </c>
      <c r="I203" s="16">
        <f t="shared" si="13"/>
        <v>0</v>
      </c>
      <c r="J203" s="31">
        <v>10000</v>
      </c>
      <c r="K203" s="69">
        <f t="shared" si="9"/>
        <v>0</v>
      </c>
      <c r="L203" s="50"/>
      <c r="M203" s="109"/>
      <c r="N203" s="110">
        <v>0.9</v>
      </c>
    </row>
    <row r="204" spans="1:14" ht="15" hidden="1" thickBot="1" x14ac:dyDescent="0.35">
      <c r="A204" s="14">
        <v>60</v>
      </c>
      <c r="B204" s="14" t="s">
        <v>616</v>
      </c>
      <c r="C204" s="20" t="s">
        <v>617</v>
      </c>
      <c r="D204" s="14" t="s">
        <v>1105</v>
      </c>
      <c r="E204" s="15" t="s">
        <v>504</v>
      </c>
      <c r="F204" s="15">
        <v>1</v>
      </c>
      <c r="G204" s="16">
        <f t="shared" si="8"/>
        <v>5500</v>
      </c>
      <c r="H204" s="16">
        <v>5500</v>
      </c>
      <c r="I204" s="16">
        <f t="shared" si="13"/>
        <v>0</v>
      </c>
      <c r="J204" s="31">
        <v>5500</v>
      </c>
      <c r="K204" s="69">
        <f t="shared" si="9"/>
        <v>0</v>
      </c>
      <c r="L204" s="50"/>
      <c r="M204" s="109"/>
      <c r="N204" s="110">
        <v>1</v>
      </c>
    </row>
    <row r="205" spans="1:14" ht="15" hidden="1" thickBot="1" x14ac:dyDescent="0.35">
      <c r="A205" s="14">
        <v>60</v>
      </c>
      <c r="B205" s="14" t="s">
        <v>616</v>
      </c>
      <c r="C205" s="20" t="s">
        <v>617</v>
      </c>
      <c r="D205" s="14" t="s">
        <v>1134</v>
      </c>
      <c r="E205" s="15" t="s">
        <v>509</v>
      </c>
      <c r="F205" s="15">
        <v>2</v>
      </c>
      <c r="G205" s="16">
        <f t="shared" si="8"/>
        <v>12000</v>
      </c>
      <c r="H205" s="16">
        <v>12000</v>
      </c>
      <c r="I205" s="16">
        <f t="shared" si="13"/>
        <v>0</v>
      </c>
      <c r="J205" s="31">
        <v>12000</v>
      </c>
      <c r="K205" s="69">
        <f t="shared" si="9"/>
        <v>0</v>
      </c>
      <c r="L205" s="50"/>
      <c r="M205" s="109"/>
      <c r="N205" s="110">
        <v>1</v>
      </c>
    </row>
    <row r="206" spans="1:14" ht="15" hidden="1" thickBot="1" x14ac:dyDescent="0.35">
      <c r="A206" s="14">
        <v>60</v>
      </c>
      <c r="B206" s="14" t="s">
        <v>616</v>
      </c>
      <c r="C206" s="20" t="s">
        <v>617</v>
      </c>
      <c r="D206" s="14" t="s">
        <v>1076</v>
      </c>
      <c r="E206" s="15" t="s">
        <v>512</v>
      </c>
      <c r="F206" s="15">
        <v>1</v>
      </c>
      <c r="G206" s="16">
        <f t="shared" si="8"/>
        <v>6000</v>
      </c>
      <c r="H206" s="16">
        <v>6000</v>
      </c>
      <c r="I206" s="16">
        <f t="shared" si="13"/>
        <v>0</v>
      </c>
      <c r="J206" s="31">
        <v>6000</v>
      </c>
      <c r="K206" s="69">
        <f t="shared" si="9"/>
        <v>0</v>
      </c>
      <c r="L206" s="50"/>
      <c r="M206" s="109"/>
      <c r="N206" s="110">
        <v>1</v>
      </c>
    </row>
    <row r="207" spans="1:14" ht="15" hidden="1" thickBot="1" x14ac:dyDescent="0.35">
      <c r="A207" s="14">
        <v>60</v>
      </c>
      <c r="B207" s="14" t="s">
        <v>616</v>
      </c>
      <c r="C207" s="20" t="s">
        <v>617</v>
      </c>
      <c r="D207" s="14" t="s">
        <v>618</v>
      </c>
      <c r="E207" s="15" t="s">
        <v>509</v>
      </c>
      <c r="F207" s="15">
        <v>10</v>
      </c>
      <c r="G207" s="16">
        <f t="shared" si="8"/>
        <v>351688</v>
      </c>
      <c r="H207" s="16">
        <v>351688</v>
      </c>
      <c r="I207" s="16">
        <f t="shared" si="13"/>
        <v>0</v>
      </c>
      <c r="J207" s="31">
        <v>351688</v>
      </c>
      <c r="K207" s="69">
        <f t="shared" si="9"/>
        <v>0</v>
      </c>
      <c r="L207" s="50"/>
      <c r="M207" s="109"/>
      <c r="N207" s="110">
        <v>0.95</v>
      </c>
    </row>
    <row r="208" spans="1:14" ht="15" hidden="1" thickBot="1" x14ac:dyDescent="0.35">
      <c r="A208" s="14">
        <v>61</v>
      </c>
      <c r="B208" s="14" t="s">
        <v>619</v>
      </c>
      <c r="C208" s="14" t="s">
        <v>550</v>
      </c>
      <c r="D208" s="17" t="s">
        <v>497</v>
      </c>
      <c r="E208" s="14" t="s">
        <v>14</v>
      </c>
      <c r="F208" s="14">
        <v>14</v>
      </c>
      <c r="G208" s="16">
        <f t="shared" si="8"/>
        <v>376001</v>
      </c>
      <c r="H208" s="16">
        <v>376001</v>
      </c>
      <c r="I208" s="16">
        <f t="shared" si="13"/>
        <v>0</v>
      </c>
      <c r="J208" s="31">
        <v>376001</v>
      </c>
      <c r="K208" s="69">
        <f t="shared" si="9"/>
        <v>0</v>
      </c>
      <c r="L208" s="50"/>
      <c r="M208" s="109"/>
      <c r="N208" s="110"/>
    </row>
    <row r="209" spans="1:14" ht="15" hidden="1" thickBot="1" x14ac:dyDescent="0.35">
      <c r="A209" s="14">
        <v>62</v>
      </c>
      <c r="B209" s="14" t="s">
        <v>620</v>
      </c>
      <c r="C209" s="14" t="s">
        <v>891</v>
      </c>
      <c r="D209" s="14" t="s">
        <v>637</v>
      </c>
      <c r="E209" s="14" t="s">
        <v>504</v>
      </c>
      <c r="F209" s="14">
        <v>3</v>
      </c>
      <c r="G209" s="16">
        <f t="shared" si="8"/>
        <v>39140</v>
      </c>
      <c r="H209" s="16">
        <v>39140</v>
      </c>
      <c r="I209" s="16">
        <f t="shared" si="13"/>
        <v>0</v>
      </c>
      <c r="J209" s="31">
        <v>39140</v>
      </c>
      <c r="K209" s="69">
        <f t="shared" si="9"/>
        <v>0</v>
      </c>
      <c r="L209" s="50"/>
      <c r="M209" s="109"/>
      <c r="N209" s="110"/>
    </row>
    <row r="210" spans="1:14" ht="15" hidden="1" thickBot="1" x14ac:dyDescent="0.35">
      <c r="A210" s="14">
        <v>62</v>
      </c>
      <c r="B210" s="14" t="s">
        <v>620</v>
      </c>
      <c r="C210" s="14" t="s">
        <v>891</v>
      </c>
      <c r="D210" s="14" t="s">
        <v>1831</v>
      </c>
      <c r="E210" s="14" t="s">
        <v>504</v>
      </c>
      <c r="F210" s="14">
        <v>2</v>
      </c>
      <c r="G210" s="16">
        <f t="shared" si="8"/>
        <v>917.7</v>
      </c>
      <c r="H210" s="16">
        <v>917.7</v>
      </c>
      <c r="I210" s="16">
        <f t="shared" si="13"/>
        <v>0</v>
      </c>
      <c r="J210" s="31">
        <v>917.7</v>
      </c>
      <c r="K210" s="69">
        <f t="shared" si="9"/>
        <v>0</v>
      </c>
      <c r="L210" s="50"/>
      <c r="M210" s="109"/>
      <c r="N210" s="110"/>
    </row>
    <row r="211" spans="1:14" ht="15" hidden="1" thickBot="1" x14ac:dyDescent="0.35">
      <c r="A211" s="14">
        <v>62</v>
      </c>
      <c r="B211" s="14" t="s">
        <v>620</v>
      </c>
      <c r="C211" s="14" t="s">
        <v>891</v>
      </c>
      <c r="D211" s="14" t="s">
        <v>761</v>
      </c>
      <c r="E211" s="14" t="s">
        <v>500</v>
      </c>
      <c r="F211" s="14">
        <v>2</v>
      </c>
      <c r="G211" s="16">
        <f t="shared" si="8"/>
        <v>23316.799999999999</v>
      </c>
      <c r="H211" s="16">
        <v>23316.799999999999</v>
      </c>
      <c r="I211" s="16">
        <f>J211-H211</f>
        <v>0</v>
      </c>
      <c r="J211" s="31">
        <v>23316.799999999999</v>
      </c>
      <c r="K211" s="69">
        <f t="shared" si="9"/>
        <v>0</v>
      </c>
      <c r="L211" s="50"/>
      <c r="M211" s="109"/>
      <c r="N211" s="110"/>
    </row>
    <row r="212" spans="1:14" ht="15" hidden="1" thickBot="1" x14ac:dyDescent="0.35">
      <c r="A212" s="14">
        <v>62</v>
      </c>
      <c r="B212" s="14" t="s">
        <v>620</v>
      </c>
      <c r="C212" s="14" t="s">
        <v>891</v>
      </c>
      <c r="D212" s="14" t="s">
        <v>532</v>
      </c>
      <c r="E212" s="14" t="s">
        <v>500</v>
      </c>
      <c r="F212" s="14">
        <v>2</v>
      </c>
      <c r="G212" s="16">
        <f t="shared" si="8"/>
        <v>35045.5</v>
      </c>
      <c r="H212" s="16">
        <v>35045.5</v>
      </c>
      <c r="I212" s="16">
        <f t="shared" si="13"/>
        <v>0</v>
      </c>
      <c r="J212" s="31">
        <v>35045.5</v>
      </c>
      <c r="K212" s="69">
        <f t="shared" si="9"/>
        <v>0</v>
      </c>
      <c r="L212" s="50"/>
      <c r="M212" s="109"/>
      <c r="N212" s="110"/>
    </row>
    <row r="213" spans="1:14" ht="15" hidden="1" thickBot="1" x14ac:dyDescent="0.35">
      <c r="A213" s="14">
        <v>62</v>
      </c>
      <c r="B213" s="14" t="s">
        <v>620</v>
      </c>
      <c r="C213" s="14" t="s">
        <v>891</v>
      </c>
      <c r="D213" s="14" t="s">
        <v>530</v>
      </c>
      <c r="E213" s="14" t="s">
        <v>500</v>
      </c>
      <c r="F213" s="14">
        <v>2</v>
      </c>
      <c r="G213" s="16">
        <f t="shared" si="8"/>
        <v>6011.6</v>
      </c>
      <c r="H213" s="16">
        <v>6011.6</v>
      </c>
      <c r="I213" s="16">
        <f t="shared" si="13"/>
        <v>0</v>
      </c>
      <c r="J213" s="31">
        <v>6011.6</v>
      </c>
      <c r="K213" s="69">
        <f t="shared" si="9"/>
        <v>0</v>
      </c>
      <c r="L213" s="50"/>
      <c r="M213" s="109"/>
      <c r="N213" s="110"/>
    </row>
    <row r="214" spans="1:14" ht="15" hidden="1" thickBot="1" x14ac:dyDescent="0.35">
      <c r="A214" s="14">
        <v>62</v>
      </c>
      <c r="B214" s="14" t="s">
        <v>620</v>
      </c>
      <c r="C214" s="14" t="s">
        <v>891</v>
      </c>
      <c r="D214" s="14" t="s">
        <v>518</v>
      </c>
      <c r="E214" s="14" t="s">
        <v>503</v>
      </c>
      <c r="F214" s="14">
        <v>2</v>
      </c>
      <c r="G214" s="16">
        <f t="shared" si="8"/>
        <v>2418</v>
      </c>
      <c r="H214" s="16">
        <v>2418</v>
      </c>
      <c r="I214" s="16">
        <f t="shared" si="13"/>
        <v>0</v>
      </c>
      <c r="J214" s="31">
        <v>2418</v>
      </c>
      <c r="K214" s="69">
        <f t="shared" si="9"/>
        <v>0</v>
      </c>
      <c r="L214" s="50"/>
      <c r="M214" s="109"/>
      <c r="N214" s="110"/>
    </row>
    <row r="215" spans="1:14" ht="15" hidden="1" thickBot="1" x14ac:dyDescent="0.35">
      <c r="A215" s="14">
        <v>62</v>
      </c>
      <c r="B215" s="14" t="s">
        <v>620</v>
      </c>
      <c r="C215" s="14" t="s">
        <v>891</v>
      </c>
      <c r="D215" s="14" t="s">
        <v>757</v>
      </c>
      <c r="E215" s="14" t="s">
        <v>512</v>
      </c>
      <c r="F215" s="14">
        <v>2</v>
      </c>
      <c r="G215" s="16">
        <f t="shared" si="8"/>
        <v>13943.49</v>
      </c>
      <c r="H215" s="16">
        <v>13943.49</v>
      </c>
      <c r="I215" s="16">
        <f t="shared" si="13"/>
        <v>0</v>
      </c>
      <c r="J215" s="31">
        <v>13943.49</v>
      </c>
      <c r="K215" s="69">
        <f t="shared" si="9"/>
        <v>0</v>
      </c>
      <c r="L215" s="50"/>
      <c r="M215" s="109"/>
      <c r="N215" s="110"/>
    </row>
    <row r="216" spans="1:14" ht="15" hidden="1" thickBot="1" x14ac:dyDescent="0.35">
      <c r="A216" s="14">
        <v>62</v>
      </c>
      <c r="B216" s="14" t="s">
        <v>620</v>
      </c>
      <c r="C216" s="14" t="s">
        <v>891</v>
      </c>
      <c r="D216" s="14" t="s">
        <v>529</v>
      </c>
      <c r="E216" s="14" t="s">
        <v>500</v>
      </c>
      <c r="F216" s="14">
        <v>2</v>
      </c>
      <c r="G216" s="16">
        <f t="shared" si="8"/>
        <v>6384</v>
      </c>
      <c r="H216" s="16">
        <v>6384</v>
      </c>
      <c r="I216" s="16">
        <f t="shared" si="13"/>
        <v>0</v>
      </c>
      <c r="J216" s="31">
        <v>6384</v>
      </c>
      <c r="K216" s="69">
        <f t="shared" si="9"/>
        <v>0</v>
      </c>
      <c r="L216" s="50"/>
      <c r="M216" s="109"/>
      <c r="N216" s="110"/>
    </row>
    <row r="217" spans="1:14" ht="15" hidden="1" thickBot="1" x14ac:dyDescent="0.35">
      <c r="A217" s="14">
        <v>62</v>
      </c>
      <c r="B217" s="14" t="s">
        <v>620</v>
      </c>
      <c r="C217" s="14" t="s">
        <v>891</v>
      </c>
      <c r="D217" s="14" t="s">
        <v>806</v>
      </c>
      <c r="E217" s="14" t="s">
        <v>506</v>
      </c>
      <c r="F217" s="14">
        <v>2</v>
      </c>
      <c r="G217" s="16">
        <f t="shared" si="8"/>
        <v>9765</v>
      </c>
      <c r="H217" s="16">
        <v>9765</v>
      </c>
      <c r="I217" s="16">
        <f t="shared" si="13"/>
        <v>0</v>
      </c>
      <c r="J217" s="31">
        <v>9765</v>
      </c>
      <c r="K217" s="69">
        <f t="shared" si="9"/>
        <v>0</v>
      </c>
      <c r="L217" s="50"/>
      <c r="M217" s="109"/>
      <c r="N217" s="110"/>
    </row>
    <row r="218" spans="1:14" ht="15" hidden="1" thickBot="1" x14ac:dyDescent="0.35">
      <c r="A218" s="14">
        <v>62</v>
      </c>
      <c r="B218" s="14" t="s">
        <v>620</v>
      </c>
      <c r="C218" s="14" t="s">
        <v>891</v>
      </c>
      <c r="D218" s="14" t="s">
        <v>720</v>
      </c>
      <c r="E218" s="14" t="s">
        <v>508</v>
      </c>
      <c r="F218" s="14">
        <v>2</v>
      </c>
      <c r="G218" s="16">
        <f t="shared" si="8"/>
        <v>17786</v>
      </c>
      <c r="H218" s="16">
        <v>18086</v>
      </c>
      <c r="I218" s="16">
        <f t="shared" si="13"/>
        <v>0</v>
      </c>
      <c r="J218" s="31">
        <v>18086</v>
      </c>
      <c r="K218" s="69">
        <f t="shared" si="9"/>
        <v>0</v>
      </c>
      <c r="L218" s="50">
        <v>300</v>
      </c>
      <c r="M218" s="109">
        <v>300</v>
      </c>
      <c r="N218" s="110"/>
    </row>
    <row r="219" spans="1:14" ht="15" hidden="1" thickBot="1" x14ac:dyDescent="0.35">
      <c r="A219" s="14">
        <v>62</v>
      </c>
      <c r="B219" s="14" t="s">
        <v>620</v>
      </c>
      <c r="C219" s="14" t="s">
        <v>891</v>
      </c>
      <c r="D219" s="14" t="s">
        <v>614</v>
      </c>
      <c r="E219" s="14" t="s">
        <v>499</v>
      </c>
      <c r="F219" s="14">
        <v>12</v>
      </c>
      <c r="G219" s="16">
        <f t="shared" si="8"/>
        <v>315024</v>
      </c>
      <c r="H219" s="16">
        <v>315859</v>
      </c>
      <c r="I219" s="16">
        <f t="shared" si="13"/>
        <v>0</v>
      </c>
      <c r="J219" s="31">
        <v>315859</v>
      </c>
      <c r="K219" s="69">
        <f t="shared" si="9"/>
        <v>0</v>
      </c>
      <c r="L219" s="50">
        <v>835</v>
      </c>
      <c r="M219" s="109">
        <v>835</v>
      </c>
      <c r="N219" s="110">
        <v>0.93</v>
      </c>
    </row>
    <row r="220" spans="1:14" ht="15" hidden="1" thickBot="1" x14ac:dyDescent="0.35">
      <c r="A220" s="14">
        <v>62</v>
      </c>
      <c r="B220" s="14" t="s">
        <v>620</v>
      </c>
      <c r="C220" s="14" t="s">
        <v>891</v>
      </c>
      <c r="D220" s="14" t="s">
        <v>614</v>
      </c>
      <c r="E220" s="14" t="s">
        <v>502</v>
      </c>
      <c r="F220" s="14">
        <v>11</v>
      </c>
      <c r="G220" s="16">
        <f t="shared" si="8"/>
        <v>317967</v>
      </c>
      <c r="H220" s="16">
        <v>319827</v>
      </c>
      <c r="I220" s="16">
        <f t="shared" si="13"/>
        <v>0</v>
      </c>
      <c r="J220" s="31">
        <v>319827</v>
      </c>
      <c r="K220" s="69">
        <f t="shared" si="9"/>
        <v>0</v>
      </c>
      <c r="L220" s="50">
        <v>1860</v>
      </c>
      <c r="M220" s="109">
        <v>1860</v>
      </c>
      <c r="N220" s="110"/>
    </row>
    <row r="221" spans="1:14" ht="15" hidden="1" thickBot="1" x14ac:dyDescent="0.35">
      <c r="A221" s="14">
        <v>62</v>
      </c>
      <c r="B221" s="14" t="s">
        <v>620</v>
      </c>
      <c r="C221" s="14" t="s">
        <v>891</v>
      </c>
      <c r="D221" s="14" t="s">
        <v>526</v>
      </c>
      <c r="E221" s="14" t="s">
        <v>509</v>
      </c>
      <c r="F221" s="14">
        <v>2</v>
      </c>
      <c r="G221" s="16">
        <f t="shared" si="8"/>
        <v>2470</v>
      </c>
      <c r="H221" s="16">
        <v>2470</v>
      </c>
      <c r="I221" s="16">
        <f t="shared" si="13"/>
        <v>0</v>
      </c>
      <c r="J221" s="31">
        <v>2470</v>
      </c>
      <c r="K221" s="69">
        <f t="shared" si="9"/>
        <v>0</v>
      </c>
      <c r="L221" s="50"/>
      <c r="M221" s="109"/>
      <c r="N221" s="110"/>
    </row>
    <row r="222" spans="1:14" ht="15" hidden="1" thickBot="1" x14ac:dyDescent="0.35">
      <c r="A222" s="14">
        <v>62</v>
      </c>
      <c r="B222" s="14" t="s">
        <v>620</v>
      </c>
      <c r="C222" s="14" t="s">
        <v>891</v>
      </c>
      <c r="D222" s="14" t="s">
        <v>510</v>
      </c>
      <c r="E222" s="14" t="s">
        <v>499</v>
      </c>
      <c r="F222" s="14">
        <v>7</v>
      </c>
      <c r="G222" s="16">
        <f t="shared" si="8"/>
        <v>47035</v>
      </c>
      <c r="H222" s="16">
        <v>47095</v>
      </c>
      <c r="I222" s="16">
        <f t="shared" si="13"/>
        <v>0</v>
      </c>
      <c r="J222" s="31">
        <v>47095</v>
      </c>
      <c r="K222" s="69">
        <f t="shared" si="9"/>
        <v>0</v>
      </c>
      <c r="L222" s="50">
        <v>60</v>
      </c>
      <c r="M222" s="109">
        <v>60</v>
      </c>
      <c r="N222" s="110"/>
    </row>
    <row r="223" spans="1:14" ht="15" hidden="1" thickBot="1" x14ac:dyDescent="0.35">
      <c r="A223" s="14">
        <v>62</v>
      </c>
      <c r="B223" s="14" t="s">
        <v>620</v>
      </c>
      <c r="C223" s="14" t="s">
        <v>891</v>
      </c>
      <c r="D223" s="14" t="s">
        <v>528</v>
      </c>
      <c r="E223" s="14" t="s">
        <v>504</v>
      </c>
      <c r="F223" s="14">
        <v>3</v>
      </c>
      <c r="G223" s="16">
        <f t="shared" si="8"/>
        <v>8550</v>
      </c>
      <c r="H223" s="16">
        <v>8550</v>
      </c>
      <c r="I223" s="16">
        <f t="shared" si="13"/>
        <v>0</v>
      </c>
      <c r="J223" s="31">
        <v>8550</v>
      </c>
      <c r="K223" s="69">
        <f t="shared" si="9"/>
        <v>0</v>
      </c>
      <c r="L223" s="50"/>
      <c r="M223" s="109"/>
      <c r="N223" s="110"/>
    </row>
    <row r="224" spans="1:14" ht="15" hidden="1" thickBot="1" x14ac:dyDescent="0.35">
      <c r="A224" s="14">
        <v>62</v>
      </c>
      <c r="B224" s="14" t="s">
        <v>620</v>
      </c>
      <c r="C224" s="14" t="s">
        <v>891</v>
      </c>
      <c r="D224" s="14" t="s">
        <v>515</v>
      </c>
      <c r="E224" s="14" t="s">
        <v>512</v>
      </c>
      <c r="F224" s="14">
        <v>2</v>
      </c>
      <c r="G224" s="16">
        <f t="shared" si="8"/>
        <v>2375</v>
      </c>
      <c r="H224" s="16">
        <v>2375</v>
      </c>
      <c r="I224" s="16">
        <f t="shared" si="13"/>
        <v>0</v>
      </c>
      <c r="J224" s="31">
        <v>2375</v>
      </c>
      <c r="K224" s="69">
        <f t="shared" si="9"/>
        <v>0</v>
      </c>
      <c r="L224" s="50"/>
      <c r="M224" s="109"/>
      <c r="N224" s="110"/>
    </row>
    <row r="225" spans="1:14" ht="15" hidden="1" thickBot="1" x14ac:dyDescent="0.35">
      <c r="A225" s="14">
        <v>62</v>
      </c>
      <c r="B225" s="14" t="s">
        <v>620</v>
      </c>
      <c r="C225" s="14" t="s">
        <v>891</v>
      </c>
      <c r="D225" s="14" t="s">
        <v>622</v>
      </c>
      <c r="E225" s="14"/>
      <c r="F225" s="14">
        <v>2</v>
      </c>
      <c r="G225" s="16">
        <f t="shared" si="8"/>
        <v>1674</v>
      </c>
      <c r="H225" s="16">
        <v>1674</v>
      </c>
      <c r="I225" s="16">
        <f t="shared" si="13"/>
        <v>0</v>
      </c>
      <c r="J225" s="31">
        <v>1674</v>
      </c>
      <c r="K225" s="69">
        <f t="shared" si="9"/>
        <v>0</v>
      </c>
      <c r="L225" s="50"/>
      <c r="M225" s="109"/>
      <c r="N225" s="110"/>
    </row>
    <row r="226" spans="1:14" ht="15" hidden="1" thickBot="1" x14ac:dyDescent="0.35">
      <c r="A226" s="14">
        <v>62</v>
      </c>
      <c r="B226" s="14" t="s">
        <v>620</v>
      </c>
      <c r="C226" s="14" t="s">
        <v>891</v>
      </c>
      <c r="D226" s="14" t="s">
        <v>776</v>
      </c>
      <c r="E226" s="14" t="s">
        <v>499</v>
      </c>
      <c r="F226" s="14">
        <v>2</v>
      </c>
      <c r="G226" s="16">
        <f t="shared" ref="G226:G296" si="14">H226-M226</f>
        <v>4488</v>
      </c>
      <c r="H226" s="16">
        <v>4788</v>
      </c>
      <c r="I226" s="16">
        <f t="shared" si="13"/>
        <v>0</v>
      </c>
      <c r="J226" s="31">
        <v>4788</v>
      </c>
      <c r="K226" s="69">
        <f t="shared" si="9"/>
        <v>0</v>
      </c>
      <c r="L226" s="50">
        <v>300</v>
      </c>
      <c r="M226" s="109">
        <v>300</v>
      </c>
      <c r="N226" s="110"/>
    </row>
    <row r="227" spans="1:14" ht="15" hidden="1" thickBot="1" x14ac:dyDescent="0.35">
      <c r="A227" s="14">
        <v>62</v>
      </c>
      <c r="B227" s="14" t="s">
        <v>620</v>
      </c>
      <c r="C227" s="14" t="s">
        <v>891</v>
      </c>
      <c r="D227" s="14" t="s">
        <v>516</v>
      </c>
      <c r="E227" s="14" t="s">
        <v>509</v>
      </c>
      <c r="F227" s="14">
        <v>2</v>
      </c>
      <c r="G227" s="16">
        <f t="shared" si="14"/>
        <v>6175</v>
      </c>
      <c r="H227" s="16">
        <v>6175</v>
      </c>
      <c r="I227" s="16">
        <f t="shared" si="13"/>
        <v>0</v>
      </c>
      <c r="J227" s="31">
        <v>6175</v>
      </c>
      <c r="K227" s="69">
        <f t="shared" si="9"/>
        <v>0</v>
      </c>
      <c r="L227" s="50"/>
      <c r="M227" s="109"/>
      <c r="N227" s="110"/>
    </row>
    <row r="228" spans="1:14" ht="15" hidden="1" thickBot="1" x14ac:dyDescent="0.35">
      <c r="A228" s="14">
        <v>62</v>
      </c>
      <c r="B228" s="14" t="s">
        <v>620</v>
      </c>
      <c r="C228" s="14" t="s">
        <v>891</v>
      </c>
      <c r="D228" s="14" t="s">
        <v>525</v>
      </c>
      <c r="E228" s="14" t="s">
        <v>509</v>
      </c>
      <c r="F228" s="14">
        <v>2</v>
      </c>
      <c r="G228" s="16">
        <f t="shared" si="14"/>
        <v>3325</v>
      </c>
      <c r="H228" s="16">
        <v>3325</v>
      </c>
      <c r="I228" s="16">
        <f t="shared" si="13"/>
        <v>0</v>
      </c>
      <c r="J228" s="31">
        <v>3325</v>
      </c>
      <c r="K228" s="69">
        <f t="shared" ref="K228:K296" si="15">M228-L228</f>
        <v>0</v>
      </c>
      <c r="L228" s="50"/>
      <c r="M228" s="109"/>
      <c r="N228" s="110"/>
    </row>
    <row r="229" spans="1:14" ht="15" hidden="1" thickBot="1" x14ac:dyDescent="0.35">
      <c r="A229" s="14">
        <v>62</v>
      </c>
      <c r="B229" s="14" t="s">
        <v>620</v>
      </c>
      <c r="C229" s="14" t="s">
        <v>891</v>
      </c>
      <c r="D229" s="14" t="s">
        <v>527</v>
      </c>
      <c r="E229" s="14" t="s">
        <v>500</v>
      </c>
      <c r="F229" s="14">
        <v>3</v>
      </c>
      <c r="G229" s="16">
        <f t="shared" si="14"/>
        <v>3420</v>
      </c>
      <c r="H229" s="16">
        <v>3420</v>
      </c>
      <c r="I229" s="16">
        <f t="shared" si="13"/>
        <v>0</v>
      </c>
      <c r="J229" s="31">
        <v>3420</v>
      </c>
      <c r="K229" s="69">
        <f t="shared" si="15"/>
        <v>0</v>
      </c>
      <c r="L229" s="50"/>
      <c r="M229" s="109"/>
      <c r="N229" s="110"/>
    </row>
    <row r="230" spans="1:14" ht="15" hidden="1" thickBot="1" x14ac:dyDescent="0.35">
      <c r="A230" s="14">
        <v>62</v>
      </c>
      <c r="B230" s="14" t="s">
        <v>620</v>
      </c>
      <c r="C230" s="14" t="s">
        <v>891</v>
      </c>
      <c r="D230" s="14" t="s">
        <v>521</v>
      </c>
      <c r="E230" s="14" t="s">
        <v>500</v>
      </c>
      <c r="F230" s="14">
        <v>2</v>
      </c>
      <c r="G230" s="16">
        <f t="shared" si="14"/>
        <v>6650</v>
      </c>
      <c r="H230" s="16">
        <v>6650</v>
      </c>
      <c r="I230" s="16">
        <f t="shared" si="13"/>
        <v>0</v>
      </c>
      <c r="J230" s="31">
        <v>6650</v>
      </c>
      <c r="K230" s="69">
        <f t="shared" si="15"/>
        <v>0</v>
      </c>
      <c r="L230" s="50"/>
      <c r="M230" s="109"/>
      <c r="N230" s="110"/>
    </row>
    <row r="231" spans="1:14" ht="15" hidden="1" thickBot="1" x14ac:dyDescent="0.35">
      <c r="A231" s="14">
        <v>62</v>
      </c>
      <c r="B231" s="14" t="s">
        <v>620</v>
      </c>
      <c r="C231" s="14" t="s">
        <v>891</v>
      </c>
      <c r="D231" s="14" t="s">
        <v>510</v>
      </c>
      <c r="E231" s="14" t="s">
        <v>502</v>
      </c>
      <c r="F231" s="14">
        <v>9</v>
      </c>
      <c r="G231" s="16">
        <f t="shared" si="14"/>
        <v>50667</v>
      </c>
      <c r="H231" s="16">
        <v>53127</v>
      </c>
      <c r="I231" s="16">
        <f t="shared" si="13"/>
        <v>0</v>
      </c>
      <c r="J231" s="31">
        <v>53127</v>
      </c>
      <c r="K231" s="69">
        <f t="shared" si="15"/>
        <v>0</v>
      </c>
      <c r="L231" s="50">
        <v>2460</v>
      </c>
      <c r="M231" s="109">
        <v>2460</v>
      </c>
      <c r="N231" s="110">
        <v>0.96</v>
      </c>
    </row>
    <row r="232" spans="1:14" ht="15" hidden="1" thickBot="1" x14ac:dyDescent="0.35">
      <c r="A232" s="14">
        <v>62</v>
      </c>
      <c r="B232" s="14" t="s">
        <v>620</v>
      </c>
      <c r="C232" s="14" t="s">
        <v>891</v>
      </c>
      <c r="D232" s="14" t="s">
        <v>522</v>
      </c>
      <c r="E232" s="14" t="s">
        <v>502</v>
      </c>
      <c r="F232" s="14">
        <v>9</v>
      </c>
      <c r="G232" s="16">
        <f t="shared" si="14"/>
        <v>59063.256000000001</v>
      </c>
      <c r="H232" s="16">
        <v>59333.256000000001</v>
      </c>
      <c r="I232" s="16">
        <f t="shared" si="13"/>
        <v>0</v>
      </c>
      <c r="J232" s="31">
        <v>59333.256000000001</v>
      </c>
      <c r="K232" s="69">
        <f t="shared" si="15"/>
        <v>0</v>
      </c>
      <c r="L232" s="50">
        <v>270</v>
      </c>
      <c r="M232" s="109">
        <v>270</v>
      </c>
      <c r="N232" s="110">
        <v>0.93</v>
      </c>
    </row>
    <row r="233" spans="1:14" ht="15" hidden="1" thickBot="1" x14ac:dyDescent="0.35">
      <c r="A233" s="14">
        <v>63</v>
      </c>
      <c r="B233" s="14" t="s">
        <v>623</v>
      </c>
      <c r="C233" s="14" t="s">
        <v>14</v>
      </c>
      <c r="D233" s="14" t="s">
        <v>497</v>
      </c>
      <c r="E233" s="14" t="s">
        <v>14</v>
      </c>
      <c r="F233" s="14">
        <v>6</v>
      </c>
      <c r="G233" s="16">
        <f t="shared" si="14"/>
        <v>837200</v>
      </c>
      <c r="H233" s="16">
        <v>837200</v>
      </c>
      <c r="I233" s="16">
        <f t="shared" si="13"/>
        <v>0</v>
      </c>
      <c r="J233" s="31">
        <v>837200</v>
      </c>
      <c r="K233" s="69">
        <f t="shared" si="15"/>
        <v>0</v>
      </c>
      <c r="L233" s="50"/>
      <c r="M233" s="109"/>
      <c r="N233" s="110"/>
    </row>
    <row r="234" spans="1:14" ht="15" hidden="1" thickBot="1" x14ac:dyDescent="0.35">
      <c r="A234" s="14">
        <v>64</v>
      </c>
      <c r="B234" s="14" t="s">
        <v>1033</v>
      </c>
      <c r="C234" s="14" t="s">
        <v>989</v>
      </c>
      <c r="D234" s="14" t="s">
        <v>497</v>
      </c>
      <c r="E234" s="14" t="s">
        <v>14</v>
      </c>
      <c r="F234" s="14">
        <v>29</v>
      </c>
      <c r="G234" s="16">
        <f t="shared" si="14"/>
        <v>1810052.9</v>
      </c>
      <c r="H234" s="16">
        <v>1810052.9</v>
      </c>
      <c r="I234" s="16">
        <f t="shared" si="13"/>
        <v>0</v>
      </c>
      <c r="J234" s="31">
        <v>1810052.9</v>
      </c>
      <c r="K234" s="69">
        <f t="shared" si="15"/>
        <v>0</v>
      </c>
      <c r="L234" s="50"/>
      <c r="M234" s="109"/>
      <c r="N234" s="110"/>
    </row>
    <row r="235" spans="1:14" ht="15" hidden="1" thickBot="1" x14ac:dyDescent="0.35">
      <c r="A235" s="20">
        <v>65</v>
      </c>
      <c r="B235" s="14" t="s">
        <v>624</v>
      </c>
      <c r="C235" s="14" t="s">
        <v>625</v>
      </c>
      <c r="D235" s="14" t="s">
        <v>497</v>
      </c>
      <c r="E235" s="14" t="s">
        <v>14</v>
      </c>
      <c r="F235" s="14">
        <v>1</v>
      </c>
      <c r="G235" s="16">
        <f t="shared" si="14"/>
        <v>21210</v>
      </c>
      <c r="H235" s="16">
        <v>21210</v>
      </c>
      <c r="I235" s="16">
        <f t="shared" si="13"/>
        <v>0</v>
      </c>
      <c r="J235" s="31">
        <v>21210</v>
      </c>
      <c r="K235" s="69">
        <f t="shared" si="15"/>
        <v>0</v>
      </c>
      <c r="L235" s="50"/>
      <c r="M235" s="109"/>
      <c r="N235" s="110"/>
    </row>
    <row r="236" spans="1:14" ht="15" hidden="1" thickBot="1" x14ac:dyDescent="0.35">
      <c r="A236" s="20">
        <v>65</v>
      </c>
      <c r="B236" s="14" t="s">
        <v>624</v>
      </c>
      <c r="C236" s="14" t="s">
        <v>558</v>
      </c>
      <c r="D236" s="14" t="s">
        <v>497</v>
      </c>
      <c r="E236" s="15" t="s">
        <v>14</v>
      </c>
      <c r="F236" s="15">
        <v>13</v>
      </c>
      <c r="G236" s="16">
        <f t="shared" si="14"/>
        <v>772590</v>
      </c>
      <c r="H236" s="16">
        <v>772590</v>
      </c>
      <c r="I236" s="16">
        <f t="shared" si="13"/>
        <v>0</v>
      </c>
      <c r="J236" s="31">
        <v>772590</v>
      </c>
      <c r="K236" s="69">
        <f t="shared" si="15"/>
        <v>0</v>
      </c>
      <c r="L236" s="50"/>
      <c r="M236" s="109"/>
      <c r="N236" s="110"/>
    </row>
    <row r="237" spans="1:14" ht="15" hidden="1" thickBot="1" x14ac:dyDescent="0.35">
      <c r="A237" s="14">
        <v>66</v>
      </c>
      <c r="B237" s="14" t="s">
        <v>627</v>
      </c>
      <c r="C237" s="14" t="s">
        <v>628</v>
      </c>
      <c r="D237" s="14" t="s">
        <v>497</v>
      </c>
      <c r="E237" s="15" t="s">
        <v>14</v>
      </c>
      <c r="F237" s="15"/>
      <c r="G237" s="16">
        <f t="shared" si="14"/>
        <v>6300</v>
      </c>
      <c r="H237" s="16">
        <v>6300</v>
      </c>
      <c r="I237" s="16">
        <f t="shared" si="13"/>
        <v>0</v>
      </c>
      <c r="J237" s="31">
        <v>6300</v>
      </c>
      <c r="K237" s="69">
        <f t="shared" si="15"/>
        <v>0</v>
      </c>
      <c r="L237" s="50"/>
      <c r="M237" s="109"/>
      <c r="N237" s="110"/>
    </row>
    <row r="238" spans="1:14" ht="15" hidden="1" thickBot="1" x14ac:dyDescent="0.35">
      <c r="A238" s="14">
        <v>67</v>
      </c>
      <c r="B238" s="14" t="s">
        <v>629</v>
      </c>
      <c r="C238" s="15" t="s">
        <v>276</v>
      </c>
      <c r="D238" s="14" t="s">
        <v>497</v>
      </c>
      <c r="E238" s="15" t="s">
        <v>14</v>
      </c>
      <c r="F238" s="15">
        <v>22</v>
      </c>
      <c r="G238" s="16">
        <f t="shared" si="14"/>
        <v>530065</v>
      </c>
      <c r="H238" s="16">
        <v>530305</v>
      </c>
      <c r="I238" s="16">
        <f t="shared" si="13"/>
        <v>0</v>
      </c>
      <c r="J238" s="31">
        <v>530305</v>
      </c>
      <c r="K238" s="69">
        <f t="shared" si="15"/>
        <v>0</v>
      </c>
      <c r="L238" s="50">
        <v>240</v>
      </c>
      <c r="M238" s="109">
        <v>240</v>
      </c>
      <c r="N238" s="110"/>
    </row>
    <row r="239" spans="1:14" ht="15" hidden="1" thickBot="1" x14ac:dyDescent="0.35">
      <c r="A239" s="14">
        <v>67</v>
      </c>
      <c r="B239" s="14" t="s">
        <v>629</v>
      </c>
      <c r="C239" s="15" t="s">
        <v>953</v>
      </c>
      <c r="D239" s="14" t="s">
        <v>497</v>
      </c>
      <c r="E239" s="15" t="s">
        <v>14</v>
      </c>
      <c r="F239" s="15">
        <v>1</v>
      </c>
      <c r="G239" s="16">
        <f t="shared" si="14"/>
        <v>3200</v>
      </c>
      <c r="H239" s="16">
        <v>3200</v>
      </c>
      <c r="I239" s="16">
        <f t="shared" si="13"/>
        <v>0</v>
      </c>
      <c r="J239" s="31">
        <v>3200</v>
      </c>
      <c r="K239" s="69">
        <f t="shared" si="15"/>
        <v>0</v>
      </c>
      <c r="L239" s="50">
        <v>0</v>
      </c>
      <c r="M239" s="109">
        <v>0</v>
      </c>
      <c r="N239" s="110"/>
    </row>
    <row r="240" spans="1:14" ht="15" hidden="1" thickBot="1" x14ac:dyDescent="0.35">
      <c r="A240" s="14">
        <v>68</v>
      </c>
      <c r="B240" s="14" t="s">
        <v>630</v>
      </c>
      <c r="C240" s="15" t="s">
        <v>276</v>
      </c>
      <c r="D240" s="14" t="s">
        <v>529</v>
      </c>
      <c r="E240" s="15" t="s">
        <v>500</v>
      </c>
      <c r="F240" s="15"/>
      <c r="G240" s="16">
        <f t="shared" si="14"/>
        <v>2268</v>
      </c>
      <c r="H240" s="16">
        <v>2268</v>
      </c>
      <c r="I240" s="16">
        <f t="shared" si="13"/>
        <v>0</v>
      </c>
      <c r="J240" s="31">
        <v>2268</v>
      </c>
      <c r="K240" s="69">
        <f t="shared" si="15"/>
        <v>0</v>
      </c>
      <c r="L240" s="50"/>
      <c r="M240" s="109"/>
      <c r="N240" s="110"/>
    </row>
    <row r="241" spans="1:14" ht="15" hidden="1" thickBot="1" x14ac:dyDescent="0.35">
      <c r="A241" s="14">
        <v>68</v>
      </c>
      <c r="B241" s="14" t="s">
        <v>630</v>
      </c>
      <c r="C241" s="15" t="s">
        <v>276</v>
      </c>
      <c r="D241" s="14" t="s">
        <v>532</v>
      </c>
      <c r="E241" s="14" t="s">
        <v>500</v>
      </c>
      <c r="F241" s="14">
        <v>1</v>
      </c>
      <c r="G241" s="16">
        <f t="shared" si="14"/>
        <v>4630</v>
      </c>
      <c r="H241" s="16">
        <v>4630</v>
      </c>
      <c r="I241" s="16">
        <f t="shared" si="13"/>
        <v>0</v>
      </c>
      <c r="J241" s="31">
        <v>4630</v>
      </c>
      <c r="K241" s="69">
        <f t="shared" si="15"/>
        <v>0</v>
      </c>
      <c r="L241" s="50"/>
      <c r="M241" s="109"/>
      <c r="N241" s="110"/>
    </row>
    <row r="242" spans="1:14" ht="15" hidden="1" thickBot="1" x14ac:dyDescent="0.35">
      <c r="A242" s="14">
        <v>68</v>
      </c>
      <c r="B242" s="14" t="s">
        <v>630</v>
      </c>
      <c r="C242" s="15" t="s">
        <v>276</v>
      </c>
      <c r="D242" s="14" t="s">
        <v>530</v>
      </c>
      <c r="E242" s="15" t="s">
        <v>500</v>
      </c>
      <c r="F242" s="15"/>
      <c r="G242" s="16">
        <f t="shared" si="14"/>
        <v>2268</v>
      </c>
      <c r="H242" s="16">
        <v>2268</v>
      </c>
      <c r="I242" s="16">
        <f t="shared" si="13"/>
        <v>0</v>
      </c>
      <c r="J242" s="31">
        <v>2268</v>
      </c>
      <c r="K242" s="69">
        <f t="shared" si="15"/>
        <v>0</v>
      </c>
      <c r="L242" s="50"/>
      <c r="M242" s="109"/>
      <c r="N242" s="110"/>
    </row>
    <row r="243" spans="1:14" ht="15" hidden="1" thickBot="1" x14ac:dyDescent="0.35">
      <c r="A243" s="14">
        <v>69</v>
      </c>
      <c r="B243" s="14" t="s">
        <v>631</v>
      </c>
      <c r="C243" s="14" t="s">
        <v>632</v>
      </c>
      <c r="D243" s="14" t="s">
        <v>687</v>
      </c>
      <c r="E243" s="15" t="s">
        <v>499</v>
      </c>
      <c r="F243" s="15">
        <v>2</v>
      </c>
      <c r="G243" s="16">
        <f t="shared" si="14"/>
        <v>237500</v>
      </c>
      <c r="H243" s="16">
        <v>237500</v>
      </c>
      <c r="I243" s="16">
        <f t="shared" si="13"/>
        <v>0</v>
      </c>
      <c r="J243" s="31">
        <v>237500</v>
      </c>
      <c r="K243" s="69">
        <f t="shared" si="15"/>
        <v>0</v>
      </c>
      <c r="L243" s="50"/>
      <c r="M243" s="109"/>
      <c r="N243" s="110"/>
    </row>
    <row r="244" spans="1:14" ht="15" hidden="1" thickBot="1" x14ac:dyDescent="0.35">
      <c r="A244" s="14">
        <v>69</v>
      </c>
      <c r="B244" s="14" t="s">
        <v>631</v>
      </c>
      <c r="C244" s="14" t="s">
        <v>632</v>
      </c>
      <c r="D244" s="14" t="s">
        <v>633</v>
      </c>
      <c r="E244" s="15" t="s">
        <v>499</v>
      </c>
      <c r="F244" s="15">
        <v>2</v>
      </c>
      <c r="G244" s="16">
        <f t="shared" si="14"/>
        <v>280050</v>
      </c>
      <c r="H244" s="16">
        <v>285000</v>
      </c>
      <c r="I244" s="16">
        <f t="shared" si="13"/>
        <v>0</v>
      </c>
      <c r="J244" s="31">
        <v>285000</v>
      </c>
      <c r="K244" s="69">
        <f t="shared" si="15"/>
        <v>0</v>
      </c>
      <c r="L244" s="50">
        <v>4950</v>
      </c>
      <c r="M244" s="109">
        <v>4950</v>
      </c>
      <c r="N244" s="110"/>
    </row>
    <row r="245" spans="1:14" ht="15" hidden="1" thickBot="1" x14ac:dyDescent="0.35">
      <c r="A245" s="14">
        <v>69</v>
      </c>
      <c r="B245" s="14" t="s">
        <v>631</v>
      </c>
      <c r="C245" s="14" t="s">
        <v>632</v>
      </c>
      <c r="D245" s="14" t="s">
        <v>836</v>
      </c>
      <c r="E245" s="15" t="s">
        <v>499</v>
      </c>
      <c r="F245" s="15">
        <v>2</v>
      </c>
      <c r="G245" s="16">
        <f t="shared" si="14"/>
        <v>227600</v>
      </c>
      <c r="H245" s="16">
        <v>237500</v>
      </c>
      <c r="I245" s="16">
        <f t="shared" si="13"/>
        <v>0</v>
      </c>
      <c r="J245" s="31">
        <v>237500</v>
      </c>
      <c r="K245" s="69">
        <f t="shared" si="15"/>
        <v>0</v>
      </c>
      <c r="L245" s="50">
        <v>9900</v>
      </c>
      <c r="M245" s="109">
        <v>9900</v>
      </c>
      <c r="N245" s="110"/>
    </row>
    <row r="246" spans="1:14" ht="15" hidden="1" thickBot="1" x14ac:dyDescent="0.35">
      <c r="A246" s="14">
        <v>69</v>
      </c>
      <c r="B246" s="14" t="s">
        <v>631</v>
      </c>
      <c r="C246" s="14" t="s">
        <v>632</v>
      </c>
      <c r="D246" s="14" t="s">
        <v>634</v>
      </c>
      <c r="E246" s="15" t="s">
        <v>499</v>
      </c>
      <c r="F246" s="15">
        <v>2</v>
      </c>
      <c r="G246" s="16">
        <f t="shared" si="14"/>
        <v>230100</v>
      </c>
      <c r="H246" s="16">
        <v>237500</v>
      </c>
      <c r="I246" s="16">
        <f t="shared" si="13"/>
        <v>0</v>
      </c>
      <c r="J246" s="31">
        <v>237500</v>
      </c>
      <c r="K246" s="69">
        <f t="shared" si="15"/>
        <v>0</v>
      </c>
      <c r="L246" s="50">
        <v>7400</v>
      </c>
      <c r="M246" s="109">
        <v>7400</v>
      </c>
      <c r="N246" s="110"/>
    </row>
    <row r="247" spans="1:14" ht="15" hidden="1" thickBot="1" x14ac:dyDescent="0.35">
      <c r="A247" s="20">
        <v>70</v>
      </c>
      <c r="B247" s="14" t="s">
        <v>635</v>
      </c>
      <c r="C247" s="20" t="s">
        <v>986</v>
      </c>
      <c r="D247" s="14" t="s">
        <v>523</v>
      </c>
      <c r="E247" s="15" t="s">
        <v>508</v>
      </c>
      <c r="F247" s="15">
        <v>3</v>
      </c>
      <c r="G247" s="16">
        <f t="shared" si="14"/>
        <v>4552</v>
      </c>
      <c r="H247" s="16">
        <v>4552</v>
      </c>
      <c r="I247" s="16">
        <f t="shared" si="13"/>
        <v>0</v>
      </c>
      <c r="J247" s="31">
        <v>4552</v>
      </c>
      <c r="K247" s="69">
        <f t="shared" si="15"/>
        <v>0</v>
      </c>
      <c r="L247" s="50"/>
      <c r="M247" s="109"/>
      <c r="N247" s="110"/>
    </row>
    <row r="248" spans="1:14" ht="15" hidden="1" thickBot="1" x14ac:dyDescent="0.35">
      <c r="A248" s="20">
        <v>70</v>
      </c>
      <c r="B248" s="14" t="s">
        <v>635</v>
      </c>
      <c r="C248" s="20" t="s">
        <v>986</v>
      </c>
      <c r="D248" s="14" t="s">
        <v>522</v>
      </c>
      <c r="E248" s="15" t="s">
        <v>502</v>
      </c>
      <c r="F248" s="15">
        <v>3</v>
      </c>
      <c r="G248" s="16">
        <f t="shared" si="14"/>
        <v>4552</v>
      </c>
      <c r="H248" s="16">
        <v>4552</v>
      </c>
      <c r="I248" s="16">
        <f t="shared" si="13"/>
        <v>0</v>
      </c>
      <c r="J248" s="31">
        <v>4552</v>
      </c>
      <c r="K248" s="69">
        <f t="shared" si="15"/>
        <v>0</v>
      </c>
      <c r="L248" s="50"/>
      <c r="M248" s="109"/>
      <c r="N248" s="110"/>
    </row>
    <row r="249" spans="1:14" ht="15" hidden="1" thickBot="1" x14ac:dyDescent="0.35">
      <c r="A249" s="20">
        <v>70</v>
      </c>
      <c r="B249" s="14" t="s">
        <v>635</v>
      </c>
      <c r="C249" s="20" t="s">
        <v>986</v>
      </c>
      <c r="D249" s="14" t="s">
        <v>614</v>
      </c>
      <c r="E249" s="15" t="s">
        <v>502</v>
      </c>
      <c r="F249" s="15">
        <v>3</v>
      </c>
      <c r="G249" s="16">
        <f t="shared" si="14"/>
        <v>10224</v>
      </c>
      <c r="H249" s="16">
        <v>10224</v>
      </c>
      <c r="I249" s="16">
        <f t="shared" si="13"/>
        <v>0</v>
      </c>
      <c r="J249" s="31">
        <v>10224</v>
      </c>
      <c r="K249" s="69">
        <f t="shared" si="15"/>
        <v>0</v>
      </c>
      <c r="L249" s="50"/>
      <c r="M249" s="109"/>
      <c r="N249" s="110"/>
    </row>
    <row r="250" spans="1:14" ht="15" hidden="1" thickBot="1" x14ac:dyDescent="0.35">
      <c r="A250" s="20">
        <v>70</v>
      </c>
      <c r="B250" s="14" t="s">
        <v>635</v>
      </c>
      <c r="C250" s="20" t="s">
        <v>986</v>
      </c>
      <c r="D250" s="14" t="s">
        <v>510</v>
      </c>
      <c r="E250" s="15" t="s">
        <v>500</v>
      </c>
      <c r="F250" s="15">
        <v>1</v>
      </c>
      <c r="G250" s="16">
        <f t="shared" si="14"/>
        <v>1516</v>
      </c>
      <c r="H250" s="16">
        <v>1516</v>
      </c>
      <c r="I250" s="16">
        <f t="shared" si="13"/>
        <v>0</v>
      </c>
      <c r="J250" s="31">
        <v>1516</v>
      </c>
      <c r="K250" s="69">
        <f t="shared" si="15"/>
        <v>0</v>
      </c>
      <c r="L250" s="50"/>
      <c r="M250" s="109"/>
      <c r="N250" s="110">
        <v>0.95</v>
      </c>
    </row>
    <row r="251" spans="1:14" ht="15" hidden="1" thickBot="1" x14ac:dyDescent="0.35">
      <c r="A251" s="20">
        <v>70</v>
      </c>
      <c r="B251" s="14" t="s">
        <v>635</v>
      </c>
      <c r="C251" s="20" t="s">
        <v>986</v>
      </c>
      <c r="D251" s="14" t="s">
        <v>510</v>
      </c>
      <c r="E251" s="15" t="s">
        <v>512</v>
      </c>
      <c r="F251" s="15">
        <v>2</v>
      </c>
      <c r="G251" s="16">
        <f t="shared" si="14"/>
        <v>3605.55</v>
      </c>
      <c r="H251" s="16">
        <v>3605.55</v>
      </c>
      <c r="I251" s="16">
        <f t="shared" si="13"/>
        <v>0</v>
      </c>
      <c r="J251" s="31">
        <v>3605.55</v>
      </c>
      <c r="K251" s="69">
        <f t="shared" si="15"/>
        <v>0</v>
      </c>
      <c r="L251" s="50"/>
      <c r="M251" s="109"/>
      <c r="N251" s="110">
        <v>0.95</v>
      </c>
    </row>
    <row r="252" spans="1:14" ht="15" hidden="1" thickBot="1" x14ac:dyDescent="0.35">
      <c r="A252" s="20">
        <v>70</v>
      </c>
      <c r="B252" s="14" t="s">
        <v>635</v>
      </c>
      <c r="C252" s="20" t="s">
        <v>986</v>
      </c>
      <c r="D252" s="14" t="s">
        <v>510</v>
      </c>
      <c r="E252" s="15" t="s">
        <v>509</v>
      </c>
      <c r="F252" s="15">
        <v>2</v>
      </c>
      <c r="G252" s="16">
        <f t="shared" si="14"/>
        <v>3605.55</v>
      </c>
      <c r="H252" s="16">
        <v>3605.55</v>
      </c>
      <c r="I252" s="16">
        <f t="shared" si="13"/>
        <v>0</v>
      </c>
      <c r="J252" s="31">
        <v>3605.55</v>
      </c>
      <c r="K252" s="69">
        <f t="shared" si="15"/>
        <v>0</v>
      </c>
      <c r="L252" s="50"/>
      <c r="M252" s="109"/>
      <c r="N252" s="110">
        <v>0.95</v>
      </c>
    </row>
    <row r="253" spans="1:14" ht="15" hidden="1" thickBot="1" x14ac:dyDescent="0.35">
      <c r="A253" s="20">
        <v>70</v>
      </c>
      <c r="B253" s="14" t="s">
        <v>635</v>
      </c>
      <c r="C253" s="20" t="s">
        <v>986</v>
      </c>
      <c r="D253" s="14" t="s">
        <v>510</v>
      </c>
      <c r="E253" s="15" t="s">
        <v>504</v>
      </c>
      <c r="F253" s="15">
        <v>2</v>
      </c>
      <c r="G253" s="16">
        <f t="shared" si="14"/>
        <v>3606</v>
      </c>
      <c r="H253" s="16">
        <v>3606</v>
      </c>
      <c r="I253" s="16">
        <f t="shared" si="13"/>
        <v>0</v>
      </c>
      <c r="J253" s="31">
        <v>3606</v>
      </c>
      <c r="K253" s="69">
        <f t="shared" si="15"/>
        <v>0</v>
      </c>
      <c r="L253" s="50"/>
      <c r="M253" s="109"/>
      <c r="N253" s="110">
        <v>0.95</v>
      </c>
    </row>
    <row r="254" spans="1:14" ht="15" hidden="1" thickBot="1" x14ac:dyDescent="0.35">
      <c r="A254" s="20">
        <v>70</v>
      </c>
      <c r="B254" s="14" t="s">
        <v>635</v>
      </c>
      <c r="C254" s="20" t="s">
        <v>986</v>
      </c>
      <c r="D254" s="14" t="s">
        <v>548</v>
      </c>
      <c r="E254" s="15" t="s">
        <v>504</v>
      </c>
      <c r="F254" s="15">
        <v>2</v>
      </c>
      <c r="G254" s="16">
        <f t="shared" si="14"/>
        <v>4791</v>
      </c>
      <c r="H254" s="16">
        <v>4791</v>
      </c>
      <c r="I254" s="16">
        <f t="shared" si="13"/>
        <v>0</v>
      </c>
      <c r="J254" s="31">
        <v>4791</v>
      </c>
      <c r="K254" s="69">
        <f t="shared" si="15"/>
        <v>0</v>
      </c>
      <c r="L254" s="50"/>
      <c r="M254" s="109"/>
      <c r="N254" s="110">
        <v>0.95</v>
      </c>
    </row>
    <row r="255" spans="1:14" ht="15" hidden="1" thickBot="1" x14ac:dyDescent="0.35">
      <c r="A255" s="20">
        <v>70</v>
      </c>
      <c r="B255" s="14" t="s">
        <v>635</v>
      </c>
      <c r="C255" s="20" t="s">
        <v>986</v>
      </c>
      <c r="D255" s="14" t="s">
        <v>614</v>
      </c>
      <c r="E255" s="15" t="s">
        <v>512</v>
      </c>
      <c r="F255" s="15">
        <v>3</v>
      </c>
      <c r="G255" s="16">
        <f t="shared" si="14"/>
        <v>10728.37</v>
      </c>
      <c r="H255" s="16">
        <v>10728.37</v>
      </c>
      <c r="I255" s="16">
        <f t="shared" si="13"/>
        <v>0</v>
      </c>
      <c r="J255" s="31">
        <v>10728.37</v>
      </c>
      <c r="K255" s="69">
        <f t="shared" si="15"/>
        <v>0</v>
      </c>
      <c r="L255" s="50"/>
      <c r="M255" s="109"/>
      <c r="N255" s="110">
        <v>0.95</v>
      </c>
    </row>
    <row r="256" spans="1:14" ht="15" hidden="1" thickBot="1" x14ac:dyDescent="0.35">
      <c r="A256" s="20">
        <v>70</v>
      </c>
      <c r="B256" s="14" t="s">
        <v>635</v>
      </c>
      <c r="C256" s="20" t="s">
        <v>986</v>
      </c>
      <c r="D256" s="14" t="s">
        <v>507</v>
      </c>
      <c r="E256" s="15" t="s">
        <v>504</v>
      </c>
      <c r="F256" s="15">
        <v>2</v>
      </c>
      <c r="G256" s="16">
        <f t="shared" si="14"/>
        <v>4791</v>
      </c>
      <c r="H256" s="16">
        <v>4791</v>
      </c>
      <c r="I256" s="16">
        <f t="shared" si="13"/>
        <v>0</v>
      </c>
      <c r="J256" s="31">
        <v>4791</v>
      </c>
      <c r="K256" s="69">
        <f t="shared" si="15"/>
        <v>0</v>
      </c>
      <c r="L256" s="50"/>
      <c r="M256" s="109"/>
      <c r="N256" s="110">
        <v>0.95</v>
      </c>
    </row>
    <row r="257" spans="1:14" ht="15" hidden="1" thickBot="1" x14ac:dyDescent="0.35">
      <c r="A257" s="20">
        <v>70</v>
      </c>
      <c r="B257" s="14" t="s">
        <v>635</v>
      </c>
      <c r="C257" s="20" t="s">
        <v>986</v>
      </c>
      <c r="D257" s="14" t="s">
        <v>505</v>
      </c>
      <c r="E257" s="15" t="s">
        <v>504</v>
      </c>
      <c r="F257" s="15">
        <v>2</v>
      </c>
      <c r="G257" s="16">
        <f t="shared" si="14"/>
        <v>4791.37</v>
      </c>
      <c r="H257" s="16">
        <v>4791.37</v>
      </c>
      <c r="I257" s="16">
        <f t="shared" si="13"/>
        <v>0</v>
      </c>
      <c r="J257" s="31">
        <v>4791.37</v>
      </c>
      <c r="K257" s="69">
        <f t="shared" si="15"/>
        <v>0</v>
      </c>
      <c r="L257" s="50"/>
      <c r="M257" s="109"/>
      <c r="N257" s="110">
        <v>0.95</v>
      </c>
    </row>
    <row r="258" spans="1:14" ht="15" hidden="1" thickBot="1" x14ac:dyDescent="0.35">
      <c r="A258" s="20">
        <v>70</v>
      </c>
      <c r="B258" s="14" t="s">
        <v>635</v>
      </c>
      <c r="C258" s="20" t="s">
        <v>986</v>
      </c>
      <c r="D258" s="14" t="s">
        <v>614</v>
      </c>
      <c r="E258" s="15" t="s">
        <v>504</v>
      </c>
      <c r="F258" s="15">
        <v>2</v>
      </c>
      <c r="G258" s="16">
        <f t="shared" si="14"/>
        <v>10728.37</v>
      </c>
      <c r="H258" s="16">
        <v>10728.37</v>
      </c>
      <c r="I258" s="16">
        <f t="shared" si="13"/>
        <v>0</v>
      </c>
      <c r="J258" s="31">
        <v>10728.37</v>
      </c>
      <c r="K258" s="69">
        <f t="shared" si="15"/>
        <v>0</v>
      </c>
      <c r="L258" s="50"/>
      <c r="M258" s="109"/>
      <c r="N258" s="110">
        <v>0.9</v>
      </c>
    </row>
    <row r="259" spans="1:14" ht="15" hidden="1" thickBot="1" x14ac:dyDescent="0.35">
      <c r="A259" s="20">
        <v>70</v>
      </c>
      <c r="B259" s="14" t="s">
        <v>635</v>
      </c>
      <c r="C259" s="20" t="s">
        <v>986</v>
      </c>
      <c r="D259" s="14" t="s">
        <v>872</v>
      </c>
      <c r="E259" s="15" t="s">
        <v>512</v>
      </c>
      <c r="F259" s="15">
        <v>3</v>
      </c>
      <c r="G259" s="16">
        <f t="shared" si="14"/>
        <v>4791.37</v>
      </c>
      <c r="H259" s="16">
        <v>4791.37</v>
      </c>
      <c r="I259" s="16">
        <f>J259-H259</f>
        <v>0</v>
      </c>
      <c r="J259" s="31">
        <v>4791.37</v>
      </c>
      <c r="K259" s="69">
        <f t="shared" si="15"/>
        <v>0</v>
      </c>
      <c r="L259" s="50"/>
      <c r="M259" s="109"/>
      <c r="N259" s="110">
        <v>0.95</v>
      </c>
    </row>
    <row r="260" spans="1:14" ht="15" hidden="1" thickBot="1" x14ac:dyDescent="0.35">
      <c r="A260" s="20">
        <v>70</v>
      </c>
      <c r="B260" s="14" t="s">
        <v>635</v>
      </c>
      <c r="C260" s="20" t="s">
        <v>986</v>
      </c>
      <c r="D260" s="14" t="s">
        <v>614</v>
      </c>
      <c r="E260" s="15" t="s">
        <v>509</v>
      </c>
      <c r="F260" s="15">
        <v>2</v>
      </c>
      <c r="G260" s="16">
        <f t="shared" si="14"/>
        <v>10728</v>
      </c>
      <c r="H260" s="16">
        <v>10728</v>
      </c>
      <c r="I260" s="16">
        <f t="shared" ref="I260:I263" si="16">J260-H260</f>
        <v>0</v>
      </c>
      <c r="J260" s="31">
        <v>10728</v>
      </c>
      <c r="K260" s="69">
        <f t="shared" si="15"/>
        <v>0</v>
      </c>
      <c r="L260" s="50"/>
      <c r="M260" s="109"/>
      <c r="N260" s="110">
        <v>0.9</v>
      </c>
    </row>
    <row r="261" spans="1:14" ht="15" hidden="1" thickBot="1" x14ac:dyDescent="0.35">
      <c r="A261" s="20">
        <v>70</v>
      </c>
      <c r="B261" s="14" t="s">
        <v>635</v>
      </c>
      <c r="C261" s="20" t="s">
        <v>986</v>
      </c>
      <c r="D261" s="14" t="s">
        <v>1570</v>
      </c>
      <c r="E261" s="15" t="s">
        <v>504</v>
      </c>
      <c r="F261" s="15">
        <v>1</v>
      </c>
      <c r="G261" s="16">
        <f t="shared" si="14"/>
        <v>3628</v>
      </c>
      <c r="H261" s="16">
        <v>3628</v>
      </c>
      <c r="I261" s="16">
        <f t="shared" si="16"/>
        <v>0</v>
      </c>
      <c r="J261" s="31">
        <v>3628</v>
      </c>
      <c r="K261" s="69">
        <f t="shared" si="15"/>
        <v>0</v>
      </c>
      <c r="L261" s="50"/>
      <c r="M261" s="109"/>
      <c r="N261" s="110">
        <v>0.9</v>
      </c>
    </row>
    <row r="262" spans="1:14" ht="15" hidden="1" thickBot="1" x14ac:dyDescent="0.35">
      <c r="A262" s="20">
        <v>70</v>
      </c>
      <c r="B262" s="14" t="s">
        <v>635</v>
      </c>
      <c r="C262" s="20" t="s">
        <v>986</v>
      </c>
      <c r="D262" s="14" t="s">
        <v>752</v>
      </c>
      <c r="E262" s="15" t="s">
        <v>504</v>
      </c>
      <c r="F262" s="15">
        <v>1</v>
      </c>
      <c r="G262" s="16">
        <f t="shared" si="14"/>
        <v>2834.1</v>
      </c>
      <c r="H262" s="16">
        <v>2834.1</v>
      </c>
      <c r="I262" s="16">
        <f t="shared" si="16"/>
        <v>0</v>
      </c>
      <c r="J262" s="31">
        <v>2834.1</v>
      </c>
      <c r="K262" s="69">
        <f t="shared" si="15"/>
        <v>0</v>
      </c>
      <c r="L262" s="50"/>
      <c r="M262" s="109"/>
      <c r="N262" s="110">
        <v>0.9</v>
      </c>
    </row>
    <row r="263" spans="1:14" ht="15" hidden="1" thickBot="1" x14ac:dyDescent="0.35">
      <c r="A263" s="20">
        <v>70</v>
      </c>
      <c r="B263" s="14" t="s">
        <v>635</v>
      </c>
      <c r="C263" s="20" t="s">
        <v>986</v>
      </c>
      <c r="D263" s="14" t="s">
        <v>614</v>
      </c>
      <c r="E263" s="15" t="s">
        <v>500</v>
      </c>
      <c r="F263" s="15">
        <v>2</v>
      </c>
      <c r="G263" s="16">
        <f t="shared" si="14"/>
        <v>10728</v>
      </c>
      <c r="H263" s="16">
        <v>10728</v>
      </c>
      <c r="I263" s="16">
        <f t="shared" si="16"/>
        <v>0</v>
      </c>
      <c r="J263" s="31">
        <v>10728</v>
      </c>
      <c r="K263" s="69">
        <f t="shared" si="15"/>
        <v>0</v>
      </c>
      <c r="L263" s="50"/>
      <c r="M263" s="109"/>
      <c r="N263" s="110">
        <v>0.95</v>
      </c>
    </row>
    <row r="264" spans="1:14" ht="15" hidden="1" thickBot="1" x14ac:dyDescent="0.35">
      <c r="A264" s="20">
        <v>70</v>
      </c>
      <c r="B264" s="14" t="s">
        <v>635</v>
      </c>
      <c r="C264" s="20" t="s">
        <v>986</v>
      </c>
      <c r="D264" s="14" t="s">
        <v>547</v>
      </c>
      <c r="E264" s="15" t="s">
        <v>502</v>
      </c>
      <c r="F264" s="15">
        <v>3</v>
      </c>
      <c r="G264" s="16">
        <f t="shared" si="14"/>
        <v>4552</v>
      </c>
      <c r="H264" s="16">
        <v>4552</v>
      </c>
      <c r="I264" s="16">
        <f t="shared" si="13"/>
        <v>0</v>
      </c>
      <c r="J264" s="31">
        <v>4552</v>
      </c>
      <c r="K264" s="69">
        <f t="shared" si="15"/>
        <v>0</v>
      </c>
      <c r="L264" s="50"/>
      <c r="M264" s="109"/>
      <c r="N264" s="110"/>
    </row>
    <row r="265" spans="1:14" ht="15" hidden="1" thickBot="1" x14ac:dyDescent="0.35">
      <c r="A265" s="20">
        <v>70</v>
      </c>
      <c r="B265" s="14" t="s">
        <v>635</v>
      </c>
      <c r="C265" s="20" t="s">
        <v>636</v>
      </c>
      <c r="D265" s="14" t="s">
        <v>637</v>
      </c>
      <c r="E265" s="15" t="s">
        <v>504</v>
      </c>
      <c r="F265" s="15">
        <v>1</v>
      </c>
      <c r="G265" s="16">
        <f t="shared" si="14"/>
        <v>2611</v>
      </c>
      <c r="H265" s="16">
        <v>2611</v>
      </c>
      <c r="I265" s="16">
        <f t="shared" si="13"/>
        <v>0</v>
      </c>
      <c r="J265" s="31">
        <v>2611</v>
      </c>
      <c r="K265" s="69">
        <f t="shared" si="15"/>
        <v>0</v>
      </c>
      <c r="L265" s="50"/>
      <c r="M265" s="109"/>
      <c r="N265" s="110"/>
    </row>
    <row r="266" spans="1:14" ht="15" hidden="1" thickBot="1" x14ac:dyDescent="0.35">
      <c r="A266" s="20">
        <v>70</v>
      </c>
      <c r="B266" s="14" t="s">
        <v>635</v>
      </c>
      <c r="C266" s="20" t="s">
        <v>636</v>
      </c>
      <c r="D266" s="14" t="s">
        <v>1832</v>
      </c>
      <c r="E266" s="15" t="s">
        <v>499</v>
      </c>
      <c r="F266" s="15">
        <v>3</v>
      </c>
      <c r="G266" s="16">
        <f t="shared" si="14"/>
        <v>3316</v>
      </c>
      <c r="H266" s="16">
        <v>3316</v>
      </c>
      <c r="I266" s="16">
        <f t="shared" si="13"/>
        <v>0</v>
      </c>
      <c r="J266" s="31">
        <v>3316</v>
      </c>
      <c r="K266" s="69">
        <f t="shared" si="15"/>
        <v>0</v>
      </c>
      <c r="L266" s="50"/>
      <c r="M266" s="109"/>
      <c r="N266" s="110"/>
    </row>
    <row r="267" spans="1:14" ht="15" hidden="1" thickBot="1" x14ac:dyDescent="0.35">
      <c r="A267" s="20">
        <v>70</v>
      </c>
      <c r="B267" s="14" t="s">
        <v>635</v>
      </c>
      <c r="C267" s="20" t="s">
        <v>636</v>
      </c>
      <c r="D267" s="14" t="s">
        <v>720</v>
      </c>
      <c r="E267" s="15" t="s">
        <v>508</v>
      </c>
      <c r="F267" s="15">
        <v>2</v>
      </c>
      <c r="G267" s="16">
        <f t="shared" si="14"/>
        <v>773</v>
      </c>
      <c r="H267" s="16">
        <v>773</v>
      </c>
      <c r="I267" s="16">
        <f t="shared" ref="I267:I388" si="17">J267-H267</f>
        <v>0</v>
      </c>
      <c r="J267" s="31">
        <v>773</v>
      </c>
      <c r="K267" s="69">
        <f t="shared" si="15"/>
        <v>0</v>
      </c>
      <c r="L267" s="50"/>
      <c r="M267" s="109"/>
      <c r="N267" s="110"/>
    </row>
    <row r="268" spans="1:14" ht="15" hidden="1" thickBot="1" x14ac:dyDescent="0.35">
      <c r="A268" s="20">
        <v>70</v>
      </c>
      <c r="B268" s="14" t="s">
        <v>635</v>
      </c>
      <c r="C268" s="20" t="s">
        <v>636</v>
      </c>
      <c r="D268" s="14" t="s">
        <v>757</v>
      </c>
      <c r="E268" s="15" t="s">
        <v>512</v>
      </c>
      <c r="F268" s="15">
        <v>3</v>
      </c>
      <c r="G268" s="16">
        <f t="shared" si="14"/>
        <v>3267</v>
      </c>
      <c r="H268" s="16">
        <v>3267</v>
      </c>
      <c r="I268" s="16">
        <f t="shared" si="17"/>
        <v>0</v>
      </c>
      <c r="J268" s="31">
        <v>3267</v>
      </c>
      <c r="K268" s="69">
        <f t="shared" si="15"/>
        <v>0</v>
      </c>
      <c r="L268" s="50"/>
      <c r="M268" s="109"/>
      <c r="N268" s="110"/>
    </row>
    <row r="269" spans="1:14" ht="15" hidden="1" thickBot="1" x14ac:dyDescent="0.35">
      <c r="A269" s="20">
        <v>70</v>
      </c>
      <c r="B269" s="14" t="s">
        <v>635</v>
      </c>
      <c r="C269" s="20" t="s">
        <v>636</v>
      </c>
      <c r="D269" s="14" t="s">
        <v>806</v>
      </c>
      <c r="E269" s="15" t="s">
        <v>506</v>
      </c>
      <c r="F269" s="15">
        <v>2</v>
      </c>
      <c r="G269" s="16">
        <f t="shared" si="14"/>
        <v>2600</v>
      </c>
      <c r="H269" s="16">
        <v>2600</v>
      </c>
      <c r="I269" s="16">
        <f t="shared" si="17"/>
        <v>0</v>
      </c>
      <c r="J269" s="31">
        <v>2600</v>
      </c>
      <c r="K269" s="69">
        <f t="shared" si="15"/>
        <v>0</v>
      </c>
      <c r="L269" s="50"/>
      <c r="M269" s="109"/>
      <c r="N269" s="110"/>
    </row>
    <row r="270" spans="1:14" ht="15" hidden="1" thickBot="1" x14ac:dyDescent="0.35">
      <c r="A270" s="20">
        <v>70</v>
      </c>
      <c r="B270" s="14" t="s">
        <v>635</v>
      </c>
      <c r="C270" s="20" t="s">
        <v>636</v>
      </c>
      <c r="D270" s="14" t="s">
        <v>525</v>
      </c>
      <c r="E270" s="15" t="s">
        <v>509</v>
      </c>
      <c r="F270" s="15">
        <v>1</v>
      </c>
      <c r="G270" s="16">
        <f t="shared" si="14"/>
        <v>1016</v>
      </c>
      <c r="H270" s="16">
        <v>1016</v>
      </c>
      <c r="I270" s="16">
        <f t="shared" si="17"/>
        <v>0</v>
      </c>
      <c r="J270" s="31">
        <v>1016</v>
      </c>
      <c r="K270" s="69">
        <f t="shared" si="15"/>
        <v>0</v>
      </c>
      <c r="L270" s="50"/>
      <c r="M270" s="109"/>
      <c r="N270" s="110"/>
    </row>
    <row r="271" spans="1:14" ht="15" hidden="1" thickBot="1" x14ac:dyDescent="0.35">
      <c r="A271" s="20">
        <v>70</v>
      </c>
      <c r="B271" s="14" t="s">
        <v>635</v>
      </c>
      <c r="C271" s="20" t="s">
        <v>636</v>
      </c>
      <c r="D271" s="14" t="s">
        <v>526</v>
      </c>
      <c r="E271" s="15" t="s">
        <v>509</v>
      </c>
      <c r="F271" s="15">
        <v>2</v>
      </c>
      <c r="G271" s="16">
        <f t="shared" si="14"/>
        <v>1285</v>
      </c>
      <c r="H271" s="16">
        <v>1285</v>
      </c>
      <c r="I271" s="16">
        <f t="shared" si="17"/>
        <v>0</v>
      </c>
      <c r="J271" s="31">
        <v>1285</v>
      </c>
      <c r="K271" s="69">
        <f t="shared" si="15"/>
        <v>0</v>
      </c>
      <c r="L271" s="50"/>
      <c r="M271" s="109"/>
      <c r="N271" s="110"/>
    </row>
    <row r="272" spans="1:14" ht="15" hidden="1" thickBot="1" x14ac:dyDescent="0.35">
      <c r="A272" s="20">
        <v>70</v>
      </c>
      <c r="B272" s="14" t="s">
        <v>635</v>
      </c>
      <c r="C272" s="20" t="s">
        <v>636</v>
      </c>
      <c r="D272" s="14" t="s">
        <v>638</v>
      </c>
      <c r="E272" s="15" t="s">
        <v>509</v>
      </c>
      <c r="F272" s="15">
        <v>2</v>
      </c>
      <c r="G272" s="16">
        <f t="shared" si="14"/>
        <v>772</v>
      </c>
      <c r="H272" s="16">
        <v>772</v>
      </c>
      <c r="I272" s="16">
        <f t="shared" si="17"/>
        <v>0</v>
      </c>
      <c r="J272" s="31">
        <v>772</v>
      </c>
      <c r="K272" s="69">
        <f t="shared" si="15"/>
        <v>0</v>
      </c>
      <c r="L272" s="50"/>
      <c r="M272" s="109"/>
      <c r="N272" s="110"/>
    </row>
    <row r="273" spans="1:14" ht="15" hidden="1" thickBot="1" x14ac:dyDescent="0.35">
      <c r="A273" s="20">
        <v>70</v>
      </c>
      <c r="B273" s="14" t="s">
        <v>635</v>
      </c>
      <c r="C273" s="20" t="s">
        <v>636</v>
      </c>
      <c r="D273" s="14" t="s">
        <v>638</v>
      </c>
      <c r="E273" s="15" t="s">
        <v>508</v>
      </c>
      <c r="F273" s="15">
        <v>2</v>
      </c>
      <c r="G273" s="16">
        <f t="shared" si="14"/>
        <v>748</v>
      </c>
      <c r="H273" s="16">
        <v>748</v>
      </c>
      <c r="I273" s="16">
        <f t="shared" si="17"/>
        <v>0</v>
      </c>
      <c r="J273" s="31">
        <v>748</v>
      </c>
      <c r="K273" s="69">
        <f t="shared" si="15"/>
        <v>0</v>
      </c>
      <c r="L273" s="50"/>
      <c r="M273" s="109"/>
      <c r="N273" s="110"/>
    </row>
    <row r="274" spans="1:14" ht="15" hidden="1" thickBot="1" x14ac:dyDescent="0.35">
      <c r="A274" s="20">
        <v>70</v>
      </c>
      <c r="B274" s="14" t="s">
        <v>635</v>
      </c>
      <c r="C274" s="20" t="s">
        <v>636</v>
      </c>
      <c r="D274" s="14" t="s">
        <v>638</v>
      </c>
      <c r="E274" s="15" t="s">
        <v>500</v>
      </c>
      <c r="F274" s="15">
        <v>2</v>
      </c>
      <c r="G274" s="16">
        <f t="shared" si="14"/>
        <v>3466</v>
      </c>
      <c r="H274" s="16">
        <v>3466</v>
      </c>
      <c r="I274" s="16">
        <f t="shared" si="17"/>
        <v>0</v>
      </c>
      <c r="J274" s="31">
        <v>3466</v>
      </c>
      <c r="K274" s="69">
        <f t="shared" si="15"/>
        <v>0</v>
      </c>
      <c r="L274" s="50"/>
      <c r="M274" s="109"/>
      <c r="N274" s="110"/>
    </row>
    <row r="275" spans="1:14" ht="15" hidden="1" thickBot="1" x14ac:dyDescent="0.35">
      <c r="A275" s="20">
        <v>70</v>
      </c>
      <c r="B275" s="14" t="s">
        <v>635</v>
      </c>
      <c r="C275" s="20" t="s">
        <v>636</v>
      </c>
      <c r="D275" s="14" t="s">
        <v>638</v>
      </c>
      <c r="E275" s="15" t="s">
        <v>504</v>
      </c>
      <c r="F275" s="15">
        <v>2</v>
      </c>
      <c r="G275" s="16">
        <f t="shared" si="14"/>
        <v>748</v>
      </c>
      <c r="H275" s="16">
        <v>748</v>
      </c>
      <c r="I275" s="16">
        <f t="shared" si="17"/>
        <v>0</v>
      </c>
      <c r="J275" s="31">
        <v>748</v>
      </c>
      <c r="K275" s="69">
        <f t="shared" si="15"/>
        <v>0</v>
      </c>
      <c r="L275" s="50"/>
      <c r="M275" s="109"/>
      <c r="N275" s="110"/>
    </row>
    <row r="276" spans="1:14" ht="15" hidden="1" thickBot="1" x14ac:dyDescent="0.35">
      <c r="A276" s="20">
        <v>70</v>
      </c>
      <c r="B276" s="14" t="s">
        <v>635</v>
      </c>
      <c r="C276" s="20" t="s">
        <v>636</v>
      </c>
      <c r="D276" s="14" t="s">
        <v>761</v>
      </c>
      <c r="E276" s="15" t="s">
        <v>500</v>
      </c>
      <c r="F276" s="15">
        <v>2</v>
      </c>
      <c r="G276" s="16">
        <f t="shared" si="14"/>
        <v>4398</v>
      </c>
      <c r="H276" s="16">
        <v>4398</v>
      </c>
      <c r="I276" s="16">
        <f t="shared" si="17"/>
        <v>0</v>
      </c>
      <c r="J276" s="31">
        <v>4398</v>
      </c>
      <c r="K276" s="69">
        <f t="shared" si="15"/>
        <v>0</v>
      </c>
      <c r="L276" s="50"/>
      <c r="M276" s="109"/>
      <c r="N276" s="110"/>
    </row>
    <row r="277" spans="1:14" ht="15" hidden="1" thickBot="1" x14ac:dyDescent="0.35">
      <c r="A277" s="20">
        <v>70</v>
      </c>
      <c r="B277" s="14" t="s">
        <v>635</v>
      </c>
      <c r="C277" s="20" t="s">
        <v>636</v>
      </c>
      <c r="D277" s="14" t="s">
        <v>760</v>
      </c>
      <c r="E277" s="15" t="s">
        <v>500</v>
      </c>
      <c r="F277" s="15">
        <v>2</v>
      </c>
      <c r="G277" s="16">
        <f t="shared" si="14"/>
        <v>4622</v>
      </c>
      <c r="H277" s="16">
        <v>4622</v>
      </c>
      <c r="I277" s="16">
        <f t="shared" si="17"/>
        <v>0</v>
      </c>
      <c r="J277" s="31">
        <v>4622</v>
      </c>
      <c r="K277" s="69">
        <f t="shared" si="15"/>
        <v>0</v>
      </c>
      <c r="L277" s="50"/>
      <c r="M277" s="109"/>
      <c r="N277" s="110"/>
    </row>
    <row r="278" spans="1:14" ht="15" hidden="1" thickBot="1" x14ac:dyDescent="0.35">
      <c r="A278" s="20">
        <v>70</v>
      </c>
      <c r="B278" s="14" t="s">
        <v>635</v>
      </c>
      <c r="C278" s="20" t="s">
        <v>636</v>
      </c>
      <c r="D278" s="14" t="s">
        <v>614</v>
      </c>
      <c r="E278" s="15" t="s">
        <v>504</v>
      </c>
      <c r="F278" s="15">
        <v>1</v>
      </c>
      <c r="G278" s="16">
        <f t="shared" si="14"/>
        <v>8822</v>
      </c>
      <c r="H278" s="16">
        <v>8822</v>
      </c>
      <c r="I278" s="16">
        <f>J278-H278</f>
        <v>0</v>
      </c>
      <c r="J278" s="31">
        <v>8822</v>
      </c>
      <c r="K278" s="69">
        <f t="shared" si="15"/>
        <v>0</v>
      </c>
      <c r="L278" s="50"/>
      <c r="M278" s="109"/>
      <c r="N278" s="110"/>
    </row>
    <row r="279" spans="1:14" ht="15" hidden="1" thickBot="1" x14ac:dyDescent="0.35">
      <c r="A279" s="20">
        <v>70</v>
      </c>
      <c r="B279" s="14" t="s">
        <v>635</v>
      </c>
      <c r="C279" s="20" t="s">
        <v>636</v>
      </c>
      <c r="D279" s="14" t="s">
        <v>510</v>
      </c>
      <c r="E279" s="15" t="s">
        <v>503</v>
      </c>
      <c r="F279" s="15">
        <v>2</v>
      </c>
      <c r="G279" s="16">
        <f t="shared" si="14"/>
        <v>3419</v>
      </c>
      <c r="H279" s="16">
        <v>3419</v>
      </c>
      <c r="I279" s="16">
        <f>J279-H279</f>
        <v>0</v>
      </c>
      <c r="J279" s="31">
        <v>3419</v>
      </c>
      <c r="K279" s="69">
        <f t="shared" si="15"/>
        <v>0</v>
      </c>
      <c r="L279" s="50"/>
      <c r="M279" s="109"/>
      <c r="N279" s="110"/>
    </row>
    <row r="280" spans="1:14" ht="15" hidden="1" thickBot="1" x14ac:dyDescent="0.35">
      <c r="A280" s="20">
        <v>70</v>
      </c>
      <c r="B280" s="14" t="s">
        <v>635</v>
      </c>
      <c r="C280" s="20" t="s">
        <v>636</v>
      </c>
      <c r="D280" s="14" t="s">
        <v>510</v>
      </c>
      <c r="E280" s="15" t="s">
        <v>508</v>
      </c>
      <c r="F280" s="15">
        <v>2</v>
      </c>
      <c r="G280" s="16">
        <f t="shared" si="14"/>
        <v>532</v>
      </c>
      <c r="H280" s="16">
        <v>532</v>
      </c>
      <c r="I280" s="16">
        <f>J280-H280</f>
        <v>0</v>
      </c>
      <c r="J280" s="31">
        <v>532</v>
      </c>
      <c r="K280" s="69">
        <f t="shared" si="15"/>
        <v>0</v>
      </c>
      <c r="L280" s="50"/>
      <c r="M280" s="109"/>
      <c r="N280" s="110"/>
    </row>
    <row r="281" spans="1:14" ht="15" hidden="1" thickBot="1" x14ac:dyDescent="0.35">
      <c r="A281" s="20">
        <v>70</v>
      </c>
      <c r="B281" s="14" t="s">
        <v>635</v>
      </c>
      <c r="C281" s="20" t="s">
        <v>636</v>
      </c>
      <c r="D281" s="14" t="s">
        <v>1831</v>
      </c>
      <c r="E281" s="15" t="s">
        <v>504</v>
      </c>
      <c r="F281" s="15">
        <v>1</v>
      </c>
      <c r="G281" s="16">
        <f t="shared" si="14"/>
        <v>1290</v>
      </c>
      <c r="H281" s="16">
        <v>1290</v>
      </c>
      <c r="I281" s="16">
        <f t="shared" si="17"/>
        <v>0</v>
      </c>
      <c r="J281" s="31">
        <v>1290</v>
      </c>
      <c r="K281" s="69">
        <f t="shared" si="15"/>
        <v>0</v>
      </c>
      <c r="L281" s="50"/>
      <c r="M281" s="109"/>
      <c r="N281" s="110"/>
    </row>
    <row r="282" spans="1:14" ht="15" hidden="1" thickBot="1" x14ac:dyDescent="0.35">
      <c r="A282" s="20">
        <v>70</v>
      </c>
      <c r="B282" s="14" t="s">
        <v>635</v>
      </c>
      <c r="C282" s="20" t="s">
        <v>636</v>
      </c>
      <c r="D282" s="14" t="s">
        <v>532</v>
      </c>
      <c r="E282" s="15" t="s">
        <v>500</v>
      </c>
      <c r="F282" s="15">
        <v>1</v>
      </c>
      <c r="G282" s="16">
        <f t="shared" si="14"/>
        <v>1265</v>
      </c>
      <c r="H282" s="16">
        <v>1265</v>
      </c>
      <c r="I282" s="16">
        <f t="shared" si="17"/>
        <v>0</v>
      </c>
      <c r="J282" s="31">
        <v>1265</v>
      </c>
      <c r="K282" s="69">
        <f t="shared" si="15"/>
        <v>0</v>
      </c>
      <c r="L282" s="50"/>
      <c r="M282" s="109"/>
      <c r="N282" s="110"/>
    </row>
    <row r="283" spans="1:14" ht="15" hidden="1" thickBot="1" x14ac:dyDescent="0.35">
      <c r="A283" s="20">
        <v>70</v>
      </c>
      <c r="B283" s="14" t="s">
        <v>635</v>
      </c>
      <c r="C283" s="20" t="s">
        <v>636</v>
      </c>
      <c r="D283" s="14" t="s">
        <v>515</v>
      </c>
      <c r="E283" s="15" t="s">
        <v>512</v>
      </c>
      <c r="F283" s="15">
        <v>1</v>
      </c>
      <c r="G283" s="16">
        <f t="shared" si="14"/>
        <v>2597</v>
      </c>
      <c r="H283" s="16">
        <v>2597</v>
      </c>
      <c r="I283" s="16">
        <f t="shared" si="17"/>
        <v>0</v>
      </c>
      <c r="J283" s="31">
        <v>2597</v>
      </c>
      <c r="K283" s="69">
        <f t="shared" si="15"/>
        <v>0</v>
      </c>
      <c r="L283" s="50"/>
      <c r="M283" s="109"/>
      <c r="N283" s="110"/>
    </row>
    <row r="284" spans="1:14" ht="15" hidden="1" thickBot="1" x14ac:dyDescent="0.35">
      <c r="A284" s="20">
        <v>70</v>
      </c>
      <c r="B284" s="14" t="s">
        <v>635</v>
      </c>
      <c r="C284" s="20" t="s">
        <v>636</v>
      </c>
      <c r="D284" s="14" t="s">
        <v>527</v>
      </c>
      <c r="E284" s="15" t="s">
        <v>500</v>
      </c>
      <c r="F284" s="15">
        <v>1</v>
      </c>
      <c r="G284" s="16">
        <f t="shared" si="14"/>
        <v>853</v>
      </c>
      <c r="H284" s="16">
        <v>853</v>
      </c>
      <c r="I284" s="16">
        <f t="shared" si="17"/>
        <v>0</v>
      </c>
      <c r="J284" s="31">
        <v>853</v>
      </c>
      <c r="K284" s="69">
        <f t="shared" si="15"/>
        <v>0</v>
      </c>
      <c r="L284" s="50"/>
      <c r="M284" s="109"/>
      <c r="N284" s="110"/>
    </row>
    <row r="285" spans="1:14" ht="15" hidden="1" thickBot="1" x14ac:dyDescent="0.35">
      <c r="A285" s="20">
        <v>70</v>
      </c>
      <c r="B285" s="14" t="s">
        <v>635</v>
      </c>
      <c r="C285" s="20" t="s">
        <v>636</v>
      </c>
      <c r="D285" s="14" t="s">
        <v>528</v>
      </c>
      <c r="E285" s="15"/>
      <c r="F285" s="15">
        <v>1</v>
      </c>
      <c r="G285" s="16">
        <f t="shared" si="14"/>
        <v>1748</v>
      </c>
      <c r="H285" s="16">
        <v>1748</v>
      </c>
      <c r="I285" s="16">
        <f t="shared" si="17"/>
        <v>0</v>
      </c>
      <c r="J285" s="31">
        <v>1748</v>
      </c>
      <c r="K285" s="69">
        <f t="shared" si="15"/>
        <v>0</v>
      </c>
      <c r="L285" s="50"/>
      <c r="M285" s="109"/>
      <c r="N285" s="110"/>
    </row>
    <row r="286" spans="1:14" ht="15" hidden="1" thickBot="1" x14ac:dyDescent="0.35">
      <c r="A286" s="20">
        <v>70</v>
      </c>
      <c r="B286" s="14" t="s">
        <v>635</v>
      </c>
      <c r="C286" s="20" t="s">
        <v>636</v>
      </c>
      <c r="D286" s="14" t="s">
        <v>518</v>
      </c>
      <c r="E286" s="15" t="s">
        <v>503</v>
      </c>
      <c r="F286" s="15">
        <v>2</v>
      </c>
      <c r="G286" s="16">
        <f t="shared" si="14"/>
        <v>416</v>
      </c>
      <c r="H286" s="16">
        <v>416</v>
      </c>
      <c r="I286" s="16">
        <f t="shared" si="17"/>
        <v>0</v>
      </c>
      <c r="J286" s="31">
        <v>416</v>
      </c>
      <c r="K286" s="69">
        <f t="shared" si="15"/>
        <v>0</v>
      </c>
      <c r="L286" s="50"/>
      <c r="M286" s="109"/>
      <c r="N286" s="110"/>
    </row>
    <row r="287" spans="1:14" ht="15" hidden="1" thickBot="1" x14ac:dyDescent="0.35">
      <c r="A287" s="20">
        <v>70</v>
      </c>
      <c r="B287" s="14" t="s">
        <v>635</v>
      </c>
      <c r="C287" s="20" t="s">
        <v>636</v>
      </c>
      <c r="D287" s="14" t="s">
        <v>521</v>
      </c>
      <c r="E287" s="15" t="s">
        <v>500</v>
      </c>
      <c r="F287" s="15">
        <v>1</v>
      </c>
      <c r="G287" s="16">
        <f t="shared" si="14"/>
        <v>869</v>
      </c>
      <c r="H287" s="16">
        <v>869</v>
      </c>
      <c r="I287" s="16">
        <f t="shared" si="17"/>
        <v>0</v>
      </c>
      <c r="J287" s="31">
        <v>869</v>
      </c>
      <c r="K287" s="69">
        <f t="shared" si="15"/>
        <v>0</v>
      </c>
      <c r="L287" s="50"/>
      <c r="M287" s="109"/>
      <c r="N287" s="110"/>
    </row>
    <row r="288" spans="1:14" ht="15" hidden="1" thickBot="1" x14ac:dyDescent="0.35">
      <c r="A288" s="20">
        <v>70</v>
      </c>
      <c r="B288" s="14" t="s">
        <v>635</v>
      </c>
      <c r="C288" s="20" t="s">
        <v>636</v>
      </c>
      <c r="D288" s="14" t="s">
        <v>511</v>
      </c>
      <c r="E288" s="15"/>
      <c r="F288" s="15">
        <v>2</v>
      </c>
      <c r="G288" s="16">
        <f t="shared" si="14"/>
        <v>1773</v>
      </c>
      <c r="H288" s="16">
        <v>1773</v>
      </c>
      <c r="I288" s="16">
        <f t="shared" si="17"/>
        <v>0</v>
      </c>
      <c r="J288" s="31">
        <v>1773</v>
      </c>
      <c r="K288" s="69">
        <f t="shared" si="15"/>
        <v>0</v>
      </c>
      <c r="L288" s="50"/>
      <c r="M288" s="109"/>
      <c r="N288" s="110"/>
    </row>
    <row r="289" spans="1:14" ht="15" hidden="1" thickBot="1" x14ac:dyDescent="0.35">
      <c r="A289" s="20">
        <v>70</v>
      </c>
      <c r="B289" s="14" t="s">
        <v>635</v>
      </c>
      <c r="C289" s="20" t="s">
        <v>636</v>
      </c>
      <c r="D289" s="14" t="s">
        <v>510</v>
      </c>
      <c r="E289" s="15" t="s">
        <v>502</v>
      </c>
      <c r="F289" s="15">
        <v>3</v>
      </c>
      <c r="G289" s="16">
        <f t="shared" si="14"/>
        <v>3419</v>
      </c>
      <c r="H289" s="16">
        <v>3419</v>
      </c>
      <c r="I289" s="16">
        <f t="shared" si="17"/>
        <v>0</v>
      </c>
      <c r="J289" s="31">
        <v>3419</v>
      </c>
      <c r="K289" s="69">
        <f t="shared" si="15"/>
        <v>0</v>
      </c>
      <c r="L289" s="50"/>
      <c r="M289" s="109"/>
      <c r="N289" s="110"/>
    </row>
    <row r="290" spans="1:14" ht="15" hidden="1" thickBot="1" x14ac:dyDescent="0.35">
      <c r="A290" s="20">
        <v>70</v>
      </c>
      <c r="B290" s="14" t="s">
        <v>635</v>
      </c>
      <c r="C290" s="20" t="s">
        <v>636</v>
      </c>
      <c r="D290" s="14" t="s">
        <v>614</v>
      </c>
      <c r="E290" s="15" t="s">
        <v>499</v>
      </c>
      <c r="F290" s="15">
        <v>4</v>
      </c>
      <c r="G290" s="16">
        <f t="shared" si="14"/>
        <v>10224</v>
      </c>
      <c r="H290" s="16">
        <v>10224</v>
      </c>
      <c r="I290" s="16">
        <f t="shared" si="17"/>
        <v>0</v>
      </c>
      <c r="J290" s="31">
        <v>10224</v>
      </c>
      <c r="K290" s="69">
        <f t="shared" si="15"/>
        <v>0</v>
      </c>
      <c r="L290" s="50"/>
      <c r="M290" s="109"/>
      <c r="N290" s="110"/>
    </row>
    <row r="291" spans="1:14" ht="15" hidden="1" thickBot="1" x14ac:dyDescent="0.35">
      <c r="A291" s="20">
        <v>70</v>
      </c>
      <c r="B291" s="14" t="s">
        <v>635</v>
      </c>
      <c r="C291" s="20" t="s">
        <v>636</v>
      </c>
      <c r="D291" s="14" t="s">
        <v>614</v>
      </c>
      <c r="E291" s="15" t="s">
        <v>508</v>
      </c>
      <c r="F291" s="15">
        <v>2</v>
      </c>
      <c r="G291" s="16">
        <f t="shared" si="14"/>
        <v>988</v>
      </c>
      <c r="H291" s="16">
        <v>988</v>
      </c>
      <c r="I291" s="16">
        <f t="shared" si="17"/>
        <v>0</v>
      </c>
      <c r="J291" s="31">
        <v>988</v>
      </c>
      <c r="K291" s="69">
        <f t="shared" si="15"/>
        <v>0</v>
      </c>
      <c r="L291" s="50"/>
      <c r="M291" s="109"/>
      <c r="N291" s="110"/>
    </row>
    <row r="292" spans="1:14" ht="15" hidden="1" thickBot="1" x14ac:dyDescent="0.35">
      <c r="A292" s="20">
        <v>70</v>
      </c>
      <c r="B292" s="14" t="s">
        <v>635</v>
      </c>
      <c r="C292" s="20" t="s">
        <v>636</v>
      </c>
      <c r="D292" s="14" t="s">
        <v>614</v>
      </c>
      <c r="E292" s="15" t="s">
        <v>506</v>
      </c>
      <c r="F292" s="15">
        <v>2</v>
      </c>
      <c r="G292" s="16">
        <f t="shared" si="14"/>
        <v>10728</v>
      </c>
      <c r="H292" s="16">
        <v>10728</v>
      </c>
      <c r="I292" s="16">
        <f t="shared" si="17"/>
        <v>0</v>
      </c>
      <c r="J292" s="31">
        <v>10728</v>
      </c>
      <c r="K292" s="69">
        <f t="shared" si="15"/>
        <v>0</v>
      </c>
      <c r="L292" s="50"/>
      <c r="M292" s="109"/>
      <c r="N292" s="110"/>
    </row>
    <row r="293" spans="1:14" ht="15" hidden="1" thickBot="1" x14ac:dyDescent="0.35">
      <c r="A293" s="20">
        <v>70</v>
      </c>
      <c r="B293" s="14" t="s">
        <v>635</v>
      </c>
      <c r="C293" s="20" t="s">
        <v>636</v>
      </c>
      <c r="D293" s="14" t="s">
        <v>510</v>
      </c>
      <c r="E293" s="15" t="s">
        <v>506</v>
      </c>
      <c r="F293" s="15">
        <v>2</v>
      </c>
      <c r="G293" s="16">
        <f t="shared" si="14"/>
        <v>3606</v>
      </c>
      <c r="H293" s="16">
        <v>3606</v>
      </c>
      <c r="I293" s="16">
        <f t="shared" si="17"/>
        <v>0</v>
      </c>
      <c r="J293" s="31">
        <v>3606</v>
      </c>
      <c r="K293" s="69">
        <f t="shared" si="15"/>
        <v>0</v>
      </c>
      <c r="L293" s="50"/>
      <c r="M293" s="109"/>
      <c r="N293" s="110"/>
    </row>
    <row r="294" spans="1:14" ht="15" hidden="1" thickBot="1" x14ac:dyDescent="0.35">
      <c r="A294" s="20">
        <v>70</v>
      </c>
      <c r="B294" s="14" t="s">
        <v>635</v>
      </c>
      <c r="C294" s="20" t="s">
        <v>636</v>
      </c>
      <c r="D294" s="14" t="s">
        <v>510</v>
      </c>
      <c r="E294" s="15" t="s">
        <v>499</v>
      </c>
      <c r="F294" s="15">
        <v>3</v>
      </c>
      <c r="G294" s="16">
        <f t="shared" si="14"/>
        <v>3419</v>
      </c>
      <c r="H294" s="16">
        <v>3419</v>
      </c>
      <c r="I294" s="16">
        <f t="shared" si="17"/>
        <v>0</v>
      </c>
      <c r="J294" s="31">
        <v>3419</v>
      </c>
      <c r="K294" s="69">
        <f t="shared" si="15"/>
        <v>0</v>
      </c>
      <c r="L294" s="50"/>
      <c r="M294" s="109"/>
      <c r="N294" s="110"/>
    </row>
    <row r="295" spans="1:14" ht="15" hidden="1" thickBot="1" x14ac:dyDescent="0.35">
      <c r="A295" s="20">
        <v>70</v>
      </c>
      <c r="B295" s="14" t="s">
        <v>635</v>
      </c>
      <c r="C295" s="20" t="s">
        <v>636</v>
      </c>
      <c r="D295" s="14" t="s">
        <v>614</v>
      </c>
      <c r="E295" s="15" t="s">
        <v>503</v>
      </c>
      <c r="F295" s="15">
        <v>3</v>
      </c>
      <c r="G295" s="16">
        <f t="shared" si="14"/>
        <v>10224</v>
      </c>
      <c r="H295" s="16">
        <v>10224</v>
      </c>
      <c r="I295" s="16">
        <f t="shared" si="17"/>
        <v>0</v>
      </c>
      <c r="J295" s="31">
        <v>10224</v>
      </c>
      <c r="K295" s="69">
        <f t="shared" si="15"/>
        <v>0</v>
      </c>
      <c r="L295" s="50"/>
      <c r="M295" s="109"/>
      <c r="N295" s="110"/>
    </row>
    <row r="296" spans="1:14" ht="15" hidden="1" thickBot="1" x14ac:dyDescent="0.35">
      <c r="A296" s="20">
        <v>70</v>
      </c>
      <c r="B296" s="14" t="s">
        <v>635</v>
      </c>
      <c r="C296" s="20" t="s">
        <v>636</v>
      </c>
      <c r="D296" s="14" t="s">
        <v>524</v>
      </c>
      <c r="E296" s="15" t="s">
        <v>503</v>
      </c>
      <c r="F296" s="15">
        <v>1</v>
      </c>
      <c r="G296" s="16">
        <f t="shared" si="14"/>
        <v>2522</v>
      </c>
      <c r="H296" s="16">
        <v>2522</v>
      </c>
      <c r="I296" s="16">
        <f t="shared" si="17"/>
        <v>0</v>
      </c>
      <c r="J296" s="31">
        <v>2522</v>
      </c>
      <c r="K296" s="69">
        <f t="shared" si="15"/>
        <v>0</v>
      </c>
      <c r="L296" s="50"/>
      <c r="M296" s="109"/>
      <c r="N296" s="110"/>
    </row>
    <row r="297" spans="1:14" ht="15" hidden="1" thickBot="1" x14ac:dyDescent="0.35">
      <c r="A297" s="20">
        <v>70</v>
      </c>
      <c r="B297" s="14" t="s">
        <v>635</v>
      </c>
      <c r="C297" s="20" t="s">
        <v>636</v>
      </c>
      <c r="D297" s="14" t="s">
        <v>517</v>
      </c>
      <c r="E297" s="15"/>
      <c r="F297" s="15">
        <v>2</v>
      </c>
      <c r="G297" s="16">
        <f t="shared" ref="G297:G394" si="18">H297-M297</f>
        <v>377</v>
      </c>
      <c r="H297" s="16">
        <v>377</v>
      </c>
      <c r="I297" s="16">
        <f t="shared" si="17"/>
        <v>0</v>
      </c>
      <c r="J297" s="31">
        <v>377</v>
      </c>
      <c r="K297" s="69">
        <f t="shared" ref="K297:K396" si="19">M297-L297</f>
        <v>0</v>
      </c>
      <c r="L297" s="50"/>
      <c r="M297" s="109"/>
      <c r="N297" s="110"/>
    </row>
    <row r="298" spans="1:14" ht="15" hidden="1" thickBot="1" x14ac:dyDescent="0.35">
      <c r="A298" s="20">
        <v>70</v>
      </c>
      <c r="B298" s="14" t="s">
        <v>635</v>
      </c>
      <c r="C298" s="20" t="s">
        <v>636</v>
      </c>
      <c r="D298" s="14" t="s">
        <v>516</v>
      </c>
      <c r="E298" s="15" t="s">
        <v>509</v>
      </c>
      <c r="F298" s="15">
        <v>1</v>
      </c>
      <c r="G298" s="16">
        <f t="shared" si="18"/>
        <v>1339</v>
      </c>
      <c r="H298" s="16">
        <v>1339</v>
      </c>
      <c r="I298" s="16">
        <f t="shared" si="17"/>
        <v>0</v>
      </c>
      <c r="J298" s="31">
        <v>1339</v>
      </c>
      <c r="K298" s="69">
        <f t="shared" si="19"/>
        <v>0</v>
      </c>
      <c r="L298" s="50"/>
      <c r="M298" s="109"/>
      <c r="N298" s="110"/>
    </row>
    <row r="299" spans="1:14" ht="15" hidden="1" thickBot="1" x14ac:dyDescent="0.35">
      <c r="A299" s="14">
        <v>71</v>
      </c>
      <c r="B299" s="14" t="s">
        <v>639</v>
      </c>
      <c r="C299" s="14" t="s">
        <v>1272</v>
      </c>
      <c r="D299" s="14" t="s">
        <v>760</v>
      </c>
      <c r="E299" s="15" t="s">
        <v>500</v>
      </c>
      <c r="F299" s="15">
        <v>2</v>
      </c>
      <c r="G299" s="16">
        <f t="shared" si="18"/>
        <v>30178</v>
      </c>
      <c r="H299" s="16">
        <v>30178</v>
      </c>
      <c r="I299" s="16">
        <f t="shared" si="17"/>
        <v>0</v>
      </c>
      <c r="J299" s="31">
        <v>30178</v>
      </c>
      <c r="K299" s="69">
        <f t="shared" si="19"/>
        <v>0</v>
      </c>
      <c r="L299" s="50"/>
      <c r="M299" s="109"/>
      <c r="N299" s="110"/>
    </row>
    <row r="300" spans="1:14" ht="15" hidden="1" thickBot="1" x14ac:dyDescent="0.35">
      <c r="A300" s="14">
        <v>71</v>
      </c>
      <c r="B300" s="14" t="s">
        <v>639</v>
      </c>
      <c r="C300" s="14" t="s">
        <v>1272</v>
      </c>
      <c r="D300" s="14" t="s">
        <v>521</v>
      </c>
      <c r="E300" s="15" t="s">
        <v>500</v>
      </c>
      <c r="F300" s="15">
        <v>2</v>
      </c>
      <c r="G300" s="16">
        <f t="shared" si="18"/>
        <v>14575</v>
      </c>
      <c r="H300" s="16">
        <v>14575</v>
      </c>
      <c r="I300" s="16">
        <f t="shared" si="17"/>
        <v>0</v>
      </c>
      <c r="J300" s="31">
        <v>14575</v>
      </c>
      <c r="K300" s="69">
        <f t="shared" si="19"/>
        <v>0</v>
      </c>
      <c r="L300" s="50"/>
      <c r="M300" s="109"/>
      <c r="N300" s="110"/>
    </row>
    <row r="301" spans="1:14" ht="15" hidden="1" thickBot="1" x14ac:dyDescent="0.35">
      <c r="A301" s="14">
        <v>71</v>
      </c>
      <c r="B301" s="14" t="s">
        <v>639</v>
      </c>
      <c r="C301" s="14" t="s">
        <v>1272</v>
      </c>
      <c r="D301" s="14" t="s">
        <v>527</v>
      </c>
      <c r="E301" s="15" t="s">
        <v>500</v>
      </c>
      <c r="F301" s="15">
        <v>2</v>
      </c>
      <c r="G301" s="16">
        <f t="shared" si="18"/>
        <v>18277.2</v>
      </c>
      <c r="H301" s="16">
        <v>18277.2</v>
      </c>
      <c r="I301" s="16">
        <f t="shared" si="17"/>
        <v>0</v>
      </c>
      <c r="J301" s="31">
        <v>18277.2</v>
      </c>
      <c r="K301" s="69">
        <f t="shared" si="19"/>
        <v>0</v>
      </c>
      <c r="L301" s="50"/>
      <c r="M301" s="109"/>
      <c r="N301" s="110"/>
    </row>
    <row r="302" spans="1:14" ht="15" hidden="1" thickBot="1" x14ac:dyDescent="0.35">
      <c r="A302" s="14">
        <v>71</v>
      </c>
      <c r="B302" s="14" t="s">
        <v>639</v>
      </c>
      <c r="C302" s="14" t="s">
        <v>1272</v>
      </c>
      <c r="D302" s="14" t="s">
        <v>515</v>
      </c>
      <c r="E302" s="15" t="s">
        <v>512</v>
      </c>
      <c r="F302" s="15">
        <v>2</v>
      </c>
      <c r="G302" s="16">
        <f t="shared" si="18"/>
        <v>10410</v>
      </c>
      <c r="H302" s="16">
        <v>10410</v>
      </c>
      <c r="I302" s="16">
        <f t="shared" si="17"/>
        <v>0</v>
      </c>
      <c r="J302" s="31">
        <v>10410</v>
      </c>
      <c r="K302" s="69">
        <f t="shared" si="19"/>
        <v>0</v>
      </c>
      <c r="L302" s="50"/>
      <c r="M302" s="109"/>
      <c r="N302" s="110"/>
    </row>
    <row r="303" spans="1:14" ht="15" hidden="1" thickBot="1" x14ac:dyDescent="0.35">
      <c r="A303" s="14">
        <v>71</v>
      </c>
      <c r="B303" s="14" t="s">
        <v>639</v>
      </c>
      <c r="C303" s="14" t="s">
        <v>1272</v>
      </c>
      <c r="D303" s="14" t="s">
        <v>528</v>
      </c>
      <c r="E303" s="15" t="s">
        <v>504</v>
      </c>
      <c r="F303" s="15">
        <v>3</v>
      </c>
      <c r="G303" s="16">
        <f t="shared" si="18"/>
        <v>4475</v>
      </c>
      <c r="H303" s="16">
        <v>4595</v>
      </c>
      <c r="I303" s="16">
        <f t="shared" si="17"/>
        <v>0</v>
      </c>
      <c r="J303" s="31">
        <v>4595</v>
      </c>
      <c r="K303" s="69">
        <f t="shared" si="19"/>
        <v>0</v>
      </c>
      <c r="L303" s="50">
        <v>120</v>
      </c>
      <c r="M303" s="109">
        <v>120</v>
      </c>
      <c r="N303" s="110"/>
    </row>
    <row r="304" spans="1:14" ht="15" hidden="1" thickBot="1" x14ac:dyDescent="0.35">
      <c r="A304" s="14">
        <v>71</v>
      </c>
      <c r="B304" s="14" t="s">
        <v>639</v>
      </c>
      <c r="C304" s="14" t="s">
        <v>1272</v>
      </c>
      <c r="D304" s="14" t="s">
        <v>526</v>
      </c>
      <c r="E304" s="15" t="s">
        <v>509</v>
      </c>
      <c r="F304" s="15">
        <v>2</v>
      </c>
      <c r="G304" s="16">
        <f t="shared" si="18"/>
        <v>11742</v>
      </c>
      <c r="H304" s="16">
        <v>11742</v>
      </c>
      <c r="I304" s="16">
        <f t="shared" si="17"/>
        <v>0</v>
      </c>
      <c r="J304" s="31">
        <v>11742</v>
      </c>
      <c r="K304" s="69">
        <f t="shared" si="19"/>
        <v>0</v>
      </c>
      <c r="L304" s="50"/>
      <c r="M304" s="109"/>
      <c r="N304" s="110"/>
    </row>
    <row r="305" spans="1:14" ht="15" hidden="1" thickBot="1" x14ac:dyDescent="0.35">
      <c r="A305" s="14">
        <v>71</v>
      </c>
      <c r="B305" s="14" t="s">
        <v>639</v>
      </c>
      <c r="C305" s="14" t="s">
        <v>1272</v>
      </c>
      <c r="D305" s="14" t="s">
        <v>532</v>
      </c>
      <c r="E305" s="15" t="s">
        <v>500</v>
      </c>
      <c r="F305" s="15">
        <v>4</v>
      </c>
      <c r="G305" s="16">
        <f t="shared" si="18"/>
        <v>36295</v>
      </c>
      <c r="H305" s="16">
        <v>36295</v>
      </c>
      <c r="I305" s="16">
        <f t="shared" si="17"/>
        <v>0</v>
      </c>
      <c r="J305" s="31">
        <v>36295</v>
      </c>
      <c r="K305" s="69">
        <f t="shared" si="19"/>
        <v>0</v>
      </c>
      <c r="L305" s="50"/>
      <c r="M305" s="109"/>
      <c r="N305" s="110"/>
    </row>
    <row r="306" spans="1:14" ht="15" hidden="1" thickBot="1" x14ac:dyDescent="0.35">
      <c r="A306" s="14">
        <v>71</v>
      </c>
      <c r="B306" s="14" t="s">
        <v>639</v>
      </c>
      <c r="C306" s="14" t="s">
        <v>1272</v>
      </c>
      <c r="D306" s="14" t="s">
        <v>1831</v>
      </c>
      <c r="E306" s="15" t="s">
        <v>504</v>
      </c>
      <c r="F306" s="15">
        <v>3</v>
      </c>
      <c r="G306" s="16">
        <f t="shared" si="18"/>
        <v>28807</v>
      </c>
      <c r="H306" s="16">
        <v>28927</v>
      </c>
      <c r="I306" s="16">
        <f t="shared" si="17"/>
        <v>0</v>
      </c>
      <c r="J306" s="31">
        <v>28927</v>
      </c>
      <c r="K306" s="69">
        <f t="shared" si="19"/>
        <v>0</v>
      </c>
      <c r="L306" s="50">
        <v>120</v>
      </c>
      <c r="M306" s="109">
        <v>120</v>
      </c>
      <c r="N306" s="110"/>
    </row>
    <row r="307" spans="1:14" ht="15" hidden="1" thickBot="1" x14ac:dyDescent="0.35">
      <c r="A307" s="14">
        <v>71</v>
      </c>
      <c r="B307" s="14" t="s">
        <v>639</v>
      </c>
      <c r="C307" s="14" t="s">
        <v>1272</v>
      </c>
      <c r="D307" s="14" t="s">
        <v>517</v>
      </c>
      <c r="E307" s="15" t="s">
        <v>502</v>
      </c>
      <c r="F307" s="15">
        <v>1</v>
      </c>
      <c r="G307" s="16">
        <f t="shared" si="18"/>
        <v>11445</v>
      </c>
      <c r="H307" s="16">
        <v>11445</v>
      </c>
      <c r="I307" s="16">
        <f t="shared" si="17"/>
        <v>0</v>
      </c>
      <c r="J307" s="31">
        <v>11445</v>
      </c>
      <c r="K307" s="69">
        <f t="shared" si="19"/>
        <v>0</v>
      </c>
      <c r="L307" s="50"/>
      <c r="M307" s="109"/>
      <c r="N307" s="110"/>
    </row>
    <row r="308" spans="1:14" ht="15" hidden="1" thickBot="1" x14ac:dyDescent="0.35">
      <c r="A308" s="14">
        <v>71</v>
      </c>
      <c r="B308" s="14" t="s">
        <v>639</v>
      </c>
      <c r="C308" s="14" t="s">
        <v>1272</v>
      </c>
      <c r="D308" s="14" t="s">
        <v>519</v>
      </c>
      <c r="E308" s="15" t="s">
        <v>503</v>
      </c>
      <c r="F308" s="15">
        <v>1</v>
      </c>
      <c r="G308" s="16">
        <f t="shared" si="18"/>
        <v>7500</v>
      </c>
      <c r="H308" s="16">
        <v>7500</v>
      </c>
      <c r="I308" s="16">
        <f t="shared" si="17"/>
        <v>0</v>
      </c>
      <c r="J308" s="31">
        <v>7500</v>
      </c>
      <c r="K308" s="69">
        <f t="shared" si="19"/>
        <v>0</v>
      </c>
      <c r="L308" s="50"/>
      <c r="M308" s="109"/>
      <c r="N308" s="110"/>
    </row>
    <row r="309" spans="1:14" ht="15" hidden="1" thickBot="1" x14ac:dyDescent="0.35">
      <c r="A309" s="14">
        <v>71</v>
      </c>
      <c r="B309" s="14" t="s">
        <v>639</v>
      </c>
      <c r="C309" s="14" t="s">
        <v>1272</v>
      </c>
      <c r="D309" s="14" t="s">
        <v>1051</v>
      </c>
      <c r="E309" s="15" t="s">
        <v>500</v>
      </c>
      <c r="F309" s="15">
        <v>1</v>
      </c>
      <c r="G309" s="16">
        <f t="shared" si="18"/>
        <v>10640</v>
      </c>
      <c r="H309" s="16">
        <v>10640</v>
      </c>
      <c r="I309" s="16">
        <f>J309-H309</f>
        <v>0</v>
      </c>
      <c r="J309" s="31">
        <v>10640</v>
      </c>
      <c r="K309" s="69">
        <f t="shared" si="19"/>
        <v>0</v>
      </c>
      <c r="L309" s="50"/>
      <c r="M309" s="109"/>
      <c r="N309" s="110"/>
    </row>
    <row r="310" spans="1:14" ht="15" hidden="1" thickBot="1" x14ac:dyDescent="0.35">
      <c r="A310" s="14">
        <v>71</v>
      </c>
      <c r="B310" s="14" t="s">
        <v>639</v>
      </c>
      <c r="C310" s="14" t="s">
        <v>1272</v>
      </c>
      <c r="D310" s="14" t="s">
        <v>637</v>
      </c>
      <c r="E310" s="15" t="s">
        <v>504</v>
      </c>
      <c r="F310" s="15">
        <v>5</v>
      </c>
      <c r="G310" s="16">
        <f t="shared" si="18"/>
        <v>69784</v>
      </c>
      <c r="H310" s="16">
        <v>69784</v>
      </c>
      <c r="I310" s="16">
        <f t="shared" si="17"/>
        <v>0</v>
      </c>
      <c r="J310" s="31">
        <v>69784</v>
      </c>
      <c r="K310" s="69">
        <f t="shared" si="19"/>
        <v>0</v>
      </c>
      <c r="L310" s="50"/>
      <c r="M310" s="109"/>
      <c r="N310" s="110"/>
    </row>
    <row r="311" spans="1:14" ht="15" hidden="1" thickBot="1" x14ac:dyDescent="0.35">
      <c r="A311" s="14">
        <v>71</v>
      </c>
      <c r="B311" s="14" t="s">
        <v>639</v>
      </c>
      <c r="C311" s="14" t="s">
        <v>1272</v>
      </c>
      <c r="D311" s="14" t="s">
        <v>530</v>
      </c>
      <c r="E311" s="15" t="s">
        <v>500</v>
      </c>
      <c r="F311" s="15">
        <v>4</v>
      </c>
      <c r="G311" s="16">
        <f t="shared" si="18"/>
        <v>36109</v>
      </c>
      <c r="H311" s="16">
        <v>36109</v>
      </c>
      <c r="I311" s="16">
        <f t="shared" si="17"/>
        <v>0</v>
      </c>
      <c r="J311" s="31">
        <v>36109</v>
      </c>
      <c r="K311" s="69">
        <f t="shared" si="19"/>
        <v>0</v>
      </c>
      <c r="L311" s="50"/>
      <c r="M311" s="109"/>
      <c r="N311" s="110"/>
    </row>
    <row r="312" spans="1:14" ht="15" hidden="1" thickBot="1" x14ac:dyDescent="0.35">
      <c r="A312" s="14">
        <v>71</v>
      </c>
      <c r="B312" s="14" t="s">
        <v>639</v>
      </c>
      <c r="C312" s="14" t="s">
        <v>1272</v>
      </c>
      <c r="D312" s="14" t="s">
        <v>525</v>
      </c>
      <c r="E312" s="15" t="s">
        <v>509</v>
      </c>
      <c r="F312" s="15">
        <v>2</v>
      </c>
      <c r="G312" s="16">
        <f t="shared" si="18"/>
        <v>8140</v>
      </c>
      <c r="H312" s="16">
        <v>8140</v>
      </c>
      <c r="I312" s="16">
        <f t="shared" si="17"/>
        <v>0</v>
      </c>
      <c r="J312" s="31">
        <v>8140</v>
      </c>
      <c r="K312" s="69">
        <f t="shared" si="19"/>
        <v>0</v>
      </c>
      <c r="L312" s="50"/>
      <c r="M312" s="109"/>
      <c r="N312" s="110"/>
    </row>
    <row r="313" spans="1:14" ht="15" hidden="1" thickBot="1" x14ac:dyDescent="0.35">
      <c r="A313" s="14">
        <v>71</v>
      </c>
      <c r="B313" s="14" t="s">
        <v>639</v>
      </c>
      <c r="C313" s="14" t="s">
        <v>1272</v>
      </c>
      <c r="D313" s="14" t="s">
        <v>761</v>
      </c>
      <c r="E313" s="15" t="s">
        <v>500</v>
      </c>
      <c r="F313" s="15">
        <v>3</v>
      </c>
      <c r="G313" s="16">
        <f t="shared" si="18"/>
        <v>25952</v>
      </c>
      <c r="H313" s="16">
        <v>25952</v>
      </c>
      <c r="I313" s="16">
        <f t="shared" si="17"/>
        <v>0</v>
      </c>
      <c r="J313" s="31">
        <v>25952</v>
      </c>
      <c r="K313" s="69">
        <f t="shared" si="19"/>
        <v>0</v>
      </c>
      <c r="L313" s="50"/>
      <c r="M313" s="109"/>
      <c r="N313" s="110"/>
    </row>
    <row r="314" spans="1:14" ht="15" hidden="1" thickBot="1" x14ac:dyDescent="0.35">
      <c r="A314" s="14">
        <v>71</v>
      </c>
      <c r="B314" s="14" t="s">
        <v>639</v>
      </c>
      <c r="C314" s="14" t="s">
        <v>1272</v>
      </c>
      <c r="D314" s="14" t="s">
        <v>757</v>
      </c>
      <c r="E314" s="15" t="s">
        <v>512</v>
      </c>
      <c r="F314" s="15">
        <v>3</v>
      </c>
      <c r="G314" s="16">
        <f t="shared" si="18"/>
        <v>28307</v>
      </c>
      <c r="H314" s="16">
        <v>28307</v>
      </c>
      <c r="I314" s="16">
        <f t="shared" si="17"/>
        <v>0</v>
      </c>
      <c r="J314" s="31">
        <v>28307</v>
      </c>
      <c r="K314" s="69">
        <f t="shared" si="19"/>
        <v>0</v>
      </c>
      <c r="L314" s="50"/>
      <c r="M314" s="109"/>
      <c r="N314" s="110"/>
    </row>
    <row r="315" spans="1:14" ht="15" hidden="1" thickBot="1" x14ac:dyDescent="0.35">
      <c r="A315" s="14">
        <v>71</v>
      </c>
      <c r="B315" s="14" t="s">
        <v>639</v>
      </c>
      <c r="C315" s="14" t="s">
        <v>1272</v>
      </c>
      <c r="D315" s="14" t="s">
        <v>529</v>
      </c>
      <c r="E315" s="15" t="s">
        <v>500</v>
      </c>
      <c r="F315" s="15">
        <v>3</v>
      </c>
      <c r="G315" s="16">
        <f t="shared" si="18"/>
        <v>36109</v>
      </c>
      <c r="H315" s="16">
        <v>36109</v>
      </c>
      <c r="I315" s="16">
        <f t="shared" si="17"/>
        <v>0</v>
      </c>
      <c r="J315" s="31">
        <v>36109</v>
      </c>
      <c r="K315" s="69">
        <f t="shared" si="19"/>
        <v>0</v>
      </c>
      <c r="L315" s="50"/>
      <c r="M315" s="109"/>
      <c r="N315" s="110"/>
    </row>
    <row r="316" spans="1:14" ht="15" hidden="1" thickBot="1" x14ac:dyDescent="0.35">
      <c r="A316" s="14">
        <v>72</v>
      </c>
      <c r="B316" s="14" t="s">
        <v>373</v>
      </c>
      <c r="C316" s="20" t="s">
        <v>1272</v>
      </c>
      <c r="D316" s="14" t="s">
        <v>806</v>
      </c>
      <c r="E316" s="15" t="s">
        <v>506</v>
      </c>
      <c r="F316" s="15">
        <v>3</v>
      </c>
      <c r="G316" s="16">
        <f t="shared" si="18"/>
        <v>15306</v>
      </c>
      <c r="H316" s="16">
        <v>15456</v>
      </c>
      <c r="I316" s="16">
        <f t="shared" si="17"/>
        <v>0</v>
      </c>
      <c r="J316" s="31">
        <v>15456</v>
      </c>
      <c r="K316" s="69">
        <f t="shared" si="19"/>
        <v>0</v>
      </c>
      <c r="L316" s="50">
        <v>150</v>
      </c>
      <c r="M316" s="109">
        <v>150</v>
      </c>
      <c r="N316" s="110"/>
    </row>
    <row r="317" spans="1:14" ht="15" hidden="1" thickBot="1" x14ac:dyDescent="0.35">
      <c r="A317" s="14">
        <v>72</v>
      </c>
      <c r="B317" s="14" t="s">
        <v>373</v>
      </c>
      <c r="C317" s="20" t="s">
        <v>1272</v>
      </c>
      <c r="D317" s="14" t="s">
        <v>614</v>
      </c>
      <c r="E317" s="15" t="s">
        <v>502</v>
      </c>
      <c r="F317" s="15">
        <v>3</v>
      </c>
      <c r="G317" s="16">
        <f t="shared" si="18"/>
        <v>23983</v>
      </c>
      <c r="H317" s="16">
        <v>23983</v>
      </c>
      <c r="I317" s="16">
        <f t="shared" si="17"/>
        <v>0</v>
      </c>
      <c r="J317" s="31">
        <v>23983</v>
      </c>
      <c r="K317" s="69">
        <f t="shared" si="19"/>
        <v>0</v>
      </c>
      <c r="L317" s="50"/>
      <c r="M317" s="109"/>
      <c r="N317" s="110"/>
    </row>
    <row r="318" spans="1:14" ht="15" hidden="1" thickBot="1" x14ac:dyDescent="0.35">
      <c r="A318" s="14">
        <v>72</v>
      </c>
      <c r="B318" s="14" t="s">
        <v>373</v>
      </c>
      <c r="C318" s="20" t="s">
        <v>1272</v>
      </c>
      <c r="D318" s="14" t="s">
        <v>510</v>
      </c>
      <c r="E318" s="15" t="s">
        <v>502</v>
      </c>
      <c r="F318" s="15">
        <v>3</v>
      </c>
      <c r="G318" s="16">
        <f t="shared" si="18"/>
        <v>12673</v>
      </c>
      <c r="H318" s="16">
        <v>12673</v>
      </c>
      <c r="I318" s="16">
        <f t="shared" si="17"/>
        <v>0</v>
      </c>
      <c r="J318" s="31">
        <v>12673</v>
      </c>
      <c r="K318" s="69">
        <f t="shared" si="19"/>
        <v>0</v>
      </c>
      <c r="L318" s="50"/>
      <c r="M318" s="109"/>
      <c r="N318" s="110"/>
    </row>
    <row r="319" spans="1:14" ht="15" hidden="1" thickBot="1" x14ac:dyDescent="0.35">
      <c r="A319" s="14">
        <v>72</v>
      </c>
      <c r="B319" s="14" t="s">
        <v>373</v>
      </c>
      <c r="C319" s="20" t="s">
        <v>1272</v>
      </c>
      <c r="D319" s="14" t="s">
        <v>614</v>
      </c>
      <c r="E319" s="15" t="s">
        <v>506</v>
      </c>
      <c r="F319" s="15">
        <v>2</v>
      </c>
      <c r="G319" s="16">
        <f t="shared" si="18"/>
        <v>21850</v>
      </c>
      <c r="H319" s="16">
        <v>21850</v>
      </c>
      <c r="I319" s="16">
        <f t="shared" si="17"/>
        <v>0</v>
      </c>
      <c r="J319" s="31">
        <v>21850</v>
      </c>
      <c r="K319" s="69">
        <f t="shared" si="19"/>
        <v>0</v>
      </c>
      <c r="L319" s="50"/>
      <c r="M319" s="109"/>
      <c r="N319" s="110"/>
    </row>
    <row r="320" spans="1:14" ht="15" hidden="1" thickBot="1" x14ac:dyDescent="0.35">
      <c r="A320" s="14">
        <v>72</v>
      </c>
      <c r="B320" s="14" t="s">
        <v>373</v>
      </c>
      <c r="C320" s="20" t="s">
        <v>1272</v>
      </c>
      <c r="D320" s="14" t="s">
        <v>614</v>
      </c>
      <c r="E320" s="15" t="s">
        <v>508</v>
      </c>
      <c r="F320" s="15">
        <v>2</v>
      </c>
      <c r="G320" s="16">
        <f t="shared" si="18"/>
        <v>21610</v>
      </c>
      <c r="H320" s="16">
        <v>21850</v>
      </c>
      <c r="I320" s="16">
        <f t="shared" si="17"/>
        <v>0</v>
      </c>
      <c r="J320" s="31">
        <v>21850</v>
      </c>
      <c r="K320" s="69">
        <f t="shared" si="19"/>
        <v>0</v>
      </c>
      <c r="L320" s="50">
        <v>240</v>
      </c>
      <c r="M320" s="109">
        <v>240</v>
      </c>
      <c r="N320" s="110"/>
    </row>
    <row r="321" spans="1:14" ht="15" hidden="1" thickBot="1" x14ac:dyDescent="0.35">
      <c r="A321" s="14">
        <v>72</v>
      </c>
      <c r="B321" s="14" t="s">
        <v>373</v>
      </c>
      <c r="C321" s="20" t="s">
        <v>1272</v>
      </c>
      <c r="D321" s="14" t="s">
        <v>510</v>
      </c>
      <c r="E321" s="15" t="s">
        <v>506</v>
      </c>
      <c r="F321" s="15">
        <v>2</v>
      </c>
      <c r="G321" s="16">
        <f t="shared" si="18"/>
        <v>11362</v>
      </c>
      <c r="H321" s="16">
        <v>11362</v>
      </c>
      <c r="I321" s="16">
        <f t="shared" si="17"/>
        <v>0</v>
      </c>
      <c r="J321" s="31">
        <v>11362</v>
      </c>
      <c r="K321" s="69">
        <f t="shared" si="19"/>
        <v>0</v>
      </c>
      <c r="L321" s="50"/>
      <c r="M321" s="109"/>
      <c r="N321" s="110"/>
    </row>
    <row r="322" spans="1:14" ht="15" hidden="1" thickBot="1" x14ac:dyDescent="0.35">
      <c r="A322" s="14">
        <v>72</v>
      </c>
      <c r="B322" s="14" t="s">
        <v>373</v>
      </c>
      <c r="C322" s="20" t="s">
        <v>1272</v>
      </c>
      <c r="D322" s="14" t="s">
        <v>510</v>
      </c>
      <c r="E322" s="15" t="s">
        <v>499</v>
      </c>
      <c r="F322" s="15">
        <v>4</v>
      </c>
      <c r="G322" s="16">
        <f t="shared" si="18"/>
        <v>12607</v>
      </c>
      <c r="H322" s="16">
        <v>12607</v>
      </c>
      <c r="I322" s="16">
        <f t="shared" si="17"/>
        <v>0</v>
      </c>
      <c r="J322" s="31">
        <v>12607</v>
      </c>
      <c r="K322" s="69">
        <f t="shared" si="19"/>
        <v>0</v>
      </c>
      <c r="L322" s="50"/>
      <c r="M322" s="109"/>
      <c r="N322" s="110"/>
    </row>
    <row r="323" spans="1:14" ht="15" hidden="1" thickBot="1" x14ac:dyDescent="0.35">
      <c r="A323" s="14">
        <v>72</v>
      </c>
      <c r="B323" s="14" t="s">
        <v>373</v>
      </c>
      <c r="C323" s="20" t="s">
        <v>1272</v>
      </c>
      <c r="D323" s="14" t="s">
        <v>614</v>
      </c>
      <c r="E323" s="15" t="s">
        <v>503</v>
      </c>
      <c r="F323" s="15">
        <v>3</v>
      </c>
      <c r="G323" s="16">
        <f t="shared" si="18"/>
        <v>23983</v>
      </c>
      <c r="H323" s="16">
        <v>23983</v>
      </c>
      <c r="I323" s="16">
        <f t="shared" si="17"/>
        <v>0</v>
      </c>
      <c r="J323" s="31">
        <v>23983</v>
      </c>
      <c r="K323" s="69">
        <f t="shared" si="19"/>
        <v>0</v>
      </c>
      <c r="L323" s="50"/>
      <c r="M323" s="109"/>
      <c r="N323" s="110"/>
    </row>
    <row r="324" spans="1:14" ht="15" hidden="1" thickBot="1" x14ac:dyDescent="0.35">
      <c r="A324" s="14">
        <v>72</v>
      </c>
      <c r="B324" s="14" t="s">
        <v>373</v>
      </c>
      <c r="C324" s="20" t="s">
        <v>1272</v>
      </c>
      <c r="D324" s="14" t="s">
        <v>510</v>
      </c>
      <c r="E324" s="15" t="s">
        <v>503</v>
      </c>
      <c r="F324" s="15">
        <v>2</v>
      </c>
      <c r="G324" s="16">
        <f t="shared" si="18"/>
        <v>11362</v>
      </c>
      <c r="H324" s="16">
        <v>11362</v>
      </c>
      <c r="I324" s="16">
        <f t="shared" si="17"/>
        <v>0</v>
      </c>
      <c r="J324" s="31">
        <v>11362</v>
      </c>
      <c r="K324" s="69">
        <f t="shared" si="19"/>
        <v>0</v>
      </c>
      <c r="L324" s="50"/>
      <c r="M324" s="109"/>
      <c r="N324" s="110"/>
    </row>
    <row r="325" spans="1:14" ht="15" hidden="1" thickBot="1" x14ac:dyDescent="0.35">
      <c r="A325" s="14">
        <v>72</v>
      </c>
      <c r="B325" s="14" t="s">
        <v>373</v>
      </c>
      <c r="C325" s="20" t="s">
        <v>1272</v>
      </c>
      <c r="D325" s="14" t="s">
        <v>614</v>
      </c>
      <c r="E325" s="15" t="s">
        <v>499</v>
      </c>
      <c r="F325" s="15">
        <v>4</v>
      </c>
      <c r="G325" s="16">
        <f t="shared" si="18"/>
        <v>23983</v>
      </c>
      <c r="H325" s="15">
        <v>23983</v>
      </c>
      <c r="I325" s="16">
        <f t="shared" si="17"/>
        <v>0</v>
      </c>
      <c r="J325" s="30">
        <v>23983</v>
      </c>
      <c r="K325" s="69">
        <f t="shared" si="19"/>
        <v>0</v>
      </c>
      <c r="L325" s="49"/>
      <c r="M325" s="109"/>
      <c r="N325" s="110"/>
    </row>
    <row r="326" spans="1:14" ht="15" hidden="1" thickBot="1" x14ac:dyDescent="0.35">
      <c r="A326" s="14">
        <v>72</v>
      </c>
      <c r="B326" s="14" t="s">
        <v>373</v>
      </c>
      <c r="C326" s="20" t="s">
        <v>1272</v>
      </c>
      <c r="D326" s="14" t="s">
        <v>510</v>
      </c>
      <c r="E326" s="15" t="s">
        <v>504</v>
      </c>
      <c r="F326" s="15">
        <v>3</v>
      </c>
      <c r="G326" s="16">
        <f t="shared" si="18"/>
        <v>12333</v>
      </c>
      <c r="H326" s="15">
        <v>12333</v>
      </c>
      <c r="I326" s="16">
        <f t="shared" si="17"/>
        <v>0</v>
      </c>
      <c r="J326" s="30">
        <v>12333</v>
      </c>
      <c r="K326" s="69">
        <f t="shared" si="19"/>
        <v>0</v>
      </c>
      <c r="L326" s="49"/>
      <c r="M326" s="109"/>
      <c r="N326" s="110">
        <v>0.9</v>
      </c>
    </row>
    <row r="327" spans="1:14" ht="15" hidden="1" thickBot="1" x14ac:dyDescent="0.35">
      <c r="A327" s="14">
        <v>72</v>
      </c>
      <c r="B327" s="14" t="s">
        <v>373</v>
      </c>
      <c r="C327" s="20" t="s">
        <v>1272</v>
      </c>
      <c r="D327" s="14" t="s">
        <v>510</v>
      </c>
      <c r="E327" s="15" t="s">
        <v>500</v>
      </c>
      <c r="F327" s="15">
        <v>2</v>
      </c>
      <c r="G327" s="16">
        <f t="shared" si="18"/>
        <v>8926</v>
      </c>
      <c r="H327" s="15">
        <v>8926</v>
      </c>
      <c r="I327" s="16">
        <f t="shared" si="17"/>
        <v>0</v>
      </c>
      <c r="J327" s="30">
        <v>8926</v>
      </c>
      <c r="K327" s="69">
        <f t="shared" si="19"/>
        <v>0</v>
      </c>
      <c r="L327" s="49"/>
      <c r="M327" s="109"/>
      <c r="N327" s="110">
        <v>0.9</v>
      </c>
    </row>
    <row r="328" spans="1:14" ht="15" hidden="1" thickBot="1" x14ac:dyDescent="0.35">
      <c r="A328" s="14">
        <v>72</v>
      </c>
      <c r="B328" s="14" t="s">
        <v>373</v>
      </c>
      <c r="C328" s="20" t="s">
        <v>1272</v>
      </c>
      <c r="D328" s="14" t="s">
        <v>614</v>
      </c>
      <c r="E328" s="15" t="s">
        <v>500</v>
      </c>
      <c r="F328" s="15">
        <v>2</v>
      </c>
      <c r="G328" s="16">
        <f t="shared" si="18"/>
        <v>23461</v>
      </c>
      <c r="H328" s="15">
        <v>23461</v>
      </c>
      <c r="I328" s="16">
        <f t="shared" si="17"/>
        <v>0</v>
      </c>
      <c r="J328" s="30">
        <v>23461</v>
      </c>
      <c r="K328" s="69">
        <f t="shared" si="19"/>
        <v>0</v>
      </c>
      <c r="L328" s="49"/>
      <c r="M328" s="109"/>
      <c r="N328" s="110">
        <v>0.9</v>
      </c>
    </row>
    <row r="329" spans="1:14" ht="15" hidden="1" thickBot="1" x14ac:dyDescent="0.35">
      <c r="A329" s="14">
        <v>72</v>
      </c>
      <c r="B329" s="14" t="s">
        <v>373</v>
      </c>
      <c r="C329" s="20" t="s">
        <v>1272</v>
      </c>
      <c r="D329" s="14" t="s">
        <v>614</v>
      </c>
      <c r="E329" s="15" t="s">
        <v>504</v>
      </c>
      <c r="F329" s="15">
        <v>3</v>
      </c>
      <c r="G329" s="16">
        <f t="shared" si="18"/>
        <v>23472</v>
      </c>
      <c r="H329" s="15">
        <v>23592</v>
      </c>
      <c r="I329" s="16">
        <f t="shared" si="17"/>
        <v>0</v>
      </c>
      <c r="J329" s="30">
        <v>23592</v>
      </c>
      <c r="K329" s="69">
        <f t="shared" si="19"/>
        <v>0</v>
      </c>
      <c r="L329" s="49">
        <v>120</v>
      </c>
      <c r="M329" s="109">
        <v>120</v>
      </c>
      <c r="N329" s="110">
        <v>0.90500000000000003</v>
      </c>
    </row>
    <row r="330" spans="1:14" ht="15" hidden="1" thickBot="1" x14ac:dyDescent="0.35">
      <c r="A330" s="14">
        <v>72</v>
      </c>
      <c r="B330" s="14" t="s">
        <v>373</v>
      </c>
      <c r="C330" s="20" t="s">
        <v>1272</v>
      </c>
      <c r="D330" s="14" t="s">
        <v>1832</v>
      </c>
      <c r="E330" s="15" t="s">
        <v>499</v>
      </c>
      <c r="F330" s="15">
        <v>3</v>
      </c>
      <c r="G330" s="16">
        <f t="shared" si="18"/>
        <v>59565</v>
      </c>
      <c r="H330" s="16">
        <v>59565</v>
      </c>
      <c r="I330" s="16">
        <f t="shared" si="17"/>
        <v>0</v>
      </c>
      <c r="J330" s="31">
        <v>59565</v>
      </c>
      <c r="K330" s="69">
        <f t="shared" si="19"/>
        <v>0</v>
      </c>
      <c r="L330" s="50"/>
      <c r="M330" s="109"/>
      <c r="N330" s="110"/>
    </row>
    <row r="331" spans="1:14" ht="15" hidden="1" thickBot="1" x14ac:dyDescent="0.35">
      <c r="A331" s="14">
        <v>72</v>
      </c>
      <c r="B331" s="14" t="s">
        <v>373</v>
      </c>
      <c r="C331" s="20" t="s">
        <v>1272</v>
      </c>
      <c r="D331" s="14" t="s">
        <v>614</v>
      </c>
      <c r="E331" s="15" t="s">
        <v>509</v>
      </c>
      <c r="F331" s="15">
        <v>3</v>
      </c>
      <c r="G331" s="16">
        <f t="shared" si="18"/>
        <v>23471.54</v>
      </c>
      <c r="H331" s="16">
        <v>23591.54</v>
      </c>
      <c r="I331" s="16">
        <f>J331-H331</f>
        <v>0</v>
      </c>
      <c r="J331" s="31">
        <v>23591.54</v>
      </c>
      <c r="K331" s="69">
        <f t="shared" si="19"/>
        <v>0</v>
      </c>
      <c r="L331" s="50">
        <v>120</v>
      </c>
      <c r="M331" s="109">
        <v>120</v>
      </c>
      <c r="N331" s="110">
        <v>0.90500000000000003</v>
      </c>
    </row>
    <row r="332" spans="1:14" ht="15" hidden="1" thickBot="1" x14ac:dyDescent="0.35">
      <c r="A332" s="14">
        <v>72</v>
      </c>
      <c r="B332" s="14" t="s">
        <v>373</v>
      </c>
      <c r="C332" s="20" t="s">
        <v>1272</v>
      </c>
      <c r="D332" s="14" t="s">
        <v>522</v>
      </c>
      <c r="E332" s="15" t="s">
        <v>502</v>
      </c>
      <c r="F332" s="15">
        <v>2</v>
      </c>
      <c r="G332" s="16">
        <f t="shared" si="18"/>
        <v>6992</v>
      </c>
      <c r="H332" s="16">
        <v>6992</v>
      </c>
      <c r="I332" s="16">
        <f t="shared" si="17"/>
        <v>0</v>
      </c>
      <c r="J332" s="31">
        <v>6992</v>
      </c>
      <c r="K332" s="69">
        <f t="shared" si="19"/>
        <v>0</v>
      </c>
      <c r="L332" s="50"/>
      <c r="M332" s="109"/>
      <c r="N332" s="110"/>
    </row>
    <row r="333" spans="1:14" ht="15" hidden="1" thickBot="1" x14ac:dyDescent="0.35">
      <c r="A333" s="14">
        <v>72</v>
      </c>
      <c r="B333" s="14" t="s">
        <v>373</v>
      </c>
      <c r="C333" s="20" t="s">
        <v>1272</v>
      </c>
      <c r="D333" s="14" t="s">
        <v>547</v>
      </c>
      <c r="E333" s="15" t="s">
        <v>502</v>
      </c>
      <c r="F333" s="15">
        <v>2</v>
      </c>
      <c r="G333" s="16">
        <f t="shared" si="18"/>
        <v>6992</v>
      </c>
      <c r="H333" s="16">
        <v>6992</v>
      </c>
      <c r="I333" s="16">
        <f t="shared" si="17"/>
        <v>0</v>
      </c>
      <c r="J333" s="31">
        <v>6992</v>
      </c>
      <c r="K333" s="69">
        <f t="shared" si="19"/>
        <v>0</v>
      </c>
      <c r="L333" s="50"/>
      <c r="M333" s="109"/>
      <c r="N333" s="110"/>
    </row>
    <row r="334" spans="1:14" ht="15" hidden="1" thickBot="1" x14ac:dyDescent="0.35">
      <c r="A334" s="14">
        <v>72</v>
      </c>
      <c r="B334" s="14" t="s">
        <v>373</v>
      </c>
      <c r="C334" s="20" t="s">
        <v>1272</v>
      </c>
      <c r="D334" s="14" t="s">
        <v>511</v>
      </c>
      <c r="E334" s="15" t="s">
        <v>503</v>
      </c>
      <c r="F334" s="15">
        <v>2</v>
      </c>
      <c r="G334" s="16">
        <f t="shared" si="18"/>
        <v>44889</v>
      </c>
      <c r="H334" s="16">
        <v>44889</v>
      </c>
      <c r="I334" s="16">
        <f t="shared" si="17"/>
        <v>0</v>
      </c>
      <c r="J334" s="31">
        <v>44889</v>
      </c>
      <c r="K334" s="69">
        <f t="shared" si="19"/>
        <v>0</v>
      </c>
      <c r="L334" s="50"/>
      <c r="M334" s="109"/>
      <c r="N334" s="110"/>
    </row>
    <row r="335" spans="1:14" ht="15" hidden="1" thickBot="1" x14ac:dyDescent="0.35">
      <c r="A335" s="14">
        <v>72</v>
      </c>
      <c r="B335" s="14" t="s">
        <v>373</v>
      </c>
      <c r="C335" s="20" t="s">
        <v>1272</v>
      </c>
      <c r="D335" s="14" t="s">
        <v>510</v>
      </c>
      <c r="E335" s="15" t="s">
        <v>512</v>
      </c>
      <c r="F335" s="15">
        <v>2</v>
      </c>
      <c r="G335" s="16">
        <f t="shared" si="18"/>
        <v>12333</v>
      </c>
      <c r="H335" s="16">
        <v>12333</v>
      </c>
      <c r="I335" s="16">
        <f>J335-H335</f>
        <v>0</v>
      </c>
      <c r="J335" s="31">
        <v>12333</v>
      </c>
      <c r="K335" s="69">
        <f t="shared" si="19"/>
        <v>0</v>
      </c>
      <c r="L335" s="50"/>
      <c r="M335" s="109"/>
      <c r="N335" s="110">
        <v>0.9</v>
      </c>
    </row>
    <row r="336" spans="1:14" ht="15" hidden="1" thickBot="1" x14ac:dyDescent="0.35">
      <c r="A336" s="14">
        <v>72</v>
      </c>
      <c r="B336" s="14" t="s">
        <v>373</v>
      </c>
      <c r="C336" s="20" t="s">
        <v>1272</v>
      </c>
      <c r="D336" s="14" t="s">
        <v>614</v>
      </c>
      <c r="E336" s="15" t="s">
        <v>512</v>
      </c>
      <c r="F336" s="15">
        <v>2</v>
      </c>
      <c r="G336" s="16">
        <f t="shared" si="18"/>
        <v>23461</v>
      </c>
      <c r="H336" s="16">
        <v>23461</v>
      </c>
      <c r="I336" s="16">
        <f>J336-H336</f>
        <v>0</v>
      </c>
      <c r="J336" s="31">
        <v>23461</v>
      </c>
      <c r="K336" s="69">
        <f t="shared" si="19"/>
        <v>0</v>
      </c>
      <c r="L336" s="50"/>
      <c r="M336" s="109"/>
      <c r="N336" s="110">
        <v>0.9</v>
      </c>
    </row>
    <row r="337" spans="1:15" ht="15" hidden="1" thickBot="1" x14ac:dyDescent="0.35">
      <c r="A337" s="14">
        <v>72</v>
      </c>
      <c r="B337" s="14" t="s">
        <v>373</v>
      </c>
      <c r="C337" s="20" t="s">
        <v>1272</v>
      </c>
      <c r="D337" s="14" t="s">
        <v>510</v>
      </c>
      <c r="E337" s="15" t="s">
        <v>508</v>
      </c>
      <c r="F337" s="15">
        <v>2</v>
      </c>
      <c r="G337" s="16">
        <f t="shared" si="18"/>
        <v>11362</v>
      </c>
      <c r="H337" s="16">
        <v>11362</v>
      </c>
      <c r="I337" s="16">
        <f t="shared" si="17"/>
        <v>0</v>
      </c>
      <c r="J337" s="31">
        <v>11362</v>
      </c>
      <c r="K337" s="69">
        <f t="shared" si="19"/>
        <v>0</v>
      </c>
      <c r="L337" s="50"/>
      <c r="M337" s="109"/>
      <c r="N337" s="110"/>
    </row>
    <row r="338" spans="1:15" ht="15" hidden="1" thickBot="1" x14ac:dyDescent="0.35">
      <c r="A338" s="14">
        <v>72</v>
      </c>
      <c r="B338" s="14" t="s">
        <v>373</v>
      </c>
      <c r="C338" s="20" t="s">
        <v>1272</v>
      </c>
      <c r="D338" s="14" t="s">
        <v>510</v>
      </c>
      <c r="E338" s="15" t="s">
        <v>509</v>
      </c>
      <c r="F338" s="15">
        <v>3</v>
      </c>
      <c r="G338" s="16">
        <f t="shared" si="18"/>
        <v>12350</v>
      </c>
      <c r="H338" s="16">
        <v>12470</v>
      </c>
      <c r="I338" s="16">
        <f t="shared" si="17"/>
        <v>0</v>
      </c>
      <c r="J338" s="31">
        <v>12470</v>
      </c>
      <c r="K338" s="69">
        <f t="shared" si="19"/>
        <v>0</v>
      </c>
      <c r="L338" s="50">
        <v>120</v>
      </c>
      <c r="M338" s="109">
        <v>120</v>
      </c>
      <c r="N338" s="110">
        <v>0.91</v>
      </c>
    </row>
    <row r="339" spans="1:15" ht="15" hidden="1" thickBot="1" x14ac:dyDescent="0.35">
      <c r="A339" s="14">
        <v>72</v>
      </c>
      <c r="B339" s="14" t="s">
        <v>373</v>
      </c>
      <c r="C339" s="20" t="s">
        <v>1272</v>
      </c>
      <c r="D339" s="14" t="s">
        <v>548</v>
      </c>
      <c r="E339" s="15" t="s">
        <v>504</v>
      </c>
      <c r="F339" s="15">
        <v>2</v>
      </c>
      <c r="G339" s="16">
        <f t="shared" si="18"/>
        <v>6840</v>
      </c>
      <c r="H339" s="16">
        <v>6840</v>
      </c>
      <c r="I339" s="16">
        <f t="shared" si="17"/>
        <v>0</v>
      </c>
      <c r="J339" s="31">
        <v>6840</v>
      </c>
      <c r="K339" s="69">
        <f t="shared" si="19"/>
        <v>0</v>
      </c>
      <c r="L339" s="50"/>
      <c r="M339" s="109"/>
      <c r="N339" s="110">
        <v>0.9</v>
      </c>
    </row>
    <row r="340" spans="1:15" ht="15" hidden="1" thickBot="1" x14ac:dyDescent="0.35">
      <c r="A340" s="14">
        <v>72</v>
      </c>
      <c r="B340" s="14" t="s">
        <v>373</v>
      </c>
      <c r="C340" s="20" t="s">
        <v>1272</v>
      </c>
      <c r="D340" s="14" t="s">
        <v>1044</v>
      </c>
      <c r="E340" s="15"/>
      <c r="F340" s="15">
        <v>2</v>
      </c>
      <c r="G340" s="16">
        <f t="shared" si="18"/>
        <v>13682</v>
      </c>
      <c r="H340" s="16">
        <v>13682</v>
      </c>
      <c r="I340" s="16">
        <f>J340-H340</f>
        <v>0</v>
      </c>
      <c r="J340" s="31">
        <v>13682</v>
      </c>
      <c r="K340" s="69">
        <f t="shared" si="19"/>
        <v>0</v>
      </c>
      <c r="L340" s="50"/>
      <c r="M340" s="109"/>
      <c r="N340" s="110"/>
    </row>
    <row r="341" spans="1:15" ht="15" hidden="1" thickBot="1" x14ac:dyDescent="0.35">
      <c r="A341" s="14">
        <v>72</v>
      </c>
      <c r="B341" s="14" t="s">
        <v>373</v>
      </c>
      <c r="C341" s="20" t="s">
        <v>1272</v>
      </c>
      <c r="D341" s="14" t="s">
        <v>999</v>
      </c>
      <c r="E341" s="15" t="s">
        <v>626</v>
      </c>
      <c r="F341" s="15">
        <v>2</v>
      </c>
      <c r="G341" s="16">
        <f t="shared" si="18"/>
        <v>12236</v>
      </c>
      <c r="H341" s="16">
        <v>12236</v>
      </c>
      <c r="I341" s="16">
        <f t="shared" si="17"/>
        <v>0</v>
      </c>
      <c r="J341" s="31">
        <v>12236</v>
      </c>
      <c r="K341" s="69">
        <f t="shared" si="19"/>
        <v>0</v>
      </c>
      <c r="L341" s="50"/>
      <c r="M341" s="109"/>
      <c r="N341" s="110"/>
    </row>
    <row r="342" spans="1:15" ht="15" hidden="1" thickBot="1" x14ac:dyDescent="0.35">
      <c r="A342" s="14">
        <v>72</v>
      </c>
      <c r="B342" s="14" t="s">
        <v>373</v>
      </c>
      <c r="C342" s="20" t="s">
        <v>1272</v>
      </c>
      <c r="D342" s="14" t="s">
        <v>507</v>
      </c>
      <c r="E342" s="15" t="s">
        <v>504</v>
      </c>
      <c r="F342" s="15">
        <v>2</v>
      </c>
      <c r="G342" s="16">
        <f t="shared" si="18"/>
        <v>6840</v>
      </c>
      <c r="H342" s="16">
        <v>6840</v>
      </c>
      <c r="I342" s="16">
        <f t="shared" si="17"/>
        <v>0</v>
      </c>
      <c r="J342" s="31">
        <v>6840</v>
      </c>
      <c r="K342" s="69">
        <f t="shared" si="19"/>
        <v>0</v>
      </c>
      <c r="L342" s="50"/>
      <c r="M342" s="109"/>
      <c r="N342" s="110">
        <v>0.9</v>
      </c>
    </row>
    <row r="343" spans="1:15" ht="15" hidden="1" thickBot="1" x14ac:dyDescent="0.35">
      <c r="A343" s="14">
        <v>72</v>
      </c>
      <c r="B343" s="14" t="s">
        <v>373</v>
      </c>
      <c r="C343" s="20" t="s">
        <v>1272</v>
      </c>
      <c r="D343" s="14" t="s">
        <v>505</v>
      </c>
      <c r="E343" s="15" t="s">
        <v>504</v>
      </c>
      <c r="F343" s="15">
        <v>2</v>
      </c>
      <c r="G343" s="16">
        <f t="shared" si="18"/>
        <v>6840</v>
      </c>
      <c r="H343" s="16">
        <v>6840</v>
      </c>
      <c r="I343" s="16">
        <f t="shared" si="17"/>
        <v>0</v>
      </c>
      <c r="J343" s="31">
        <v>6840</v>
      </c>
      <c r="K343" s="69">
        <f t="shared" si="19"/>
        <v>0</v>
      </c>
      <c r="L343" s="50"/>
      <c r="M343" s="109"/>
      <c r="N343" s="110">
        <v>0.9</v>
      </c>
    </row>
    <row r="344" spans="1:15" ht="15" hidden="1" thickBot="1" x14ac:dyDescent="0.35">
      <c r="A344" s="14">
        <v>72</v>
      </c>
      <c r="B344" s="14" t="s">
        <v>373</v>
      </c>
      <c r="C344" s="20" t="s">
        <v>1272</v>
      </c>
      <c r="D344" s="14" t="s">
        <v>513</v>
      </c>
      <c r="E344" s="15" t="s">
        <v>512</v>
      </c>
      <c r="F344" s="15">
        <v>2</v>
      </c>
      <c r="G344" s="16">
        <f t="shared" si="18"/>
        <v>6840</v>
      </c>
      <c r="H344" s="16">
        <v>6840</v>
      </c>
      <c r="I344" s="16">
        <f t="shared" si="17"/>
        <v>0</v>
      </c>
      <c r="J344" s="31">
        <v>6840</v>
      </c>
      <c r="K344" s="69">
        <f t="shared" si="19"/>
        <v>0</v>
      </c>
      <c r="L344" s="50"/>
      <c r="M344" s="109"/>
      <c r="N344" s="110">
        <v>0.9</v>
      </c>
    </row>
    <row r="345" spans="1:15" ht="15" hidden="1" thickBot="1" x14ac:dyDescent="0.35">
      <c r="A345" s="14">
        <v>72</v>
      </c>
      <c r="B345" s="14" t="s">
        <v>373</v>
      </c>
      <c r="C345" s="20" t="s">
        <v>1272</v>
      </c>
      <c r="D345" s="14" t="s">
        <v>524</v>
      </c>
      <c r="E345" s="15" t="s">
        <v>503</v>
      </c>
      <c r="F345" s="15">
        <v>1</v>
      </c>
      <c r="G345" s="16">
        <f t="shared" si="18"/>
        <v>6992</v>
      </c>
      <c r="H345" s="16">
        <v>6992</v>
      </c>
      <c r="I345" s="16">
        <f t="shared" si="17"/>
        <v>0</v>
      </c>
      <c r="J345" s="31">
        <v>6992</v>
      </c>
      <c r="K345" s="69">
        <f t="shared" si="19"/>
        <v>0</v>
      </c>
      <c r="L345" s="50"/>
      <c r="M345" s="109"/>
      <c r="N345" s="110">
        <v>0.92</v>
      </c>
    </row>
    <row r="346" spans="1:15" ht="15" hidden="1" thickBot="1" x14ac:dyDescent="0.35">
      <c r="A346" s="14">
        <v>72</v>
      </c>
      <c r="B346" s="14" t="s">
        <v>373</v>
      </c>
      <c r="C346" s="20" t="s">
        <v>1272</v>
      </c>
      <c r="D346" s="14" t="s">
        <v>638</v>
      </c>
      <c r="E346" s="15" t="s">
        <v>504</v>
      </c>
      <c r="F346" s="15">
        <v>1</v>
      </c>
      <c r="G346" s="16">
        <f t="shared" si="18"/>
        <v>14675.6</v>
      </c>
      <c r="H346" s="16">
        <v>14675.6</v>
      </c>
      <c r="I346" s="16">
        <f t="shared" si="17"/>
        <v>0</v>
      </c>
      <c r="J346" s="31">
        <v>14675.6</v>
      </c>
      <c r="K346" s="69">
        <f t="shared" si="19"/>
        <v>0</v>
      </c>
      <c r="L346" s="50"/>
      <c r="M346" s="109"/>
      <c r="N346" s="110">
        <v>0.8</v>
      </c>
    </row>
    <row r="347" spans="1:15" ht="15" hidden="1" thickBot="1" x14ac:dyDescent="0.35">
      <c r="A347" s="14">
        <v>72</v>
      </c>
      <c r="B347" s="14" t="s">
        <v>373</v>
      </c>
      <c r="C347" s="20" t="s">
        <v>1272</v>
      </c>
      <c r="D347" s="14" t="s">
        <v>523</v>
      </c>
      <c r="E347" s="15" t="s">
        <v>508</v>
      </c>
      <c r="F347" s="15">
        <v>1</v>
      </c>
      <c r="G347" s="16">
        <f t="shared" si="18"/>
        <v>6992</v>
      </c>
      <c r="H347" s="16">
        <v>6992</v>
      </c>
      <c r="I347" s="16">
        <f t="shared" si="17"/>
        <v>0</v>
      </c>
      <c r="J347" s="31">
        <v>6992</v>
      </c>
      <c r="K347" s="69">
        <f t="shared" si="19"/>
        <v>0</v>
      </c>
      <c r="L347" s="50"/>
      <c r="M347" s="109"/>
      <c r="N347" s="110">
        <v>0.92</v>
      </c>
    </row>
    <row r="348" spans="1:15" ht="15" hidden="1" thickBot="1" x14ac:dyDescent="0.35">
      <c r="A348" s="14">
        <v>72</v>
      </c>
      <c r="B348" s="14" t="s">
        <v>373</v>
      </c>
      <c r="C348" s="20" t="s">
        <v>1272</v>
      </c>
      <c r="D348" s="14" t="s">
        <v>720</v>
      </c>
      <c r="E348" s="15" t="s">
        <v>508</v>
      </c>
      <c r="F348" s="15">
        <v>3</v>
      </c>
      <c r="G348" s="16">
        <f t="shared" si="18"/>
        <v>38546</v>
      </c>
      <c r="H348" s="16">
        <v>38546</v>
      </c>
      <c r="I348" s="16">
        <f t="shared" si="17"/>
        <v>0</v>
      </c>
      <c r="J348" s="31">
        <v>38546</v>
      </c>
      <c r="K348" s="69">
        <f t="shared" si="19"/>
        <v>0</v>
      </c>
      <c r="L348" s="50"/>
      <c r="M348" s="109"/>
      <c r="N348" s="110"/>
    </row>
    <row r="349" spans="1:15" ht="15" hidden="1" customHeight="1" thickBot="1" x14ac:dyDescent="0.35">
      <c r="A349" s="14">
        <v>72</v>
      </c>
      <c r="B349" s="14" t="s">
        <v>373</v>
      </c>
      <c r="C349" s="273" t="s">
        <v>1472</v>
      </c>
      <c r="D349" s="281" t="s">
        <v>679</v>
      </c>
      <c r="E349" s="15" t="s">
        <v>502</v>
      </c>
      <c r="F349" s="15">
        <v>3</v>
      </c>
      <c r="G349" s="16">
        <f t="shared" si="18"/>
        <v>117652</v>
      </c>
      <c r="H349" s="16">
        <v>117652</v>
      </c>
      <c r="I349" s="16">
        <f t="shared" si="17"/>
        <v>0</v>
      </c>
      <c r="J349" s="31">
        <v>117652</v>
      </c>
      <c r="K349" s="69">
        <f t="shared" si="19"/>
        <v>0</v>
      </c>
      <c r="L349" s="50"/>
      <c r="M349" s="109"/>
      <c r="N349" s="110">
        <v>0.8</v>
      </c>
      <c r="O349" s="363"/>
    </row>
    <row r="350" spans="1:15" ht="15" hidden="1" customHeight="1" thickBot="1" x14ac:dyDescent="0.35">
      <c r="A350" s="14">
        <v>72</v>
      </c>
      <c r="B350" s="14" t="s">
        <v>373</v>
      </c>
      <c r="C350" s="273" t="s">
        <v>1472</v>
      </c>
      <c r="D350" s="281" t="s">
        <v>618</v>
      </c>
      <c r="E350" s="15" t="s">
        <v>509</v>
      </c>
      <c r="F350" s="15">
        <v>3</v>
      </c>
      <c r="G350" s="16">
        <f t="shared" si="18"/>
        <v>120006</v>
      </c>
      <c r="H350" s="16">
        <v>120006</v>
      </c>
      <c r="I350" s="16">
        <f t="shared" si="17"/>
        <v>0</v>
      </c>
      <c r="J350" s="31">
        <v>120006</v>
      </c>
      <c r="K350" s="69">
        <f t="shared" si="19"/>
        <v>0</v>
      </c>
      <c r="L350" s="50"/>
      <c r="M350" s="109"/>
      <c r="N350" s="110">
        <v>0.8</v>
      </c>
      <c r="O350" s="363"/>
    </row>
    <row r="351" spans="1:15" ht="15" hidden="1" customHeight="1" thickBot="1" x14ac:dyDescent="0.35">
      <c r="A351" s="14">
        <v>72</v>
      </c>
      <c r="B351" s="14" t="s">
        <v>373</v>
      </c>
      <c r="C351" s="273" t="s">
        <v>1472</v>
      </c>
      <c r="D351" s="281" t="s">
        <v>694</v>
      </c>
      <c r="E351" s="15" t="s">
        <v>509</v>
      </c>
      <c r="F351" s="15">
        <v>3</v>
      </c>
      <c r="G351" s="16">
        <f t="shared" si="18"/>
        <v>116388</v>
      </c>
      <c r="H351" s="16">
        <v>116388</v>
      </c>
      <c r="I351" s="16">
        <f t="shared" si="17"/>
        <v>0</v>
      </c>
      <c r="J351" s="31">
        <v>116388</v>
      </c>
      <c r="K351" s="69">
        <f t="shared" si="19"/>
        <v>0</v>
      </c>
      <c r="L351" s="50"/>
      <c r="M351" s="109"/>
      <c r="N351" s="110">
        <v>0.8</v>
      </c>
      <c r="O351" s="363"/>
    </row>
    <row r="352" spans="1:15" ht="15" hidden="1" customHeight="1" thickBot="1" x14ac:dyDescent="0.35">
      <c r="A352" s="14">
        <v>72</v>
      </c>
      <c r="B352" s="14" t="s">
        <v>373</v>
      </c>
      <c r="C352" s="273" t="s">
        <v>1472</v>
      </c>
      <c r="D352" s="281" t="s">
        <v>981</v>
      </c>
      <c r="E352" s="15" t="s">
        <v>502</v>
      </c>
      <c r="F352" s="15">
        <v>3</v>
      </c>
      <c r="G352" s="16">
        <f t="shared" si="18"/>
        <v>113364</v>
      </c>
      <c r="H352" s="16">
        <v>113364</v>
      </c>
      <c r="I352" s="16">
        <f t="shared" si="17"/>
        <v>0</v>
      </c>
      <c r="J352" s="31">
        <v>113364</v>
      </c>
      <c r="K352" s="69">
        <f t="shared" si="19"/>
        <v>0</v>
      </c>
      <c r="L352" s="50"/>
      <c r="M352" s="109"/>
      <c r="N352" s="110">
        <v>0.8</v>
      </c>
      <c r="O352" s="363"/>
    </row>
    <row r="353" spans="1:15" ht="15" hidden="1" customHeight="1" thickBot="1" x14ac:dyDescent="0.35">
      <c r="A353" s="14">
        <v>72</v>
      </c>
      <c r="B353" s="14" t="s">
        <v>373</v>
      </c>
      <c r="C353" s="273" t="s">
        <v>1472</v>
      </c>
      <c r="D353" s="281" t="s">
        <v>1043</v>
      </c>
      <c r="E353" s="15" t="s">
        <v>500</v>
      </c>
      <c r="F353" s="15">
        <v>1</v>
      </c>
      <c r="G353" s="16">
        <f t="shared" ref="G353" si="20">H353-M353</f>
        <v>37292</v>
      </c>
      <c r="H353" s="16">
        <v>37292</v>
      </c>
      <c r="I353" s="16">
        <f t="shared" ref="I353" si="21">J353-H353</f>
        <v>0</v>
      </c>
      <c r="J353" s="31">
        <v>37292</v>
      </c>
      <c r="K353" s="69">
        <f t="shared" ref="K353" si="22">M353-L353</f>
        <v>0</v>
      </c>
      <c r="L353" s="50"/>
      <c r="M353" s="109"/>
      <c r="N353" s="110">
        <v>0.8</v>
      </c>
      <c r="O353" s="363"/>
    </row>
    <row r="354" spans="1:15" ht="15" hidden="1" customHeight="1" thickBot="1" x14ac:dyDescent="0.35">
      <c r="A354" s="14">
        <v>72</v>
      </c>
      <c r="B354" s="14" t="s">
        <v>373</v>
      </c>
      <c r="C354" s="273" t="s">
        <v>1472</v>
      </c>
      <c r="D354" s="281" t="s">
        <v>1105</v>
      </c>
      <c r="E354" s="15" t="s">
        <v>504</v>
      </c>
      <c r="F354" s="15">
        <v>1</v>
      </c>
      <c r="G354" s="16">
        <f t="shared" si="18"/>
        <v>118656</v>
      </c>
      <c r="H354" s="16">
        <v>118656</v>
      </c>
      <c r="I354" s="16">
        <f t="shared" si="17"/>
        <v>0</v>
      </c>
      <c r="J354" s="31">
        <v>118656</v>
      </c>
      <c r="K354" s="69">
        <f t="shared" si="19"/>
        <v>0</v>
      </c>
      <c r="L354" s="50"/>
      <c r="M354" s="109"/>
      <c r="N354" s="110">
        <v>0.8</v>
      </c>
      <c r="O354" s="363"/>
    </row>
    <row r="355" spans="1:15" ht="15" hidden="1" customHeight="1" thickBot="1" x14ac:dyDescent="0.35">
      <c r="A355" s="14">
        <v>72</v>
      </c>
      <c r="B355" s="14" t="s">
        <v>373</v>
      </c>
      <c r="C355" s="273" t="s">
        <v>1472</v>
      </c>
      <c r="D355" s="282" t="s">
        <v>985</v>
      </c>
      <c r="E355" s="15" t="s">
        <v>506</v>
      </c>
      <c r="F355" s="15">
        <v>4</v>
      </c>
      <c r="G355" s="16">
        <f t="shared" si="18"/>
        <v>152244</v>
      </c>
      <c r="H355" s="16">
        <v>152244</v>
      </c>
      <c r="I355" s="16">
        <f t="shared" si="17"/>
        <v>0</v>
      </c>
      <c r="J355" s="31">
        <v>152244</v>
      </c>
      <c r="K355" s="69">
        <f t="shared" si="19"/>
        <v>0</v>
      </c>
      <c r="L355" s="50"/>
      <c r="M355" s="109"/>
      <c r="N355" s="110">
        <v>0.8</v>
      </c>
      <c r="O355" s="363"/>
    </row>
    <row r="356" spans="1:15" ht="15" hidden="1" customHeight="1" thickBot="1" x14ac:dyDescent="0.35">
      <c r="A356" s="14">
        <v>72</v>
      </c>
      <c r="B356" s="14" t="s">
        <v>373</v>
      </c>
      <c r="C356" s="273" t="s">
        <v>1472</v>
      </c>
      <c r="D356" s="283" t="s">
        <v>1061</v>
      </c>
      <c r="E356" s="15" t="s">
        <v>508</v>
      </c>
      <c r="F356" s="15">
        <v>2</v>
      </c>
      <c r="G356" s="16">
        <f t="shared" si="18"/>
        <v>208242</v>
      </c>
      <c r="H356" s="16">
        <v>208242</v>
      </c>
      <c r="I356" s="16">
        <f t="shared" si="17"/>
        <v>0</v>
      </c>
      <c r="J356" s="31">
        <v>208242</v>
      </c>
      <c r="K356" s="69">
        <f t="shared" si="19"/>
        <v>0</v>
      </c>
      <c r="L356" s="50"/>
      <c r="M356" s="109"/>
      <c r="N356" s="110">
        <v>0.8</v>
      </c>
      <c r="O356" s="363"/>
    </row>
    <row r="357" spans="1:15" ht="15" hidden="1" customHeight="1" thickBot="1" x14ac:dyDescent="0.35">
      <c r="A357" s="14">
        <v>72</v>
      </c>
      <c r="B357" s="14" t="s">
        <v>373</v>
      </c>
      <c r="C357" s="289" t="s">
        <v>1472</v>
      </c>
      <c r="D357" s="283" t="s">
        <v>670</v>
      </c>
      <c r="E357" s="15" t="s">
        <v>506</v>
      </c>
      <c r="F357" s="15">
        <v>3</v>
      </c>
      <c r="G357" s="16">
        <f t="shared" si="18"/>
        <v>201630</v>
      </c>
      <c r="H357" s="16">
        <v>201630</v>
      </c>
      <c r="I357" s="16">
        <f t="shared" si="17"/>
        <v>0</v>
      </c>
      <c r="J357" s="31">
        <v>201630</v>
      </c>
      <c r="K357" s="69">
        <f t="shared" si="19"/>
        <v>0</v>
      </c>
      <c r="L357" s="50"/>
      <c r="M357" s="109"/>
      <c r="N357" s="110">
        <v>0.8</v>
      </c>
      <c r="O357" s="363"/>
    </row>
    <row r="358" spans="1:15" ht="15" hidden="1" customHeight="1" thickBot="1" x14ac:dyDescent="0.35">
      <c r="A358" s="14">
        <v>72</v>
      </c>
      <c r="B358" s="14" t="s">
        <v>373</v>
      </c>
      <c r="C358" s="289" t="s">
        <v>1472</v>
      </c>
      <c r="D358" s="200" t="s">
        <v>1102</v>
      </c>
      <c r="E358" s="15" t="s">
        <v>500</v>
      </c>
      <c r="F358" s="15">
        <v>1</v>
      </c>
      <c r="G358" s="16">
        <f t="shared" ref="G358" si="23">H358-M358</f>
        <v>25056</v>
      </c>
      <c r="H358" s="16">
        <v>25056</v>
      </c>
      <c r="I358" s="16">
        <f t="shared" ref="I358" si="24">J358-H358</f>
        <v>0</v>
      </c>
      <c r="J358" s="31">
        <v>25056</v>
      </c>
      <c r="K358" s="69">
        <f t="shared" ref="K358" si="25">M358-L358</f>
        <v>0</v>
      </c>
      <c r="L358" s="50"/>
      <c r="M358" s="109"/>
      <c r="N358" s="110">
        <v>0.8</v>
      </c>
      <c r="O358" s="344"/>
    </row>
    <row r="359" spans="1:15" ht="15" hidden="1" customHeight="1" thickBot="1" x14ac:dyDescent="0.35">
      <c r="A359" s="14">
        <v>72</v>
      </c>
      <c r="B359" s="14" t="s">
        <v>373</v>
      </c>
      <c r="C359" s="289" t="s">
        <v>957</v>
      </c>
      <c r="D359" s="281" t="s">
        <v>679</v>
      </c>
      <c r="E359" s="15" t="s">
        <v>502</v>
      </c>
      <c r="F359" s="15">
        <v>2</v>
      </c>
      <c r="G359" s="16">
        <f t="shared" si="18"/>
        <v>63750</v>
      </c>
      <c r="H359" s="16">
        <v>63750</v>
      </c>
      <c r="I359" s="16">
        <f t="shared" si="17"/>
        <v>0</v>
      </c>
      <c r="J359" s="31">
        <v>63750</v>
      </c>
      <c r="K359" s="69">
        <f t="shared" si="19"/>
        <v>0</v>
      </c>
      <c r="L359" s="50"/>
      <c r="M359" s="109"/>
      <c r="N359" s="110">
        <v>0.8</v>
      </c>
      <c r="O359" s="363"/>
    </row>
    <row r="360" spans="1:15" ht="15" hidden="1" customHeight="1" thickBot="1" x14ac:dyDescent="0.35">
      <c r="A360" s="14">
        <v>72</v>
      </c>
      <c r="B360" s="14" t="s">
        <v>373</v>
      </c>
      <c r="C360" s="289" t="s">
        <v>957</v>
      </c>
      <c r="D360" s="281" t="s">
        <v>694</v>
      </c>
      <c r="E360" s="15" t="s">
        <v>509</v>
      </c>
      <c r="F360" s="15">
        <v>2</v>
      </c>
      <c r="G360" s="16">
        <f t="shared" si="18"/>
        <v>64677</v>
      </c>
      <c r="H360" s="16">
        <v>64677</v>
      </c>
      <c r="I360" s="16">
        <f t="shared" si="17"/>
        <v>0</v>
      </c>
      <c r="J360" s="31">
        <v>64677</v>
      </c>
      <c r="K360" s="69">
        <f t="shared" si="19"/>
        <v>0</v>
      </c>
      <c r="L360" s="50"/>
      <c r="M360" s="109"/>
      <c r="N360" s="110">
        <v>0.8</v>
      </c>
      <c r="O360" s="363"/>
    </row>
    <row r="361" spans="1:15" ht="15" hidden="1" customHeight="1" thickBot="1" x14ac:dyDescent="0.35">
      <c r="A361" s="14">
        <v>72</v>
      </c>
      <c r="B361" s="14" t="s">
        <v>373</v>
      </c>
      <c r="C361" s="289" t="s">
        <v>957</v>
      </c>
      <c r="D361" s="281" t="s">
        <v>618</v>
      </c>
      <c r="E361" s="15" t="s">
        <v>509</v>
      </c>
      <c r="F361" s="15">
        <v>1</v>
      </c>
      <c r="G361" s="16">
        <f t="shared" si="18"/>
        <v>61554</v>
      </c>
      <c r="H361" s="16">
        <v>61554</v>
      </c>
      <c r="I361" s="16">
        <f t="shared" si="17"/>
        <v>0</v>
      </c>
      <c r="J361" s="31">
        <v>61554</v>
      </c>
      <c r="K361" s="69">
        <f t="shared" si="19"/>
        <v>0</v>
      </c>
      <c r="L361" s="50"/>
      <c r="M361" s="109"/>
      <c r="N361" s="110">
        <v>0.8</v>
      </c>
      <c r="O361" s="363"/>
    </row>
    <row r="362" spans="1:15" ht="15" hidden="1" customHeight="1" thickBot="1" x14ac:dyDescent="0.35">
      <c r="A362" s="14">
        <v>72</v>
      </c>
      <c r="B362" s="14" t="s">
        <v>373</v>
      </c>
      <c r="C362" s="289" t="s">
        <v>957</v>
      </c>
      <c r="D362" s="281" t="s">
        <v>981</v>
      </c>
      <c r="E362" s="15" t="s">
        <v>502</v>
      </c>
      <c r="F362" s="15">
        <v>4</v>
      </c>
      <c r="G362" s="16">
        <f t="shared" si="18"/>
        <v>63700</v>
      </c>
      <c r="H362" s="16">
        <v>63700</v>
      </c>
      <c r="I362" s="16">
        <f t="shared" si="17"/>
        <v>0</v>
      </c>
      <c r="J362" s="31">
        <v>63700</v>
      </c>
      <c r="K362" s="69">
        <f t="shared" si="19"/>
        <v>0</v>
      </c>
      <c r="L362" s="50"/>
      <c r="M362" s="109"/>
      <c r="N362" s="110">
        <v>0.8</v>
      </c>
      <c r="O362" s="363"/>
    </row>
    <row r="363" spans="1:15" ht="15" hidden="1" customHeight="1" thickBot="1" x14ac:dyDescent="0.35">
      <c r="A363" s="14">
        <v>72</v>
      </c>
      <c r="B363" s="14" t="s">
        <v>373</v>
      </c>
      <c r="C363" s="289" t="s">
        <v>957</v>
      </c>
      <c r="D363" s="281" t="s">
        <v>1105</v>
      </c>
      <c r="E363" s="15" t="s">
        <v>504</v>
      </c>
      <c r="F363" s="15">
        <v>1</v>
      </c>
      <c r="G363" s="16">
        <f t="shared" si="18"/>
        <v>71127</v>
      </c>
      <c r="H363" s="16">
        <v>71127</v>
      </c>
      <c r="I363" s="16">
        <f t="shared" si="17"/>
        <v>0</v>
      </c>
      <c r="J363" s="31">
        <v>71127</v>
      </c>
      <c r="K363" s="69">
        <f t="shared" si="19"/>
        <v>0</v>
      </c>
      <c r="L363" s="50"/>
      <c r="M363" s="109"/>
      <c r="N363" s="110">
        <v>0.8</v>
      </c>
      <c r="O363" s="363"/>
    </row>
    <row r="364" spans="1:15" ht="15" hidden="1" customHeight="1" thickBot="1" x14ac:dyDescent="0.35">
      <c r="A364" s="14">
        <v>72</v>
      </c>
      <c r="B364" s="14" t="s">
        <v>373</v>
      </c>
      <c r="C364" s="289" t="s">
        <v>957</v>
      </c>
      <c r="D364" s="281" t="s">
        <v>1043</v>
      </c>
      <c r="E364" s="15" t="s">
        <v>500</v>
      </c>
      <c r="F364" s="15">
        <v>2</v>
      </c>
      <c r="G364" s="16">
        <f t="shared" si="18"/>
        <v>67656</v>
      </c>
      <c r="H364" s="16">
        <v>67656</v>
      </c>
      <c r="I364" s="16">
        <f t="shared" si="17"/>
        <v>0</v>
      </c>
      <c r="J364" s="31">
        <v>67656</v>
      </c>
      <c r="K364" s="69">
        <f t="shared" si="19"/>
        <v>0</v>
      </c>
      <c r="L364" s="50"/>
      <c r="M364" s="109"/>
      <c r="N364" s="110">
        <v>0.8</v>
      </c>
      <c r="O364" s="363"/>
    </row>
    <row r="365" spans="1:15" ht="15" hidden="1" customHeight="1" thickBot="1" x14ac:dyDescent="0.35">
      <c r="A365" s="14">
        <v>72</v>
      </c>
      <c r="B365" s="14" t="s">
        <v>373</v>
      </c>
      <c r="C365" s="289" t="s">
        <v>957</v>
      </c>
      <c r="D365" s="282" t="s">
        <v>985</v>
      </c>
      <c r="E365" s="15" t="s">
        <v>506</v>
      </c>
      <c r="F365" s="15">
        <v>1</v>
      </c>
      <c r="G365" s="16">
        <f t="shared" si="18"/>
        <v>13006</v>
      </c>
      <c r="H365" s="16">
        <v>13006</v>
      </c>
      <c r="I365" s="16">
        <f t="shared" si="17"/>
        <v>0</v>
      </c>
      <c r="J365" s="31">
        <v>13006</v>
      </c>
      <c r="K365" s="69">
        <f t="shared" si="19"/>
        <v>0</v>
      </c>
      <c r="L365" s="50"/>
      <c r="M365" s="109"/>
      <c r="N365" s="110">
        <v>0.8</v>
      </c>
      <c r="O365" s="363"/>
    </row>
    <row r="366" spans="1:15" ht="15" hidden="1" customHeight="1" thickBot="1" x14ac:dyDescent="0.35">
      <c r="A366" s="14">
        <v>72</v>
      </c>
      <c r="B366" s="14" t="s">
        <v>373</v>
      </c>
      <c r="C366" s="289" t="s">
        <v>957</v>
      </c>
      <c r="D366" s="282" t="s">
        <v>1076</v>
      </c>
      <c r="E366" s="15" t="s">
        <v>512</v>
      </c>
      <c r="F366" s="15">
        <v>2</v>
      </c>
      <c r="G366" s="16">
        <f t="shared" si="18"/>
        <v>14210</v>
      </c>
      <c r="H366" s="16">
        <v>14210</v>
      </c>
      <c r="I366" s="16">
        <f t="shared" si="17"/>
        <v>0</v>
      </c>
      <c r="J366" s="31">
        <v>14210</v>
      </c>
      <c r="K366" s="69">
        <f t="shared" si="19"/>
        <v>0</v>
      </c>
      <c r="L366" s="50"/>
      <c r="M366" s="109"/>
      <c r="N366" s="110">
        <v>0.8</v>
      </c>
      <c r="O366" s="363"/>
    </row>
    <row r="367" spans="1:15" ht="15" hidden="1" customHeight="1" thickBot="1" x14ac:dyDescent="0.35">
      <c r="A367" s="14">
        <v>72</v>
      </c>
      <c r="B367" s="14" t="s">
        <v>373</v>
      </c>
      <c r="C367" s="289" t="s">
        <v>957</v>
      </c>
      <c r="D367" s="282" t="s">
        <v>1001</v>
      </c>
      <c r="E367" s="15" t="s">
        <v>504</v>
      </c>
      <c r="F367" s="15">
        <v>2</v>
      </c>
      <c r="G367" s="16">
        <f t="shared" ref="G367" si="26">H367-M367</f>
        <v>14222</v>
      </c>
      <c r="H367" s="16">
        <v>14222</v>
      </c>
      <c r="I367" s="16">
        <f t="shared" ref="I367" si="27">J367-H367</f>
        <v>0</v>
      </c>
      <c r="J367" s="31">
        <v>14222</v>
      </c>
      <c r="K367" s="69">
        <f t="shared" ref="K367" si="28">M367-L367</f>
        <v>0</v>
      </c>
      <c r="L367" s="50"/>
      <c r="M367" s="109"/>
      <c r="N367" s="110">
        <v>0.8</v>
      </c>
      <c r="O367" s="363"/>
    </row>
    <row r="368" spans="1:15" ht="15" hidden="1" customHeight="1" thickBot="1" x14ac:dyDescent="0.35">
      <c r="A368" s="14">
        <v>72</v>
      </c>
      <c r="B368" s="14" t="s">
        <v>373</v>
      </c>
      <c r="C368" s="289" t="s">
        <v>957</v>
      </c>
      <c r="D368" s="282" t="s">
        <v>980</v>
      </c>
      <c r="E368" s="15" t="s">
        <v>503</v>
      </c>
      <c r="F368" s="15">
        <v>1</v>
      </c>
      <c r="G368" s="16">
        <f t="shared" si="18"/>
        <v>15263</v>
      </c>
      <c r="H368" s="16">
        <v>15263</v>
      </c>
      <c r="I368" s="16">
        <f t="shared" si="17"/>
        <v>0</v>
      </c>
      <c r="J368" s="31">
        <v>15263</v>
      </c>
      <c r="K368" s="69">
        <f t="shared" si="19"/>
        <v>0</v>
      </c>
      <c r="L368" s="50"/>
      <c r="M368" s="109"/>
      <c r="N368" s="110">
        <v>0.8</v>
      </c>
      <c r="O368" s="363"/>
    </row>
    <row r="369" spans="1:15" ht="15" hidden="1" customHeight="1" thickBot="1" x14ac:dyDescent="0.35">
      <c r="A369" s="14">
        <v>72</v>
      </c>
      <c r="B369" s="14" t="s">
        <v>373</v>
      </c>
      <c r="C369" s="289" t="s">
        <v>957</v>
      </c>
      <c r="D369" s="200" t="s">
        <v>1102</v>
      </c>
      <c r="E369" s="15" t="s">
        <v>500</v>
      </c>
      <c r="F369" s="15">
        <v>2</v>
      </c>
      <c r="G369" s="16">
        <f t="shared" si="18"/>
        <v>52072</v>
      </c>
      <c r="H369" s="16">
        <v>52072</v>
      </c>
      <c r="I369" s="16">
        <f t="shared" si="17"/>
        <v>0</v>
      </c>
      <c r="J369" s="31">
        <v>52072</v>
      </c>
      <c r="K369" s="69">
        <f t="shared" si="19"/>
        <v>0</v>
      </c>
      <c r="L369" s="50"/>
      <c r="M369" s="109"/>
      <c r="N369" s="110">
        <v>0.8</v>
      </c>
      <c r="O369" s="363"/>
    </row>
    <row r="370" spans="1:15" ht="15" hidden="1" customHeight="1" thickBot="1" x14ac:dyDescent="0.35">
      <c r="A370" s="14">
        <v>72</v>
      </c>
      <c r="B370" s="14" t="s">
        <v>373</v>
      </c>
      <c r="C370" s="289" t="s">
        <v>957</v>
      </c>
      <c r="D370" s="283" t="s">
        <v>1061</v>
      </c>
      <c r="E370" s="15" t="s">
        <v>508</v>
      </c>
      <c r="F370" s="15">
        <v>2</v>
      </c>
      <c r="G370" s="16">
        <f t="shared" si="18"/>
        <v>12922</v>
      </c>
      <c r="H370" s="16">
        <v>12922</v>
      </c>
      <c r="I370" s="16">
        <f t="shared" si="17"/>
        <v>0</v>
      </c>
      <c r="J370" s="31">
        <v>12922</v>
      </c>
      <c r="K370" s="69">
        <f t="shared" si="19"/>
        <v>0</v>
      </c>
      <c r="L370" s="50"/>
      <c r="M370" s="109"/>
      <c r="N370" s="110">
        <v>0.8</v>
      </c>
      <c r="O370" s="363"/>
    </row>
    <row r="371" spans="1:15" ht="15" hidden="1" customHeight="1" thickBot="1" x14ac:dyDescent="0.35">
      <c r="A371" s="14">
        <v>72</v>
      </c>
      <c r="B371" s="14" t="s">
        <v>373</v>
      </c>
      <c r="C371" s="289" t="s">
        <v>957</v>
      </c>
      <c r="D371" s="283" t="s">
        <v>670</v>
      </c>
      <c r="E371" s="15" t="s">
        <v>506</v>
      </c>
      <c r="F371" s="15">
        <v>1</v>
      </c>
      <c r="G371" s="16">
        <f t="shared" si="18"/>
        <v>13211</v>
      </c>
      <c r="H371" s="16">
        <v>13211</v>
      </c>
      <c r="I371" s="16">
        <f t="shared" si="17"/>
        <v>0</v>
      </c>
      <c r="J371" s="31">
        <v>13211</v>
      </c>
      <c r="K371" s="69">
        <f t="shared" si="19"/>
        <v>0</v>
      </c>
      <c r="L371" s="50"/>
      <c r="M371" s="109"/>
      <c r="N371" s="110">
        <v>0.8</v>
      </c>
      <c r="O371" s="363"/>
    </row>
    <row r="372" spans="1:15" hidden="1" thickBot="1" x14ac:dyDescent="0.35">
      <c r="A372" s="14">
        <v>72</v>
      </c>
      <c r="B372" s="14" t="s">
        <v>373</v>
      </c>
      <c r="C372" s="289" t="s">
        <v>1551</v>
      </c>
      <c r="D372" s="281" t="s">
        <v>981</v>
      </c>
      <c r="E372" s="15" t="s">
        <v>502</v>
      </c>
      <c r="F372" s="15">
        <v>1</v>
      </c>
      <c r="G372" s="16">
        <f t="shared" si="18"/>
        <v>38738</v>
      </c>
      <c r="H372" s="16">
        <v>38738</v>
      </c>
      <c r="I372" s="16">
        <f t="shared" si="17"/>
        <v>0</v>
      </c>
      <c r="J372" s="31">
        <v>38738</v>
      </c>
      <c r="K372" s="69">
        <f t="shared" si="19"/>
        <v>0</v>
      </c>
      <c r="L372" s="50"/>
      <c r="M372" s="109"/>
      <c r="N372" s="110">
        <v>0.8</v>
      </c>
      <c r="O372" s="363"/>
    </row>
    <row r="373" spans="1:15" hidden="1" thickBot="1" x14ac:dyDescent="0.35">
      <c r="A373" s="14">
        <v>72</v>
      </c>
      <c r="B373" s="14" t="s">
        <v>373</v>
      </c>
      <c r="C373" s="289" t="s">
        <v>1551</v>
      </c>
      <c r="D373" s="281" t="s">
        <v>679</v>
      </c>
      <c r="E373" s="15" t="s">
        <v>502</v>
      </c>
      <c r="F373" s="15">
        <v>1</v>
      </c>
      <c r="G373" s="16">
        <f t="shared" si="18"/>
        <v>38931</v>
      </c>
      <c r="H373" s="16">
        <v>38931</v>
      </c>
      <c r="I373" s="16">
        <f t="shared" si="17"/>
        <v>0</v>
      </c>
      <c r="J373" s="31">
        <v>38931</v>
      </c>
      <c r="K373" s="69">
        <f t="shared" si="19"/>
        <v>0</v>
      </c>
      <c r="L373" s="50"/>
      <c r="M373" s="109"/>
      <c r="N373" s="110">
        <v>0.8</v>
      </c>
      <c r="O373" s="363"/>
    </row>
    <row r="374" spans="1:15" hidden="1" thickBot="1" x14ac:dyDescent="0.35">
      <c r="A374" s="14">
        <v>72</v>
      </c>
      <c r="B374" s="14" t="s">
        <v>373</v>
      </c>
      <c r="C374" s="289" t="s">
        <v>1551</v>
      </c>
      <c r="D374" s="281" t="s">
        <v>694</v>
      </c>
      <c r="E374" s="15" t="s">
        <v>509</v>
      </c>
      <c r="F374" s="15">
        <v>2</v>
      </c>
      <c r="G374" s="16">
        <f t="shared" si="18"/>
        <v>46800</v>
      </c>
      <c r="H374" s="16">
        <v>46800</v>
      </c>
      <c r="I374" s="16">
        <f t="shared" si="17"/>
        <v>0</v>
      </c>
      <c r="J374" s="31">
        <v>46800</v>
      </c>
      <c r="K374" s="69">
        <f t="shared" si="19"/>
        <v>0</v>
      </c>
      <c r="L374" s="50"/>
      <c r="M374" s="109"/>
      <c r="N374" s="110">
        <v>0.8</v>
      </c>
      <c r="O374" s="363"/>
    </row>
    <row r="375" spans="1:15" hidden="1" thickBot="1" x14ac:dyDescent="0.35">
      <c r="A375" s="14">
        <v>72</v>
      </c>
      <c r="B375" s="14" t="s">
        <v>373</v>
      </c>
      <c r="C375" s="289" t="s">
        <v>1551</v>
      </c>
      <c r="D375" s="281" t="s">
        <v>618</v>
      </c>
      <c r="E375" s="15" t="s">
        <v>509</v>
      </c>
      <c r="F375" s="15">
        <v>2</v>
      </c>
      <c r="G375" s="16">
        <f t="shared" si="18"/>
        <v>45781</v>
      </c>
      <c r="H375" s="16">
        <v>45781</v>
      </c>
      <c r="I375" s="16">
        <f t="shared" si="17"/>
        <v>0</v>
      </c>
      <c r="J375" s="31">
        <v>45781</v>
      </c>
      <c r="K375" s="69">
        <f t="shared" si="19"/>
        <v>0</v>
      </c>
      <c r="L375" s="50"/>
      <c r="M375" s="109"/>
      <c r="N375" s="110">
        <v>0.8</v>
      </c>
      <c r="O375" s="363"/>
    </row>
    <row r="376" spans="1:15" hidden="1" thickBot="1" x14ac:dyDescent="0.35">
      <c r="A376" s="14">
        <v>72</v>
      </c>
      <c r="B376" s="14" t="s">
        <v>373</v>
      </c>
      <c r="C376" s="289" t="s">
        <v>1551</v>
      </c>
      <c r="D376" s="281" t="s">
        <v>1043</v>
      </c>
      <c r="E376" s="15" t="s">
        <v>500</v>
      </c>
      <c r="F376" s="15">
        <v>2</v>
      </c>
      <c r="G376" s="16">
        <f t="shared" si="18"/>
        <v>44262</v>
      </c>
      <c r="H376" s="16">
        <v>44262</v>
      </c>
      <c r="I376" s="16">
        <f t="shared" si="17"/>
        <v>0</v>
      </c>
      <c r="J376" s="31">
        <v>44262</v>
      </c>
      <c r="K376" s="69">
        <f t="shared" si="19"/>
        <v>0</v>
      </c>
      <c r="L376" s="50"/>
      <c r="M376" s="109"/>
      <c r="N376" s="110">
        <v>0.8</v>
      </c>
      <c r="O376" s="363"/>
    </row>
    <row r="377" spans="1:15" hidden="1" thickBot="1" x14ac:dyDescent="0.35">
      <c r="A377" s="14">
        <v>72</v>
      </c>
      <c r="B377" s="14" t="s">
        <v>373</v>
      </c>
      <c r="C377" s="289" t="s">
        <v>1551</v>
      </c>
      <c r="D377" s="281" t="s">
        <v>1105</v>
      </c>
      <c r="E377" s="15" t="s">
        <v>504</v>
      </c>
      <c r="F377" s="15">
        <v>1</v>
      </c>
      <c r="G377" s="16">
        <f t="shared" si="18"/>
        <v>47944</v>
      </c>
      <c r="H377" s="16">
        <v>47944</v>
      </c>
      <c r="I377" s="16">
        <f t="shared" si="17"/>
        <v>0</v>
      </c>
      <c r="J377" s="31">
        <v>47944</v>
      </c>
      <c r="K377" s="69">
        <f t="shared" si="19"/>
        <v>0</v>
      </c>
      <c r="L377" s="50"/>
      <c r="M377" s="109"/>
      <c r="N377" s="110">
        <v>0.8</v>
      </c>
      <c r="O377" s="363"/>
    </row>
    <row r="378" spans="1:15" hidden="1" thickBot="1" x14ac:dyDescent="0.35">
      <c r="A378" s="14">
        <v>72</v>
      </c>
      <c r="B378" s="14" t="s">
        <v>373</v>
      </c>
      <c r="C378" s="289" t="s">
        <v>1551</v>
      </c>
      <c r="D378" s="282" t="s">
        <v>1001</v>
      </c>
      <c r="E378" s="15" t="s">
        <v>504</v>
      </c>
      <c r="F378" s="15">
        <v>1</v>
      </c>
      <c r="G378" s="16">
        <f t="shared" si="18"/>
        <v>57720</v>
      </c>
      <c r="H378" s="16">
        <v>57720</v>
      </c>
      <c r="I378" s="16">
        <f t="shared" si="17"/>
        <v>0</v>
      </c>
      <c r="J378" s="31">
        <v>57720</v>
      </c>
      <c r="K378" s="69">
        <f t="shared" si="19"/>
        <v>0</v>
      </c>
      <c r="L378" s="50"/>
      <c r="M378" s="109"/>
      <c r="N378" s="110">
        <v>0.8</v>
      </c>
      <c r="O378" s="363"/>
    </row>
    <row r="379" spans="1:15" hidden="1" thickBot="1" x14ac:dyDescent="0.35">
      <c r="A379" s="14">
        <v>72</v>
      </c>
      <c r="B379" s="14" t="s">
        <v>373</v>
      </c>
      <c r="C379" s="289" t="s">
        <v>1551</v>
      </c>
      <c r="D379" s="282" t="s">
        <v>980</v>
      </c>
      <c r="E379" s="15" t="s">
        <v>503</v>
      </c>
      <c r="F379" s="15">
        <v>1</v>
      </c>
      <c r="G379" s="16">
        <f t="shared" si="18"/>
        <v>63687</v>
      </c>
      <c r="H379" s="16">
        <v>63687</v>
      </c>
      <c r="I379" s="16">
        <f t="shared" si="17"/>
        <v>0</v>
      </c>
      <c r="J379" s="31">
        <v>63687</v>
      </c>
      <c r="K379" s="69">
        <f t="shared" si="19"/>
        <v>0</v>
      </c>
      <c r="L379" s="50"/>
      <c r="M379" s="109"/>
      <c r="N379" s="110">
        <v>0.8</v>
      </c>
      <c r="O379" s="363"/>
    </row>
    <row r="380" spans="1:15" hidden="1" thickBot="1" x14ac:dyDescent="0.35">
      <c r="A380" s="14">
        <v>72</v>
      </c>
      <c r="B380" s="14" t="s">
        <v>373</v>
      </c>
      <c r="C380" s="289" t="s">
        <v>1551</v>
      </c>
      <c r="D380" s="282" t="s">
        <v>985</v>
      </c>
      <c r="E380" s="15" t="s">
        <v>506</v>
      </c>
      <c r="F380" s="15">
        <v>2</v>
      </c>
      <c r="G380" s="16">
        <f t="shared" si="18"/>
        <v>57460</v>
      </c>
      <c r="H380" s="16">
        <v>57460</v>
      </c>
      <c r="I380" s="16">
        <f t="shared" si="17"/>
        <v>0</v>
      </c>
      <c r="J380" s="31">
        <v>57460</v>
      </c>
      <c r="K380" s="69">
        <f t="shared" si="19"/>
        <v>0</v>
      </c>
      <c r="L380" s="50"/>
      <c r="M380" s="109"/>
      <c r="N380" s="110">
        <v>0.8</v>
      </c>
      <c r="O380" s="363"/>
    </row>
    <row r="381" spans="1:15" hidden="1" thickBot="1" x14ac:dyDescent="0.35">
      <c r="A381" s="14">
        <v>72</v>
      </c>
      <c r="B381" s="14" t="s">
        <v>373</v>
      </c>
      <c r="C381" s="289" t="s">
        <v>1551</v>
      </c>
      <c r="D381" s="282" t="s">
        <v>1076</v>
      </c>
      <c r="E381" s="15" t="s">
        <v>512</v>
      </c>
      <c r="F381" s="15">
        <v>1</v>
      </c>
      <c r="G381" s="16">
        <f t="shared" si="18"/>
        <v>60005</v>
      </c>
      <c r="H381" s="16">
        <v>60005</v>
      </c>
      <c r="I381" s="16">
        <f t="shared" si="17"/>
        <v>0</v>
      </c>
      <c r="J381" s="31">
        <v>60005</v>
      </c>
      <c r="K381" s="69">
        <f t="shared" si="19"/>
        <v>0</v>
      </c>
      <c r="L381" s="50"/>
      <c r="M381" s="109"/>
      <c r="N381" s="110">
        <v>0.8</v>
      </c>
      <c r="O381" s="363"/>
    </row>
    <row r="382" spans="1:15" hidden="1" thickBot="1" x14ac:dyDescent="0.35">
      <c r="A382" s="14">
        <v>72</v>
      </c>
      <c r="B382" s="14" t="s">
        <v>373</v>
      </c>
      <c r="C382" s="289" t="s">
        <v>1551</v>
      </c>
      <c r="D382" s="14" t="s">
        <v>1102</v>
      </c>
      <c r="E382" s="15" t="s">
        <v>500</v>
      </c>
      <c r="F382" s="15">
        <v>1</v>
      </c>
      <c r="G382" s="16">
        <f t="shared" si="18"/>
        <v>55333</v>
      </c>
      <c r="H382" s="16">
        <v>55333</v>
      </c>
      <c r="I382" s="16">
        <f t="shared" si="17"/>
        <v>0</v>
      </c>
      <c r="J382" s="31">
        <v>55333</v>
      </c>
      <c r="K382" s="69">
        <f t="shared" si="19"/>
        <v>0</v>
      </c>
      <c r="L382" s="50"/>
      <c r="M382" s="109"/>
      <c r="N382" s="110">
        <v>0.8</v>
      </c>
      <c r="O382" s="363"/>
    </row>
    <row r="383" spans="1:15" hidden="1" thickBot="1" x14ac:dyDescent="0.35">
      <c r="A383" s="14">
        <v>72</v>
      </c>
      <c r="B383" s="14" t="s">
        <v>373</v>
      </c>
      <c r="C383" s="289" t="s">
        <v>1551</v>
      </c>
      <c r="D383" s="283" t="s">
        <v>670</v>
      </c>
      <c r="E383" s="15" t="s">
        <v>506</v>
      </c>
      <c r="F383" s="15">
        <v>2</v>
      </c>
      <c r="G383" s="16">
        <f t="shared" si="18"/>
        <v>65520</v>
      </c>
      <c r="H383" s="16">
        <v>65520</v>
      </c>
      <c r="I383" s="16">
        <f t="shared" si="17"/>
        <v>0</v>
      </c>
      <c r="J383" s="31">
        <v>65520</v>
      </c>
      <c r="K383" s="69">
        <f t="shared" si="19"/>
        <v>0</v>
      </c>
      <c r="L383" s="50"/>
      <c r="M383" s="109"/>
      <c r="N383" s="110">
        <v>0.8</v>
      </c>
      <c r="O383" s="363"/>
    </row>
    <row r="384" spans="1:15" hidden="1" thickBot="1" x14ac:dyDescent="0.35">
      <c r="A384" s="14">
        <v>72</v>
      </c>
      <c r="B384" s="14" t="s">
        <v>373</v>
      </c>
      <c r="C384" s="289" t="s">
        <v>1551</v>
      </c>
      <c r="D384" s="283" t="s">
        <v>1061</v>
      </c>
      <c r="E384" s="15" t="s">
        <v>508</v>
      </c>
      <c r="F384" s="15">
        <v>1</v>
      </c>
      <c r="G384" s="16">
        <f t="shared" si="18"/>
        <v>67600</v>
      </c>
      <c r="H384" s="16">
        <v>67600</v>
      </c>
      <c r="I384" s="16">
        <f t="shared" si="17"/>
        <v>0</v>
      </c>
      <c r="J384" s="31">
        <v>67600</v>
      </c>
      <c r="K384" s="69">
        <f t="shared" si="19"/>
        <v>0</v>
      </c>
      <c r="L384" s="50"/>
      <c r="M384" s="109"/>
      <c r="N384" s="110">
        <v>0.8</v>
      </c>
      <c r="O384" s="363"/>
    </row>
    <row r="385" spans="1:14" ht="15" hidden="1" thickBot="1" x14ac:dyDescent="0.35">
      <c r="A385" s="14">
        <v>73</v>
      </c>
      <c r="B385" s="14" t="s">
        <v>640</v>
      </c>
      <c r="C385" s="14" t="s">
        <v>641</v>
      </c>
      <c r="D385" s="14" t="s">
        <v>510</v>
      </c>
      <c r="E385" s="15" t="s">
        <v>500</v>
      </c>
      <c r="F385" s="15">
        <v>8</v>
      </c>
      <c r="G385" s="16">
        <f t="shared" si="18"/>
        <v>27859</v>
      </c>
      <c r="H385" s="16">
        <v>28339</v>
      </c>
      <c r="I385" s="16">
        <f t="shared" si="17"/>
        <v>0</v>
      </c>
      <c r="J385" s="31">
        <v>28339</v>
      </c>
      <c r="K385" s="69">
        <f t="shared" si="19"/>
        <v>0</v>
      </c>
      <c r="L385" s="50">
        <v>480</v>
      </c>
      <c r="M385" s="109">
        <v>480</v>
      </c>
      <c r="N385" s="110">
        <v>0.92500000000000004</v>
      </c>
    </row>
    <row r="386" spans="1:14" ht="15" hidden="1" thickBot="1" x14ac:dyDescent="0.35">
      <c r="A386" s="14">
        <v>73</v>
      </c>
      <c r="B386" s="14" t="s">
        <v>640</v>
      </c>
      <c r="C386" s="14" t="s">
        <v>641</v>
      </c>
      <c r="D386" s="14" t="s">
        <v>505</v>
      </c>
      <c r="E386" s="15" t="s">
        <v>504</v>
      </c>
      <c r="F386" s="15">
        <v>6</v>
      </c>
      <c r="G386" s="16">
        <f t="shared" si="18"/>
        <v>25869</v>
      </c>
      <c r="H386" s="16">
        <v>25869</v>
      </c>
      <c r="I386" s="16">
        <f t="shared" si="17"/>
        <v>0</v>
      </c>
      <c r="J386" s="31">
        <v>25869</v>
      </c>
      <c r="K386" s="69">
        <f t="shared" si="19"/>
        <v>0</v>
      </c>
      <c r="L386" s="50"/>
      <c r="M386" s="109"/>
      <c r="N386" s="110">
        <v>0.90500000000000003</v>
      </c>
    </row>
    <row r="387" spans="1:14" ht="15" hidden="1" thickBot="1" x14ac:dyDescent="0.35">
      <c r="A387" s="14">
        <v>73</v>
      </c>
      <c r="B387" s="14" t="s">
        <v>640</v>
      </c>
      <c r="C387" s="14" t="s">
        <v>641</v>
      </c>
      <c r="D387" s="14" t="s">
        <v>614</v>
      </c>
      <c r="E387" s="15" t="s">
        <v>512</v>
      </c>
      <c r="F387" s="15">
        <v>5</v>
      </c>
      <c r="G387" s="16">
        <f t="shared" si="18"/>
        <v>24816</v>
      </c>
      <c r="H387" s="16">
        <v>24966</v>
      </c>
      <c r="I387" s="16">
        <f t="shared" si="17"/>
        <v>0</v>
      </c>
      <c r="J387" s="31">
        <v>24966</v>
      </c>
      <c r="K387" s="69">
        <f t="shared" si="19"/>
        <v>0</v>
      </c>
      <c r="L387" s="50">
        <v>150</v>
      </c>
      <c r="M387" s="109">
        <v>150</v>
      </c>
      <c r="N387" s="110">
        <v>0.9</v>
      </c>
    </row>
    <row r="388" spans="1:14" ht="15" hidden="1" thickBot="1" x14ac:dyDescent="0.35">
      <c r="A388" s="14">
        <v>73</v>
      </c>
      <c r="B388" s="14" t="s">
        <v>640</v>
      </c>
      <c r="C388" s="14" t="s">
        <v>641</v>
      </c>
      <c r="D388" s="14" t="s">
        <v>614</v>
      </c>
      <c r="E388" s="15" t="s">
        <v>500</v>
      </c>
      <c r="F388" s="15">
        <v>9</v>
      </c>
      <c r="G388" s="16">
        <f t="shared" si="18"/>
        <v>72417</v>
      </c>
      <c r="H388" s="16">
        <v>73787</v>
      </c>
      <c r="I388" s="16">
        <f t="shared" si="17"/>
        <v>0</v>
      </c>
      <c r="J388" s="31">
        <v>73787</v>
      </c>
      <c r="K388" s="69">
        <f t="shared" si="19"/>
        <v>0</v>
      </c>
      <c r="L388" s="50">
        <v>1370</v>
      </c>
      <c r="M388" s="109">
        <v>1370</v>
      </c>
      <c r="N388" s="110">
        <v>0.9</v>
      </c>
    </row>
    <row r="389" spans="1:14" ht="15" hidden="1" thickBot="1" x14ac:dyDescent="0.35">
      <c r="A389" s="14">
        <v>74</v>
      </c>
      <c r="B389" s="14" t="s">
        <v>642</v>
      </c>
      <c r="C389" s="14" t="s">
        <v>641</v>
      </c>
      <c r="D389" s="14" t="s">
        <v>614</v>
      </c>
      <c r="E389" s="15" t="s">
        <v>503</v>
      </c>
      <c r="F389" s="15">
        <v>8</v>
      </c>
      <c r="G389" s="16">
        <f t="shared" si="18"/>
        <v>70557</v>
      </c>
      <c r="H389" s="16">
        <v>70797</v>
      </c>
      <c r="I389" s="16">
        <f t="shared" ref="I389:I473" si="29">J389-H389</f>
        <v>0</v>
      </c>
      <c r="J389" s="31">
        <v>70797</v>
      </c>
      <c r="K389" s="69">
        <f t="shared" si="19"/>
        <v>0</v>
      </c>
      <c r="L389" s="50">
        <v>240</v>
      </c>
      <c r="M389" s="109">
        <v>240</v>
      </c>
      <c r="N389" s="110"/>
    </row>
    <row r="390" spans="1:14" ht="15" hidden="1" thickBot="1" x14ac:dyDescent="0.35">
      <c r="A390" s="14">
        <v>74</v>
      </c>
      <c r="B390" s="14" t="s">
        <v>642</v>
      </c>
      <c r="C390" s="14" t="s">
        <v>641</v>
      </c>
      <c r="D390" s="14" t="s">
        <v>510</v>
      </c>
      <c r="E390" s="15" t="s">
        <v>503</v>
      </c>
      <c r="F390" s="15">
        <v>6</v>
      </c>
      <c r="G390" s="16">
        <f t="shared" si="18"/>
        <v>37306</v>
      </c>
      <c r="H390" s="16">
        <v>37576</v>
      </c>
      <c r="I390" s="16">
        <f t="shared" si="29"/>
        <v>0</v>
      </c>
      <c r="J390" s="31">
        <v>37576</v>
      </c>
      <c r="K390" s="69">
        <f t="shared" si="19"/>
        <v>0</v>
      </c>
      <c r="L390" s="50">
        <v>270</v>
      </c>
      <c r="M390" s="109">
        <v>270</v>
      </c>
      <c r="N390" s="110"/>
    </row>
    <row r="391" spans="1:14" ht="15" hidden="1" thickBot="1" x14ac:dyDescent="0.35">
      <c r="A391" s="14">
        <v>74</v>
      </c>
      <c r="B391" s="14" t="s">
        <v>642</v>
      </c>
      <c r="C391" s="14" t="s">
        <v>641</v>
      </c>
      <c r="D391" s="14" t="s">
        <v>524</v>
      </c>
      <c r="E391" s="15" t="s">
        <v>503</v>
      </c>
      <c r="F391" s="15">
        <v>4</v>
      </c>
      <c r="G391" s="16">
        <f t="shared" si="18"/>
        <v>22204</v>
      </c>
      <c r="H391" s="16">
        <v>22204</v>
      </c>
      <c r="I391" s="16">
        <f t="shared" si="29"/>
        <v>0</v>
      </c>
      <c r="J391" s="31">
        <v>22204</v>
      </c>
      <c r="K391" s="69">
        <f t="shared" si="19"/>
        <v>0</v>
      </c>
      <c r="L391" s="50"/>
      <c r="M391" s="109"/>
      <c r="N391" s="110"/>
    </row>
    <row r="392" spans="1:14" ht="15" hidden="1" thickBot="1" x14ac:dyDescent="0.35">
      <c r="A392" s="14">
        <v>74</v>
      </c>
      <c r="B392" s="14" t="s">
        <v>642</v>
      </c>
      <c r="C392" s="14" t="s">
        <v>641</v>
      </c>
      <c r="D392" s="14" t="s">
        <v>713</v>
      </c>
      <c r="E392" s="15" t="s">
        <v>503</v>
      </c>
      <c r="F392" s="15">
        <v>6</v>
      </c>
      <c r="G392" s="16">
        <f t="shared" si="18"/>
        <v>20875</v>
      </c>
      <c r="H392" s="16">
        <v>20875</v>
      </c>
      <c r="I392" s="16">
        <f t="shared" si="29"/>
        <v>0</v>
      </c>
      <c r="J392" s="31">
        <v>20875</v>
      </c>
      <c r="K392" s="69">
        <f t="shared" si="19"/>
        <v>0</v>
      </c>
      <c r="L392" s="50"/>
      <c r="M392" s="109"/>
      <c r="N392" s="110">
        <v>0.9</v>
      </c>
    </row>
    <row r="393" spans="1:14" ht="15" hidden="1" thickBot="1" x14ac:dyDescent="0.35">
      <c r="A393" s="14">
        <v>74</v>
      </c>
      <c r="B393" s="14" t="s">
        <v>642</v>
      </c>
      <c r="C393" s="14" t="s">
        <v>641</v>
      </c>
      <c r="D393" s="14" t="s">
        <v>510</v>
      </c>
      <c r="E393" s="15" t="s">
        <v>506</v>
      </c>
      <c r="F393" s="15">
        <v>5</v>
      </c>
      <c r="G393" s="16">
        <f t="shared" si="18"/>
        <v>37617</v>
      </c>
      <c r="H393" s="16">
        <v>38217</v>
      </c>
      <c r="I393" s="16">
        <f t="shared" si="29"/>
        <v>0</v>
      </c>
      <c r="J393" s="31">
        <v>38217</v>
      </c>
      <c r="K393" s="69">
        <f t="shared" si="19"/>
        <v>0</v>
      </c>
      <c r="L393" s="50">
        <v>600</v>
      </c>
      <c r="M393" s="109">
        <v>600</v>
      </c>
      <c r="N393" s="110"/>
    </row>
    <row r="394" spans="1:14" ht="15" hidden="1" thickBot="1" x14ac:dyDescent="0.35">
      <c r="A394" s="14">
        <v>74</v>
      </c>
      <c r="B394" s="14" t="s">
        <v>642</v>
      </c>
      <c r="C394" s="14" t="s">
        <v>940</v>
      </c>
      <c r="D394" s="14" t="s">
        <v>713</v>
      </c>
      <c r="E394" s="15" t="s">
        <v>503</v>
      </c>
      <c r="F394" s="15">
        <v>5</v>
      </c>
      <c r="G394" s="16">
        <f t="shared" si="18"/>
        <v>13815</v>
      </c>
      <c r="H394" s="16">
        <v>13815</v>
      </c>
      <c r="I394" s="16">
        <f t="shared" si="29"/>
        <v>0</v>
      </c>
      <c r="J394" s="31">
        <v>13815</v>
      </c>
      <c r="K394" s="69">
        <f t="shared" si="19"/>
        <v>0</v>
      </c>
      <c r="L394" s="50"/>
      <c r="M394" s="109"/>
      <c r="N394" s="110">
        <v>0.9</v>
      </c>
    </row>
    <row r="395" spans="1:14" ht="15" hidden="1" thickBot="1" x14ac:dyDescent="0.35">
      <c r="A395" s="14">
        <v>74</v>
      </c>
      <c r="B395" s="14" t="s">
        <v>642</v>
      </c>
      <c r="C395" s="14" t="s">
        <v>643</v>
      </c>
      <c r="D395" s="14" t="s">
        <v>510</v>
      </c>
      <c r="E395" s="15" t="s">
        <v>503</v>
      </c>
      <c r="F395" s="15">
        <v>7</v>
      </c>
      <c r="G395" s="16">
        <f t="shared" ref="G395:G467" si="30">H395-M395</f>
        <v>38929</v>
      </c>
      <c r="H395" s="16">
        <v>38929</v>
      </c>
      <c r="I395" s="16">
        <f t="shared" si="29"/>
        <v>0</v>
      </c>
      <c r="J395" s="31">
        <v>38929</v>
      </c>
      <c r="K395" s="69">
        <f t="shared" si="19"/>
        <v>0</v>
      </c>
      <c r="L395" s="50"/>
      <c r="M395" s="109"/>
      <c r="N395" s="110"/>
    </row>
    <row r="396" spans="1:14" ht="15" hidden="1" thickBot="1" x14ac:dyDescent="0.35">
      <c r="A396" s="14">
        <v>74</v>
      </c>
      <c r="B396" s="14" t="s">
        <v>642</v>
      </c>
      <c r="C396" s="14" t="s">
        <v>643</v>
      </c>
      <c r="D396" s="14" t="s">
        <v>614</v>
      </c>
      <c r="E396" s="15" t="s">
        <v>503</v>
      </c>
      <c r="F396" s="15">
        <v>9</v>
      </c>
      <c r="G396" s="16">
        <f t="shared" si="30"/>
        <v>93075</v>
      </c>
      <c r="H396" s="16">
        <v>93075</v>
      </c>
      <c r="I396" s="16">
        <f t="shared" si="29"/>
        <v>0</v>
      </c>
      <c r="J396" s="31">
        <v>93075</v>
      </c>
      <c r="K396" s="69">
        <f t="shared" si="19"/>
        <v>0</v>
      </c>
      <c r="L396" s="50"/>
      <c r="M396" s="109"/>
      <c r="N396" s="110"/>
    </row>
    <row r="397" spans="1:14" ht="15" hidden="1" thickBot="1" x14ac:dyDescent="0.35">
      <c r="A397" s="14">
        <v>75</v>
      </c>
      <c r="B397" s="14" t="s">
        <v>644</v>
      </c>
      <c r="C397" s="14" t="s">
        <v>641</v>
      </c>
      <c r="D397" s="14" t="s">
        <v>614</v>
      </c>
      <c r="E397" s="15" t="s">
        <v>499</v>
      </c>
      <c r="F397" s="15">
        <v>9</v>
      </c>
      <c r="G397" s="16">
        <f t="shared" si="30"/>
        <v>68845</v>
      </c>
      <c r="H397" s="16">
        <v>74300</v>
      </c>
      <c r="I397" s="16">
        <f t="shared" si="29"/>
        <v>0</v>
      </c>
      <c r="J397" s="31">
        <v>74300</v>
      </c>
      <c r="K397" s="69">
        <f t="shared" ref="K397:K469" si="31">M397-L397</f>
        <v>0</v>
      </c>
      <c r="L397" s="50">
        <v>5455</v>
      </c>
      <c r="M397" s="109">
        <v>5455</v>
      </c>
      <c r="N397" s="110">
        <v>0.94</v>
      </c>
    </row>
    <row r="398" spans="1:14" ht="15" hidden="1" thickBot="1" x14ac:dyDescent="0.35">
      <c r="A398" s="14">
        <v>75</v>
      </c>
      <c r="B398" s="14" t="s">
        <v>644</v>
      </c>
      <c r="C398" s="14" t="s">
        <v>641</v>
      </c>
      <c r="D398" s="14" t="s">
        <v>513</v>
      </c>
      <c r="E398" s="15" t="s">
        <v>512</v>
      </c>
      <c r="F398" s="15">
        <v>6</v>
      </c>
      <c r="G398" s="16">
        <f t="shared" si="30"/>
        <v>43091</v>
      </c>
      <c r="H398" s="16">
        <v>43811</v>
      </c>
      <c r="I398" s="16">
        <f t="shared" si="29"/>
        <v>0</v>
      </c>
      <c r="J398" s="31">
        <v>43811</v>
      </c>
      <c r="K398" s="69">
        <f t="shared" si="31"/>
        <v>0</v>
      </c>
      <c r="L398" s="50">
        <v>720</v>
      </c>
      <c r="M398" s="109">
        <v>720</v>
      </c>
      <c r="N398" s="110">
        <v>0.95</v>
      </c>
    </row>
    <row r="399" spans="1:14" ht="15" hidden="1" thickBot="1" x14ac:dyDescent="0.35">
      <c r="A399" s="14">
        <v>76</v>
      </c>
      <c r="B399" s="14" t="s">
        <v>645</v>
      </c>
      <c r="C399" s="14" t="s">
        <v>641</v>
      </c>
      <c r="D399" s="14" t="s">
        <v>614</v>
      </c>
      <c r="E399" s="15" t="s">
        <v>504</v>
      </c>
      <c r="F399" s="15">
        <v>9</v>
      </c>
      <c r="G399" s="16">
        <f t="shared" si="30"/>
        <v>73277</v>
      </c>
      <c r="H399" s="16">
        <v>73787</v>
      </c>
      <c r="I399" s="16">
        <f t="shared" si="29"/>
        <v>0</v>
      </c>
      <c r="J399" s="31">
        <v>73787</v>
      </c>
      <c r="K399" s="69">
        <f t="shared" si="31"/>
        <v>0</v>
      </c>
      <c r="L399" s="50">
        <v>510</v>
      </c>
      <c r="M399" s="109">
        <v>510</v>
      </c>
      <c r="N399" s="110">
        <v>0.9</v>
      </c>
    </row>
    <row r="400" spans="1:14" ht="15" hidden="1" thickBot="1" x14ac:dyDescent="0.35">
      <c r="A400" s="14">
        <v>76</v>
      </c>
      <c r="B400" s="14" t="s">
        <v>645</v>
      </c>
      <c r="C400" s="14" t="s">
        <v>641</v>
      </c>
      <c r="D400" s="14" t="s">
        <v>510</v>
      </c>
      <c r="E400" s="15" t="s">
        <v>504</v>
      </c>
      <c r="F400" s="15">
        <v>9</v>
      </c>
      <c r="G400" s="16">
        <f t="shared" si="30"/>
        <v>37906</v>
      </c>
      <c r="H400" s="16">
        <v>38386</v>
      </c>
      <c r="I400" s="16">
        <f t="shared" si="29"/>
        <v>0</v>
      </c>
      <c r="J400" s="31">
        <v>38386</v>
      </c>
      <c r="K400" s="69">
        <f t="shared" si="31"/>
        <v>0</v>
      </c>
      <c r="L400" s="50">
        <v>480</v>
      </c>
      <c r="M400" s="109">
        <v>480</v>
      </c>
      <c r="N400" s="110">
        <v>0.92500000000000004</v>
      </c>
    </row>
    <row r="401" spans="1:14" ht="15" hidden="1" thickBot="1" x14ac:dyDescent="0.35">
      <c r="A401" s="14">
        <v>77</v>
      </c>
      <c r="B401" s="14" t="s">
        <v>646</v>
      </c>
      <c r="C401" s="14" t="s">
        <v>641</v>
      </c>
      <c r="D401" s="14" t="s">
        <v>614</v>
      </c>
      <c r="E401" s="15" t="s">
        <v>512</v>
      </c>
      <c r="F401" s="15">
        <v>8</v>
      </c>
      <c r="G401" s="16">
        <f t="shared" si="30"/>
        <v>48137</v>
      </c>
      <c r="H401" s="16">
        <v>48137</v>
      </c>
      <c r="I401" s="16">
        <f t="shared" si="29"/>
        <v>0</v>
      </c>
      <c r="J401" s="31">
        <v>48137</v>
      </c>
      <c r="K401" s="69">
        <f t="shared" si="31"/>
        <v>0</v>
      </c>
      <c r="L401" s="50"/>
      <c r="M401" s="109"/>
      <c r="N401" s="110">
        <v>0.9</v>
      </c>
    </row>
    <row r="402" spans="1:14" ht="15" hidden="1" thickBot="1" x14ac:dyDescent="0.35">
      <c r="A402" s="14">
        <v>77</v>
      </c>
      <c r="B402" s="14" t="s">
        <v>646</v>
      </c>
      <c r="C402" s="14" t="s">
        <v>641</v>
      </c>
      <c r="D402" s="14" t="s">
        <v>1570</v>
      </c>
      <c r="E402" s="15" t="s">
        <v>504</v>
      </c>
      <c r="F402" s="15">
        <v>5</v>
      </c>
      <c r="G402" s="16">
        <f t="shared" si="30"/>
        <v>22156</v>
      </c>
      <c r="H402" s="16">
        <v>22156</v>
      </c>
      <c r="I402" s="16">
        <f t="shared" si="29"/>
        <v>0</v>
      </c>
      <c r="J402" s="31">
        <v>22156</v>
      </c>
      <c r="K402" s="69">
        <f t="shared" si="31"/>
        <v>0</v>
      </c>
      <c r="L402" s="50"/>
      <c r="M402" s="109"/>
      <c r="N402" s="110">
        <v>0.92500000000000004</v>
      </c>
    </row>
    <row r="403" spans="1:14" ht="15" hidden="1" thickBot="1" x14ac:dyDescent="0.35">
      <c r="A403" s="14">
        <v>77</v>
      </c>
      <c r="B403" s="14" t="s">
        <v>646</v>
      </c>
      <c r="C403" s="14" t="s">
        <v>641</v>
      </c>
      <c r="D403" s="14" t="s">
        <v>510</v>
      </c>
      <c r="E403" s="15" t="s">
        <v>512</v>
      </c>
      <c r="F403" s="15">
        <v>8</v>
      </c>
      <c r="G403" s="16">
        <f t="shared" si="30"/>
        <v>37579</v>
      </c>
      <c r="H403" s="16">
        <v>37699</v>
      </c>
      <c r="I403" s="16">
        <f t="shared" si="29"/>
        <v>0</v>
      </c>
      <c r="J403" s="31">
        <v>37699</v>
      </c>
      <c r="K403" s="69">
        <f t="shared" si="31"/>
        <v>0</v>
      </c>
      <c r="L403" s="50">
        <v>120</v>
      </c>
      <c r="M403" s="109">
        <v>120</v>
      </c>
      <c r="N403" s="110">
        <v>0.92500000000000004</v>
      </c>
    </row>
    <row r="404" spans="1:14" ht="15" hidden="1" thickBot="1" x14ac:dyDescent="0.35">
      <c r="A404" s="20">
        <v>78</v>
      </c>
      <c r="B404" s="14" t="s">
        <v>647</v>
      </c>
      <c r="C404" s="20" t="s">
        <v>1034</v>
      </c>
      <c r="D404" s="14" t="s">
        <v>510</v>
      </c>
      <c r="E404" s="15" t="s">
        <v>502</v>
      </c>
      <c r="F404" s="15">
        <v>2</v>
      </c>
      <c r="G404" s="16">
        <f t="shared" si="30"/>
        <v>2393</v>
      </c>
      <c r="H404" s="16">
        <v>3233</v>
      </c>
      <c r="I404" s="16">
        <f t="shared" si="29"/>
        <v>0</v>
      </c>
      <c r="J404" s="31">
        <v>3233</v>
      </c>
      <c r="K404" s="69">
        <f t="shared" si="31"/>
        <v>0</v>
      </c>
      <c r="L404" s="50">
        <v>840</v>
      </c>
      <c r="M404" s="109">
        <v>840</v>
      </c>
      <c r="N404" s="110"/>
    </row>
    <row r="405" spans="1:14" ht="15" hidden="1" thickBot="1" x14ac:dyDescent="0.35">
      <c r="A405" s="20">
        <v>78</v>
      </c>
      <c r="B405" s="14" t="s">
        <v>647</v>
      </c>
      <c r="C405" s="20" t="s">
        <v>1034</v>
      </c>
      <c r="D405" s="14" t="s">
        <v>547</v>
      </c>
      <c r="E405" s="15" t="s">
        <v>502</v>
      </c>
      <c r="F405" s="15">
        <v>1</v>
      </c>
      <c r="G405" s="16">
        <f t="shared" si="30"/>
        <v>456</v>
      </c>
      <c r="H405" s="16">
        <v>456</v>
      </c>
      <c r="I405" s="16">
        <f>J405-H405</f>
        <v>0</v>
      </c>
      <c r="J405" s="31">
        <v>456</v>
      </c>
      <c r="K405" s="69">
        <f t="shared" si="31"/>
        <v>0</v>
      </c>
      <c r="L405" s="50"/>
      <c r="M405" s="109"/>
      <c r="N405" s="110"/>
    </row>
    <row r="406" spans="1:14" ht="15" hidden="1" thickBot="1" x14ac:dyDescent="0.35">
      <c r="A406" s="20">
        <v>78</v>
      </c>
      <c r="B406" s="14" t="s">
        <v>647</v>
      </c>
      <c r="C406" s="20" t="s">
        <v>1034</v>
      </c>
      <c r="D406" s="14" t="s">
        <v>614</v>
      </c>
      <c r="E406" s="15" t="s">
        <v>502</v>
      </c>
      <c r="F406" s="15">
        <v>2</v>
      </c>
      <c r="G406" s="16">
        <f t="shared" si="30"/>
        <v>1740</v>
      </c>
      <c r="H406" s="16">
        <v>1800</v>
      </c>
      <c r="I406" s="16">
        <f t="shared" si="29"/>
        <v>0</v>
      </c>
      <c r="J406" s="31">
        <v>1800</v>
      </c>
      <c r="K406" s="69">
        <f t="shared" si="31"/>
        <v>0</v>
      </c>
      <c r="L406" s="50">
        <v>60</v>
      </c>
      <c r="M406" s="109">
        <v>60</v>
      </c>
      <c r="N406" s="110"/>
    </row>
    <row r="407" spans="1:14" ht="15" hidden="1" thickBot="1" x14ac:dyDescent="0.35">
      <c r="A407" s="20">
        <v>78</v>
      </c>
      <c r="B407" s="14" t="s">
        <v>647</v>
      </c>
      <c r="C407" s="20" t="s">
        <v>648</v>
      </c>
      <c r="D407" s="14" t="s">
        <v>522</v>
      </c>
      <c r="E407" s="15" t="s">
        <v>502</v>
      </c>
      <c r="F407" s="15">
        <v>2</v>
      </c>
      <c r="G407" s="16">
        <f t="shared" si="30"/>
        <v>2458</v>
      </c>
      <c r="H407" s="16">
        <v>2458</v>
      </c>
      <c r="I407" s="16">
        <f t="shared" si="29"/>
        <v>0</v>
      </c>
      <c r="J407" s="31">
        <v>2458</v>
      </c>
      <c r="K407" s="69">
        <f t="shared" si="31"/>
        <v>0</v>
      </c>
      <c r="L407" s="50"/>
      <c r="M407" s="109"/>
      <c r="N407" s="110"/>
    </row>
    <row r="408" spans="1:14" ht="15" hidden="1" thickBot="1" x14ac:dyDescent="0.35">
      <c r="A408" s="20">
        <v>78</v>
      </c>
      <c r="B408" s="14" t="s">
        <v>647</v>
      </c>
      <c r="C408" s="20" t="s">
        <v>648</v>
      </c>
      <c r="D408" s="14" t="s">
        <v>524</v>
      </c>
      <c r="E408" s="15" t="s">
        <v>503</v>
      </c>
      <c r="F408" s="15">
        <v>3</v>
      </c>
      <c r="G408" s="16">
        <f t="shared" si="30"/>
        <v>14400</v>
      </c>
      <c r="H408" s="16">
        <v>14400</v>
      </c>
      <c r="I408" s="16">
        <f t="shared" si="29"/>
        <v>0</v>
      </c>
      <c r="J408" s="31">
        <v>14400</v>
      </c>
      <c r="K408" s="69">
        <f t="shared" si="31"/>
        <v>0</v>
      </c>
      <c r="L408" s="50"/>
      <c r="M408" s="109"/>
      <c r="N408" s="110"/>
    </row>
    <row r="409" spans="1:14" ht="15" hidden="1" thickBot="1" x14ac:dyDescent="0.35">
      <c r="A409" s="20">
        <v>78</v>
      </c>
      <c r="B409" s="14" t="s">
        <v>647</v>
      </c>
      <c r="C409" s="20" t="s">
        <v>648</v>
      </c>
      <c r="D409" s="14" t="s">
        <v>523</v>
      </c>
      <c r="E409" s="15" t="s">
        <v>508</v>
      </c>
      <c r="F409" s="15">
        <v>1</v>
      </c>
      <c r="G409" s="16">
        <f t="shared" si="30"/>
        <v>2880</v>
      </c>
      <c r="H409" s="16">
        <v>2880</v>
      </c>
      <c r="I409" s="16">
        <f t="shared" si="29"/>
        <v>0</v>
      </c>
      <c r="J409" s="31">
        <v>2880</v>
      </c>
      <c r="K409" s="69">
        <f t="shared" si="31"/>
        <v>0</v>
      </c>
      <c r="L409" s="50"/>
      <c r="M409" s="109"/>
      <c r="N409" s="110"/>
    </row>
    <row r="410" spans="1:14" ht="15" hidden="1" thickBot="1" x14ac:dyDescent="0.35">
      <c r="A410" s="20">
        <v>78</v>
      </c>
      <c r="B410" s="14" t="s">
        <v>647</v>
      </c>
      <c r="C410" s="20" t="s">
        <v>648</v>
      </c>
      <c r="D410" s="14" t="s">
        <v>614</v>
      </c>
      <c r="E410" s="15" t="s">
        <v>499</v>
      </c>
      <c r="F410" s="15">
        <v>3</v>
      </c>
      <c r="G410" s="16">
        <f t="shared" si="30"/>
        <v>3330</v>
      </c>
      <c r="H410" s="16">
        <v>3570</v>
      </c>
      <c r="I410" s="16">
        <f t="shared" si="29"/>
        <v>0</v>
      </c>
      <c r="J410" s="31">
        <v>3570</v>
      </c>
      <c r="K410" s="69">
        <f t="shared" si="31"/>
        <v>0</v>
      </c>
      <c r="L410" s="50">
        <v>240</v>
      </c>
      <c r="M410" s="109">
        <v>240</v>
      </c>
      <c r="N410" s="110">
        <v>0.97</v>
      </c>
    </row>
    <row r="411" spans="1:14" ht="15" hidden="1" thickBot="1" x14ac:dyDescent="0.35">
      <c r="A411" s="20">
        <v>78</v>
      </c>
      <c r="B411" s="14" t="s">
        <v>647</v>
      </c>
      <c r="C411" s="20" t="s">
        <v>648</v>
      </c>
      <c r="D411" s="14" t="s">
        <v>507</v>
      </c>
      <c r="E411" s="15" t="s">
        <v>504</v>
      </c>
      <c r="F411" s="15">
        <v>2</v>
      </c>
      <c r="G411" s="16">
        <f t="shared" si="30"/>
        <v>9715.2000000000007</v>
      </c>
      <c r="H411" s="16">
        <v>9835.2000000000007</v>
      </c>
      <c r="I411" s="16">
        <f>J411-H411</f>
        <v>0</v>
      </c>
      <c r="J411" s="31">
        <v>9835.2000000000007</v>
      </c>
      <c r="K411" s="69">
        <f t="shared" si="31"/>
        <v>0</v>
      </c>
      <c r="L411" s="50">
        <v>120</v>
      </c>
      <c r="M411" s="109">
        <v>120</v>
      </c>
      <c r="N411" s="110"/>
    </row>
    <row r="412" spans="1:14" ht="15" hidden="1" thickBot="1" x14ac:dyDescent="0.35">
      <c r="A412" s="20">
        <v>78</v>
      </c>
      <c r="B412" s="14" t="s">
        <v>647</v>
      </c>
      <c r="C412" s="20" t="s">
        <v>648</v>
      </c>
      <c r="D412" s="14" t="s">
        <v>547</v>
      </c>
      <c r="E412" s="15" t="s">
        <v>502</v>
      </c>
      <c r="F412" s="15">
        <v>4</v>
      </c>
      <c r="G412" s="16">
        <f t="shared" si="30"/>
        <v>16000</v>
      </c>
      <c r="H412" s="16">
        <v>16720</v>
      </c>
      <c r="I412" s="16">
        <f t="shared" si="29"/>
        <v>0</v>
      </c>
      <c r="J412" s="31">
        <v>16720</v>
      </c>
      <c r="K412" s="69">
        <f t="shared" si="31"/>
        <v>0</v>
      </c>
      <c r="L412" s="50">
        <v>720</v>
      </c>
      <c r="M412" s="109">
        <v>720</v>
      </c>
      <c r="N412" s="110"/>
    </row>
    <row r="413" spans="1:14" ht="15" hidden="1" thickBot="1" x14ac:dyDescent="0.35">
      <c r="A413" s="20">
        <v>78</v>
      </c>
      <c r="B413" s="14" t="s">
        <v>647</v>
      </c>
      <c r="C413" s="20" t="s">
        <v>648</v>
      </c>
      <c r="D413" s="14" t="s">
        <v>614</v>
      </c>
      <c r="E413" s="15" t="s">
        <v>502</v>
      </c>
      <c r="F413" s="15">
        <v>2</v>
      </c>
      <c r="G413" s="16">
        <f t="shared" si="30"/>
        <v>3685</v>
      </c>
      <c r="H413" s="16">
        <v>4615</v>
      </c>
      <c r="I413" s="16">
        <f t="shared" si="29"/>
        <v>0</v>
      </c>
      <c r="J413" s="31">
        <v>4615</v>
      </c>
      <c r="K413" s="69">
        <f t="shared" si="31"/>
        <v>0</v>
      </c>
      <c r="L413" s="50">
        <v>930</v>
      </c>
      <c r="M413" s="109">
        <v>930</v>
      </c>
      <c r="N413" s="110"/>
    </row>
    <row r="414" spans="1:14" ht="15" hidden="1" thickBot="1" x14ac:dyDescent="0.35">
      <c r="A414" s="20">
        <v>78</v>
      </c>
      <c r="B414" s="14" t="s">
        <v>647</v>
      </c>
      <c r="C414" s="20" t="s">
        <v>648</v>
      </c>
      <c r="D414" s="14" t="s">
        <v>614</v>
      </c>
      <c r="E414" s="15" t="s">
        <v>503</v>
      </c>
      <c r="F414" s="15">
        <v>1</v>
      </c>
      <c r="G414" s="16">
        <f t="shared" si="30"/>
        <v>1152</v>
      </c>
      <c r="H414" s="16">
        <v>1152</v>
      </c>
      <c r="I414" s="16">
        <f t="shared" si="29"/>
        <v>0</v>
      </c>
      <c r="J414" s="31">
        <v>1152</v>
      </c>
      <c r="K414" s="69">
        <f t="shared" si="31"/>
        <v>0</v>
      </c>
      <c r="L414" s="50"/>
      <c r="M414" s="109"/>
      <c r="N414" s="110"/>
    </row>
    <row r="415" spans="1:14" ht="15" hidden="1" thickBot="1" x14ac:dyDescent="0.35">
      <c r="A415" s="20">
        <v>78</v>
      </c>
      <c r="B415" s="14" t="s">
        <v>647</v>
      </c>
      <c r="C415" s="20" t="s">
        <v>648</v>
      </c>
      <c r="D415" s="14" t="s">
        <v>510</v>
      </c>
      <c r="E415" s="15" t="s">
        <v>504</v>
      </c>
      <c r="F415" s="15">
        <v>1</v>
      </c>
      <c r="G415" s="16">
        <f t="shared" si="30"/>
        <v>2174.4</v>
      </c>
      <c r="H415" s="16">
        <v>2174.4</v>
      </c>
      <c r="I415" s="16">
        <f>J415-H415</f>
        <v>0</v>
      </c>
      <c r="J415" s="31">
        <v>2174.4</v>
      </c>
      <c r="K415" s="69">
        <f t="shared" si="31"/>
        <v>0</v>
      </c>
      <c r="L415" s="50"/>
      <c r="M415" s="109"/>
      <c r="N415" s="110"/>
    </row>
    <row r="416" spans="1:14" ht="15" hidden="1" thickBot="1" x14ac:dyDescent="0.35">
      <c r="A416" s="20">
        <v>78</v>
      </c>
      <c r="B416" s="14" t="s">
        <v>647</v>
      </c>
      <c r="C416" s="20" t="s">
        <v>648</v>
      </c>
      <c r="D416" s="14" t="s">
        <v>510</v>
      </c>
      <c r="E416" s="15" t="s">
        <v>499</v>
      </c>
      <c r="F416" s="15">
        <v>3</v>
      </c>
      <c r="G416" s="16">
        <f t="shared" si="30"/>
        <v>2800</v>
      </c>
      <c r="H416" s="16">
        <v>3520</v>
      </c>
      <c r="I416" s="16">
        <f>J416-H416</f>
        <v>0</v>
      </c>
      <c r="J416" s="31">
        <v>3520</v>
      </c>
      <c r="K416" s="69">
        <f t="shared" si="31"/>
        <v>0</v>
      </c>
      <c r="L416" s="50">
        <v>720</v>
      </c>
      <c r="M416" s="109">
        <v>720</v>
      </c>
      <c r="N416" s="110">
        <v>1</v>
      </c>
    </row>
    <row r="417" spans="1:14" ht="15" hidden="1" thickBot="1" x14ac:dyDescent="0.35">
      <c r="A417" s="20">
        <v>78</v>
      </c>
      <c r="B417" s="14" t="s">
        <v>647</v>
      </c>
      <c r="C417" s="20" t="s">
        <v>648</v>
      </c>
      <c r="D417" s="14" t="s">
        <v>510</v>
      </c>
      <c r="E417" s="15" t="s">
        <v>503</v>
      </c>
      <c r="F417" s="15">
        <v>1</v>
      </c>
      <c r="G417" s="16">
        <f t="shared" si="30"/>
        <v>1440</v>
      </c>
      <c r="H417" s="16">
        <v>1440</v>
      </c>
      <c r="I417" s="16">
        <f t="shared" si="29"/>
        <v>0</v>
      </c>
      <c r="J417" s="31">
        <v>1440</v>
      </c>
      <c r="K417" s="69">
        <f t="shared" si="31"/>
        <v>0</v>
      </c>
      <c r="L417" s="50"/>
      <c r="M417" s="109"/>
      <c r="N417" s="110"/>
    </row>
    <row r="418" spans="1:14" ht="15" hidden="1" thickBot="1" x14ac:dyDescent="0.35">
      <c r="A418" s="20">
        <v>78</v>
      </c>
      <c r="B418" s="14" t="s">
        <v>647</v>
      </c>
      <c r="C418" s="20" t="s">
        <v>648</v>
      </c>
      <c r="D418" s="14" t="s">
        <v>614</v>
      </c>
      <c r="E418" s="15" t="s">
        <v>504</v>
      </c>
      <c r="F418" s="15">
        <v>1</v>
      </c>
      <c r="G418" s="16">
        <f>H418-M418</f>
        <v>2808</v>
      </c>
      <c r="H418" s="16">
        <v>2808</v>
      </c>
      <c r="I418" s="16">
        <f>J418-H418</f>
        <v>0</v>
      </c>
      <c r="J418" s="31">
        <v>2808</v>
      </c>
      <c r="K418" s="69">
        <f>M418-L418</f>
        <v>0</v>
      </c>
      <c r="L418" s="50"/>
      <c r="M418" s="109"/>
      <c r="N418" s="110"/>
    </row>
    <row r="419" spans="1:14" ht="15" hidden="1" thickBot="1" x14ac:dyDescent="0.35">
      <c r="A419" s="20">
        <v>78</v>
      </c>
      <c r="B419" s="14" t="s">
        <v>647</v>
      </c>
      <c r="C419" s="20" t="s">
        <v>648</v>
      </c>
      <c r="D419" s="14" t="s">
        <v>1061</v>
      </c>
      <c r="E419" s="15" t="s">
        <v>508</v>
      </c>
      <c r="F419" s="15">
        <v>7</v>
      </c>
      <c r="G419" s="16">
        <f>H419-M419</f>
        <v>48396</v>
      </c>
      <c r="H419" s="16">
        <v>49896</v>
      </c>
      <c r="I419" s="16">
        <f>J419-H419</f>
        <v>0</v>
      </c>
      <c r="J419" s="31">
        <v>49896</v>
      </c>
      <c r="K419" s="69">
        <f>M419-L419</f>
        <v>0</v>
      </c>
      <c r="L419" s="50">
        <v>1500</v>
      </c>
      <c r="M419" s="109">
        <v>1500</v>
      </c>
      <c r="N419" s="110">
        <v>0.8</v>
      </c>
    </row>
    <row r="420" spans="1:14" ht="15" hidden="1" thickBot="1" x14ac:dyDescent="0.35">
      <c r="A420" s="20">
        <v>78</v>
      </c>
      <c r="B420" s="14" t="s">
        <v>647</v>
      </c>
      <c r="C420" s="20" t="s">
        <v>648</v>
      </c>
      <c r="D420" s="14" t="s">
        <v>679</v>
      </c>
      <c r="E420" s="15" t="s">
        <v>502</v>
      </c>
      <c r="F420" s="15">
        <v>3</v>
      </c>
      <c r="G420" s="16">
        <f t="shared" ref="G420:G422" si="32">H420-M420</f>
        <v>5864</v>
      </c>
      <c r="H420" s="16">
        <v>6984</v>
      </c>
      <c r="I420" s="16">
        <f>J420-H420</f>
        <v>0</v>
      </c>
      <c r="J420" s="31">
        <v>6984</v>
      </c>
      <c r="K420" s="69">
        <f t="shared" ref="K420:K422" si="33">M420-L420</f>
        <v>0</v>
      </c>
      <c r="L420" s="50">
        <v>1120</v>
      </c>
      <c r="M420" s="109">
        <v>1120</v>
      </c>
      <c r="N420" s="110">
        <v>1</v>
      </c>
    </row>
    <row r="421" spans="1:14" ht="15" hidden="1" thickBot="1" x14ac:dyDescent="0.35">
      <c r="A421" s="20">
        <v>78</v>
      </c>
      <c r="B421" s="14" t="s">
        <v>647</v>
      </c>
      <c r="C421" s="20" t="s">
        <v>648</v>
      </c>
      <c r="D421" s="14" t="s">
        <v>985</v>
      </c>
      <c r="E421" s="15" t="s">
        <v>506</v>
      </c>
      <c r="F421" s="15">
        <v>3</v>
      </c>
      <c r="G421" s="16">
        <f t="shared" si="32"/>
        <v>10764</v>
      </c>
      <c r="H421" s="16">
        <v>14904</v>
      </c>
      <c r="I421" s="16">
        <f>J421-H421</f>
        <v>0</v>
      </c>
      <c r="J421" s="31">
        <v>14904</v>
      </c>
      <c r="K421" s="69">
        <f t="shared" si="33"/>
        <v>0</v>
      </c>
      <c r="L421" s="50">
        <v>4140</v>
      </c>
      <c r="M421" s="109">
        <v>4140</v>
      </c>
      <c r="N421" s="110">
        <v>0.9</v>
      </c>
    </row>
    <row r="422" spans="1:14" ht="15" hidden="1" thickBot="1" x14ac:dyDescent="0.35">
      <c r="A422" s="20">
        <v>78</v>
      </c>
      <c r="B422" s="14" t="s">
        <v>647</v>
      </c>
      <c r="C422" s="20" t="s">
        <v>648</v>
      </c>
      <c r="D422" s="14" t="s">
        <v>670</v>
      </c>
      <c r="E422" s="15" t="s">
        <v>506</v>
      </c>
      <c r="F422" s="15">
        <v>4</v>
      </c>
      <c r="G422" s="16">
        <f t="shared" si="32"/>
        <v>29005</v>
      </c>
      <c r="H422" s="16">
        <v>29965</v>
      </c>
      <c r="I422" s="16">
        <f>J422-H422</f>
        <v>0</v>
      </c>
      <c r="J422" s="31">
        <v>29965</v>
      </c>
      <c r="K422" s="69">
        <f t="shared" si="33"/>
        <v>0</v>
      </c>
      <c r="L422" s="50">
        <v>960</v>
      </c>
      <c r="M422" s="109">
        <v>960</v>
      </c>
      <c r="N422" s="110">
        <v>0.93</v>
      </c>
    </row>
    <row r="423" spans="1:14" ht="15" hidden="1" thickBot="1" x14ac:dyDescent="0.35">
      <c r="A423" s="20">
        <v>78</v>
      </c>
      <c r="B423" s="14" t="s">
        <v>647</v>
      </c>
      <c r="C423" s="20" t="s">
        <v>648</v>
      </c>
      <c r="D423" s="14" t="s">
        <v>510</v>
      </c>
      <c r="E423" s="15" t="s">
        <v>502</v>
      </c>
      <c r="F423" s="15">
        <v>2</v>
      </c>
      <c r="G423" s="16">
        <f t="shared" si="30"/>
        <v>1626</v>
      </c>
      <c r="H423" s="16">
        <v>2166</v>
      </c>
      <c r="I423" s="16">
        <f t="shared" si="29"/>
        <v>0</v>
      </c>
      <c r="J423" s="31">
        <v>2166</v>
      </c>
      <c r="K423" s="69">
        <f t="shared" si="31"/>
        <v>0</v>
      </c>
      <c r="L423" s="50">
        <v>540</v>
      </c>
      <c r="M423" s="109">
        <v>540</v>
      </c>
      <c r="N423" s="110"/>
    </row>
    <row r="424" spans="1:14" ht="15" hidden="1" thickBot="1" x14ac:dyDescent="0.35">
      <c r="A424" s="20">
        <v>78</v>
      </c>
      <c r="B424" s="14" t="s">
        <v>647</v>
      </c>
      <c r="C424" s="20" t="s">
        <v>853</v>
      </c>
      <c r="D424" s="14" t="s">
        <v>806</v>
      </c>
      <c r="E424" s="15" t="s">
        <v>506</v>
      </c>
      <c r="F424" s="15">
        <v>3</v>
      </c>
      <c r="G424" s="16">
        <f t="shared" si="30"/>
        <v>8611.5</v>
      </c>
      <c r="H424" s="16">
        <v>8711.5</v>
      </c>
      <c r="I424" s="16">
        <f>J424-H424</f>
        <v>0</v>
      </c>
      <c r="J424" s="31">
        <v>8711.5</v>
      </c>
      <c r="K424" s="69">
        <f t="shared" si="31"/>
        <v>0</v>
      </c>
      <c r="L424" s="50">
        <v>100</v>
      </c>
      <c r="M424" s="109">
        <v>100</v>
      </c>
      <c r="N424" s="110"/>
    </row>
    <row r="425" spans="1:14" ht="15" hidden="1" thickBot="1" x14ac:dyDescent="0.35">
      <c r="A425" s="20">
        <v>78</v>
      </c>
      <c r="B425" s="14" t="s">
        <v>647</v>
      </c>
      <c r="C425" s="20" t="s">
        <v>853</v>
      </c>
      <c r="D425" s="14" t="s">
        <v>1832</v>
      </c>
      <c r="E425" s="15" t="s">
        <v>499</v>
      </c>
      <c r="F425" s="15">
        <v>3</v>
      </c>
      <c r="G425" s="16">
        <f t="shared" si="30"/>
        <v>7370</v>
      </c>
      <c r="H425" s="16">
        <v>7370</v>
      </c>
      <c r="I425" s="16">
        <f>J425-H425</f>
        <v>0</v>
      </c>
      <c r="J425" s="31">
        <v>7370</v>
      </c>
      <c r="K425" s="69">
        <f t="shared" si="31"/>
        <v>0</v>
      </c>
      <c r="L425" s="50"/>
      <c r="M425" s="109"/>
      <c r="N425" s="110"/>
    </row>
    <row r="426" spans="1:14" ht="15" hidden="1" thickBot="1" x14ac:dyDescent="0.35">
      <c r="A426" s="20">
        <v>78</v>
      </c>
      <c r="B426" s="14" t="s">
        <v>647</v>
      </c>
      <c r="C426" s="15" t="s">
        <v>641</v>
      </c>
      <c r="D426" s="14" t="s">
        <v>614</v>
      </c>
      <c r="E426" s="15" t="s">
        <v>502</v>
      </c>
      <c r="F426" s="15">
        <v>8</v>
      </c>
      <c r="G426" s="16">
        <f t="shared" si="30"/>
        <v>70325.2</v>
      </c>
      <c r="H426" s="16">
        <v>73735.199999999997</v>
      </c>
      <c r="I426" s="16">
        <f t="shared" si="29"/>
        <v>0</v>
      </c>
      <c r="J426" s="31">
        <v>73735.199999999997</v>
      </c>
      <c r="K426" s="69">
        <f t="shared" si="31"/>
        <v>0</v>
      </c>
      <c r="L426" s="50">
        <v>3410</v>
      </c>
      <c r="M426" s="109">
        <v>3410</v>
      </c>
      <c r="N426" s="110"/>
    </row>
    <row r="427" spans="1:14" ht="15" hidden="1" thickBot="1" x14ac:dyDescent="0.35">
      <c r="A427" s="20">
        <v>78</v>
      </c>
      <c r="B427" s="14" t="s">
        <v>647</v>
      </c>
      <c r="C427" s="15" t="s">
        <v>641</v>
      </c>
      <c r="D427" s="14" t="s">
        <v>614</v>
      </c>
      <c r="E427" s="15" t="s">
        <v>508</v>
      </c>
      <c r="F427" s="15">
        <v>7</v>
      </c>
      <c r="G427" s="16">
        <f t="shared" si="30"/>
        <v>72957</v>
      </c>
      <c r="H427" s="16">
        <v>73317</v>
      </c>
      <c r="I427" s="16">
        <f t="shared" si="29"/>
        <v>0</v>
      </c>
      <c r="J427" s="31">
        <v>73317</v>
      </c>
      <c r="K427" s="69">
        <f t="shared" si="31"/>
        <v>0</v>
      </c>
      <c r="L427" s="50">
        <v>360</v>
      </c>
      <c r="M427" s="109">
        <v>360</v>
      </c>
      <c r="N427" s="110"/>
    </row>
    <row r="428" spans="1:14" ht="15" hidden="1" thickBot="1" x14ac:dyDescent="0.35">
      <c r="A428" s="20">
        <v>78</v>
      </c>
      <c r="B428" s="14" t="s">
        <v>647</v>
      </c>
      <c r="C428" s="15" t="s">
        <v>641</v>
      </c>
      <c r="D428" s="14" t="s">
        <v>522</v>
      </c>
      <c r="E428" s="15" t="s">
        <v>502</v>
      </c>
      <c r="F428" s="15">
        <v>4</v>
      </c>
      <c r="G428" s="16">
        <f t="shared" si="30"/>
        <v>21987</v>
      </c>
      <c r="H428" s="16">
        <v>21987</v>
      </c>
      <c r="I428" s="16">
        <f t="shared" si="29"/>
        <v>0</v>
      </c>
      <c r="J428" s="31">
        <v>21987</v>
      </c>
      <c r="K428" s="69">
        <f t="shared" si="31"/>
        <v>0</v>
      </c>
      <c r="L428" s="50"/>
      <c r="M428" s="109"/>
      <c r="N428" s="110"/>
    </row>
    <row r="429" spans="1:14" ht="15" hidden="1" thickBot="1" x14ac:dyDescent="0.35">
      <c r="A429" s="20">
        <v>78</v>
      </c>
      <c r="B429" s="14" t="s">
        <v>647</v>
      </c>
      <c r="C429" s="15" t="s">
        <v>641</v>
      </c>
      <c r="D429" s="14" t="s">
        <v>547</v>
      </c>
      <c r="E429" s="15" t="s">
        <v>502</v>
      </c>
      <c r="F429" s="15">
        <v>6</v>
      </c>
      <c r="G429" s="16">
        <f t="shared" si="30"/>
        <v>35910</v>
      </c>
      <c r="H429" s="16">
        <v>35910</v>
      </c>
      <c r="I429" s="16">
        <f t="shared" si="29"/>
        <v>0</v>
      </c>
      <c r="J429" s="31">
        <v>35910</v>
      </c>
      <c r="K429" s="69">
        <f t="shared" si="31"/>
        <v>0</v>
      </c>
      <c r="L429" s="50"/>
      <c r="M429" s="109"/>
      <c r="N429" s="110"/>
    </row>
    <row r="430" spans="1:14" ht="15" hidden="1" thickBot="1" x14ac:dyDescent="0.35">
      <c r="A430" s="20">
        <v>78</v>
      </c>
      <c r="B430" s="14" t="s">
        <v>647</v>
      </c>
      <c r="C430" s="15" t="s">
        <v>641</v>
      </c>
      <c r="D430" s="14" t="s">
        <v>510</v>
      </c>
      <c r="E430" s="15" t="s">
        <v>502</v>
      </c>
      <c r="F430" s="15">
        <v>5</v>
      </c>
      <c r="G430" s="16">
        <f t="shared" si="30"/>
        <v>36306</v>
      </c>
      <c r="H430" s="16">
        <v>37536</v>
      </c>
      <c r="I430" s="16">
        <f t="shared" si="29"/>
        <v>0</v>
      </c>
      <c r="J430" s="31">
        <v>37536</v>
      </c>
      <c r="K430" s="69">
        <f t="shared" si="31"/>
        <v>0</v>
      </c>
      <c r="L430" s="50">
        <v>1230</v>
      </c>
      <c r="M430" s="109">
        <v>1230</v>
      </c>
      <c r="N430" s="110"/>
    </row>
    <row r="431" spans="1:14" ht="15" hidden="1" thickBot="1" x14ac:dyDescent="0.35">
      <c r="A431" s="20">
        <v>78</v>
      </c>
      <c r="B431" s="14" t="s">
        <v>647</v>
      </c>
      <c r="C431" s="15" t="s">
        <v>641</v>
      </c>
      <c r="D431" s="14" t="s">
        <v>510</v>
      </c>
      <c r="E431" s="15" t="s">
        <v>508</v>
      </c>
      <c r="F431" s="15">
        <v>5</v>
      </c>
      <c r="G431" s="16">
        <f t="shared" si="30"/>
        <v>36497</v>
      </c>
      <c r="H431" s="16">
        <v>36617</v>
      </c>
      <c r="I431" s="16">
        <f t="shared" si="29"/>
        <v>0</v>
      </c>
      <c r="J431" s="31">
        <v>36617</v>
      </c>
      <c r="K431" s="69">
        <f t="shared" si="31"/>
        <v>0</v>
      </c>
      <c r="L431" s="50">
        <v>120</v>
      </c>
      <c r="M431" s="109">
        <v>120</v>
      </c>
      <c r="N431" s="110"/>
    </row>
    <row r="432" spans="1:14" ht="15" hidden="1" thickBot="1" x14ac:dyDescent="0.35">
      <c r="A432" s="14">
        <v>79</v>
      </c>
      <c r="B432" s="14" t="s">
        <v>649</v>
      </c>
      <c r="C432" s="14" t="s">
        <v>617</v>
      </c>
      <c r="D432" s="14" t="s">
        <v>614</v>
      </c>
      <c r="E432" s="15" t="s">
        <v>503</v>
      </c>
      <c r="F432" s="15" t="s">
        <v>650</v>
      </c>
      <c r="G432" s="16">
        <f t="shared" si="30"/>
        <v>98147</v>
      </c>
      <c r="H432" s="16">
        <v>178027</v>
      </c>
      <c r="I432" s="16">
        <f t="shared" si="29"/>
        <v>0</v>
      </c>
      <c r="J432" s="31">
        <v>178027</v>
      </c>
      <c r="K432" s="69">
        <f t="shared" si="31"/>
        <v>0</v>
      </c>
      <c r="L432" s="50">
        <v>79880</v>
      </c>
      <c r="M432" s="109">
        <v>79880</v>
      </c>
      <c r="N432" s="110"/>
    </row>
    <row r="433" spans="1:15" ht="15" hidden="1" thickBot="1" x14ac:dyDescent="0.35">
      <c r="A433" s="14">
        <v>79</v>
      </c>
      <c r="B433" s="14" t="s">
        <v>649</v>
      </c>
      <c r="C433" s="14" t="s">
        <v>617</v>
      </c>
      <c r="D433" s="14" t="s">
        <v>510</v>
      </c>
      <c r="E433" s="15" t="s">
        <v>503</v>
      </c>
      <c r="F433" s="18">
        <v>0.95</v>
      </c>
      <c r="G433" s="16">
        <f t="shared" si="30"/>
        <v>84270</v>
      </c>
      <c r="H433" s="16">
        <v>84390</v>
      </c>
      <c r="I433" s="16">
        <f t="shared" si="29"/>
        <v>0</v>
      </c>
      <c r="J433" s="31">
        <v>84390</v>
      </c>
      <c r="K433" s="69">
        <f t="shared" si="31"/>
        <v>0</v>
      </c>
      <c r="L433" s="50">
        <v>120</v>
      </c>
      <c r="M433" s="109">
        <v>120</v>
      </c>
      <c r="N433" s="110"/>
    </row>
    <row r="434" spans="1:15" ht="15" hidden="1" thickBot="1" x14ac:dyDescent="0.35">
      <c r="A434" s="14">
        <v>79</v>
      </c>
      <c r="B434" s="14" t="s">
        <v>649</v>
      </c>
      <c r="C434" s="14" t="s">
        <v>617</v>
      </c>
      <c r="D434" s="14" t="s">
        <v>614</v>
      </c>
      <c r="E434" s="15" t="s">
        <v>499</v>
      </c>
      <c r="F434" s="15">
        <v>4</v>
      </c>
      <c r="G434" s="16">
        <f t="shared" si="30"/>
        <v>32997</v>
      </c>
      <c r="H434" s="16">
        <v>33467</v>
      </c>
      <c r="I434" s="16">
        <f t="shared" si="29"/>
        <v>0</v>
      </c>
      <c r="J434" s="31">
        <v>33467</v>
      </c>
      <c r="K434" s="69">
        <f t="shared" si="31"/>
        <v>0</v>
      </c>
      <c r="L434" s="50">
        <v>470</v>
      </c>
      <c r="M434" s="109">
        <v>470</v>
      </c>
      <c r="N434" s="110"/>
    </row>
    <row r="435" spans="1:15" ht="15" hidden="1" thickBot="1" x14ac:dyDescent="0.35">
      <c r="A435" s="14">
        <v>80</v>
      </c>
      <c r="B435" s="14" t="s">
        <v>651</v>
      </c>
      <c r="C435" s="14" t="s">
        <v>617</v>
      </c>
      <c r="D435" s="14" t="s">
        <v>652</v>
      </c>
      <c r="E435" s="15" t="s">
        <v>499</v>
      </c>
      <c r="F435" s="15">
        <v>3</v>
      </c>
      <c r="G435" s="16">
        <f t="shared" si="30"/>
        <v>16930</v>
      </c>
      <c r="H435" s="297">
        <v>17050</v>
      </c>
      <c r="I435" s="16">
        <f t="shared" si="29"/>
        <v>0</v>
      </c>
      <c r="J435" s="31">
        <v>17050</v>
      </c>
      <c r="K435" s="69">
        <f t="shared" si="31"/>
        <v>0</v>
      </c>
      <c r="L435" s="292">
        <v>120</v>
      </c>
      <c r="M435" s="109">
        <v>120</v>
      </c>
      <c r="N435" s="110">
        <v>1</v>
      </c>
    </row>
    <row r="436" spans="1:15" ht="15" hidden="1" thickBot="1" x14ac:dyDescent="0.35">
      <c r="A436" s="14">
        <v>80</v>
      </c>
      <c r="B436" s="14" t="s">
        <v>651</v>
      </c>
      <c r="C436" s="14" t="s">
        <v>617</v>
      </c>
      <c r="D436" s="14" t="s">
        <v>901</v>
      </c>
      <c r="E436" s="15" t="s">
        <v>499</v>
      </c>
      <c r="F436" s="15">
        <v>3</v>
      </c>
      <c r="G436" s="16">
        <f t="shared" si="30"/>
        <v>14685</v>
      </c>
      <c r="H436" s="297">
        <v>14685</v>
      </c>
      <c r="I436" s="16">
        <f t="shared" si="29"/>
        <v>0</v>
      </c>
      <c r="J436" s="31">
        <v>14685</v>
      </c>
      <c r="K436" s="69">
        <f t="shared" si="31"/>
        <v>0</v>
      </c>
      <c r="L436" s="292">
        <v>0</v>
      </c>
      <c r="M436" s="109">
        <v>0</v>
      </c>
      <c r="N436" s="110">
        <v>1</v>
      </c>
    </row>
    <row r="437" spans="1:15" ht="15" hidden="1" thickBot="1" x14ac:dyDescent="0.35">
      <c r="A437" s="14">
        <v>80</v>
      </c>
      <c r="B437" s="14" t="s">
        <v>651</v>
      </c>
      <c r="C437" s="14" t="s">
        <v>617</v>
      </c>
      <c r="D437" s="14" t="s">
        <v>653</v>
      </c>
      <c r="E437" s="15" t="s">
        <v>512</v>
      </c>
      <c r="F437" s="15">
        <v>4</v>
      </c>
      <c r="G437" s="16">
        <f t="shared" si="30"/>
        <v>14392</v>
      </c>
      <c r="H437" s="297">
        <v>14392</v>
      </c>
      <c r="I437" s="16">
        <f t="shared" si="29"/>
        <v>0</v>
      </c>
      <c r="J437" s="31">
        <v>14392</v>
      </c>
      <c r="K437" s="69">
        <f t="shared" si="31"/>
        <v>0</v>
      </c>
      <c r="L437" s="292">
        <v>0</v>
      </c>
      <c r="M437" s="109">
        <v>0</v>
      </c>
      <c r="N437" s="110">
        <v>1</v>
      </c>
    </row>
    <row r="438" spans="1:15" ht="15" hidden="1" thickBot="1" x14ac:dyDescent="0.35">
      <c r="A438" s="14">
        <v>80</v>
      </c>
      <c r="B438" s="14" t="s">
        <v>651</v>
      </c>
      <c r="C438" s="14" t="s">
        <v>617</v>
      </c>
      <c r="D438" s="14" t="s">
        <v>654</v>
      </c>
      <c r="E438" s="15" t="s">
        <v>512</v>
      </c>
      <c r="F438" s="15">
        <v>3</v>
      </c>
      <c r="G438" s="16">
        <f t="shared" si="30"/>
        <v>9543</v>
      </c>
      <c r="H438" s="297">
        <v>9543</v>
      </c>
      <c r="I438" s="16">
        <f t="shared" si="29"/>
        <v>0</v>
      </c>
      <c r="J438" s="31">
        <v>9543</v>
      </c>
      <c r="K438" s="69">
        <f t="shared" si="31"/>
        <v>0</v>
      </c>
      <c r="L438" s="294">
        <v>0</v>
      </c>
      <c r="M438" s="109">
        <v>0</v>
      </c>
      <c r="N438" s="110">
        <v>1</v>
      </c>
    </row>
    <row r="439" spans="1:15" ht="15" hidden="1" thickBot="1" x14ac:dyDescent="0.35">
      <c r="A439" s="14">
        <v>80</v>
      </c>
      <c r="B439" s="14" t="s">
        <v>651</v>
      </c>
      <c r="C439" s="14" t="s">
        <v>617</v>
      </c>
      <c r="D439" s="14" t="s">
        <v>614</v>
      </c>
      <c r="E439" s="15" t="s">
        <v>499</v>
      </c>
      <c r="F439" s="15">
        <v>5</v>
      </c>
      <c r="G439" s="16">
        <f t="shared" si="30"/>
        <v>4330</v>
      </c>
      <c r="H439" s="297">
        <v>11330</v>
      </c>
      <c r="I439" s="16">
        <f t="shared" si="29"/>
        <v>0</v>
      </c>
      <c r="J439" s="31">
        <v>11330</v>
      </c>
      <c r="K439" s="69">
        <f t="shared" si="31"/>
        <v>0</v>
      </c>
      <c r="L439" s="290">
        <v>7000</v>
      </c>
      <c r="M439" s="109">
        <v>7000</v>
      </c>
      <c r="N439" s="110"/>
    </row>
    <row r="440" spans="1:15" ht="15" hidden="1" thickBot="1" x14ac:dyDescent="0.35">
      <c r="A440" s="14">
        <v>80</v>
      </c>
      <c r="B440" s="14" t="s">
        <v>651</v>
      </c>
      <c r="C440" s="14" t="s">
        <v>617</v>
      </c>
      <c r="D440" s="14" t="s">
        <v>614</v>
      </c>
      <c r="E440" s="15" t="s">
        <v>503</v>
      </c>
      <c r="F440" s="15">
        <v>5</v>
      </c>
      <c r="G440" s="16">
        <f t="shared" si="30"/>
        <v>26016</v>
      </c>
      <c r="H440" s="16">
        <v>41216</v>
      </c>
      <c r="I440" s="16">
        <f t="shared" si="29"/>
        <v>0</v>
      </c>
      <c r="J440" s="31">
        <v>41216</v>
      </c>
      <c r="K440" s="69">
        <f t="shared" si="31"/>
        <v>0</v>
      </c>
      <c r="L440" s="291">
        <v>15200</v>
      </c>
      <c r="M440" s="109">
        <v>15200</v>
      </c>
      <c r="N440" s="110"/>
    </row>
    <row r="441" spans="1:15" ht="15" hidden="1" thickBot="1" x14ac:dyDescent="0.35">
      <c r="A441" s="14">
        <v>80</v>
      </c>
      <c r="B441" s="14" t="s">
        <v>651</v>
      </c>
      <c r="C441" s="14" t="s">
        <v>617</v>
      </c>
      <c r="D441" s="14" t="s">
        <v>673</v>
      </c>
      <c r="E441" s="15" t="s">
        <v>512</v>
      </c>
      <c r="F441" s="15">
        <v>4</v>
      </c>
      <c r="G441" s="16">
        <f t="shared" si="30"/>
        <v>7040</v>
      </c>
      <c r="H441" s="26">
        <v>7040</v>
      </c>
      <c r="I441" s="16">
        <f t="shared" si="29"/>
        <v>0</v>
      </c>
      <c r="J441" s="31">
        <v>7040</v>
      </c>
      <c r="K441" s="69">
        <f t="shared" si="31"/>
        <v>0</v>
      </c>
      <c r="L441" s="294">
        <v>0</v>
      </c>
      <c r="M441" s="109">
        <v>0</v>
      </c>
      <c r="N441" s="110">
        <v>1</v>
      </c>
    </row>
    <row r="442" spans="1:15" ht="15" hidden="1" thickBot="1" x14ac:dyDescent="0.35">
      <c r="A442" s="14">
        <v>80</v>
      </c>
      <c r="B442" s="14" t="s">
        <v>651</v>
      </c>
      <c r="C442" s="14" t="s">
        <v>617</v>
      </c>
      <c r="D442" s="14" t="s">
        <v>655</v>
      </c>
      <c r="E442" s="15" t="s">
        <v>504</v>
      </c>
      <c r="F442" s="15">
        <v>3</v>
      </c>
      <c r="G442" s="16">
        <f t="shared" si="30"/>
        <v>12302</v>
      </c>
      <c r="H442" s="26">
        <v>12302</v>
      </c>
      <c r="I442" s="16">
        <f t="shared" si="29"/>
        <v>0</v>
      </c>
      <c r="J442" s="31">
        <v>12302</v>
      </c>
      <c r="K442" s="69">
        <f t="shared" si="31"/>
        <v>0</v>
      </c>
      <c r="L442" s="293">
        <v>0</v>
      </c>
      <c r="M442" s="109">
        <v>0</v>
      </c>
      <c r="N442" s="110">
        <v>1</v>
      </c>
    </row>
    <row r="443" spans="1:15" ht="15" hidden="1" thickBot="1" x14ac:dyDescent="0.35">
      <c r="A443" s="14">
        <v>80</v>
      </c>
      <c r="B443" s="14" t="s">
        <v>651</v>
      </c>
      <c r="C443" s="14" t="s">
        <v>617</v>
      </c>
      <c r="D443" s="14" t="s">
        <v>656</v>
      </c>
      <c r="E443" s="15" t="s">
        <v>502</v>
      </c>
      <c r="F443" s="15">
        <v>5</v>
      </c>
      <c r="G443" s="16">
        <f t="shared" si="30"/>
        <v>14530</v>
      </c>
      <c r="H443" s="26">
        <v>15730</v>
      </c>
      <c r="I443" s="16">
        <f t="shared" si="29"/>
        <v>0</v>
      </c>
      <c r="J443" s="31">
        <v>15730</v>
      </c>
      <c r="K443" s="69">
        <f t="shared" si="31"/>
        <v>0</v>
      </c>
      <c r="L443" s="295">
        <v>1200</v>
      </c>
      <c r="M443" s="109">
        <v>1200</v>
      </c>
      <c r="N443" s="110">
        <v>1</v>
      </c>
    </row>
    <row r="444" spans="1:15" ht="15" hidden="1" thickBot="1" x14ac:dyDescent="0.35">
      <c r="A444" s="14">
        <v>80</v>
      </c>
      <c r="B444" s="14" t="s">
        <v>651</v>
      </c>
      <c r="C444" s="14" t="s">
        <v>617</v>
      </c>
      <c r="D444" s="14" t="s">
        <v>657</v>
      </c>
      <c r="E444" s="15" t="s">
        <v>502</v>
      </c>
      <c r="F444" s="15">
        <v>4</v>
      </c>
      <c r="G444" s="16">
        <f t="shared" si="30"/>
        <v>17590</v>
      </c>
      <c r="H444" s="26">
        <v>19030</v>
      </c>
      <c r="I444" s="16">
        <f t="shared" si="29"/>
        <v>0</v>
      </c>
      <c r="J444" s="31">
        <v>19030</v>
      </c>
      <c r="K444" s="69">
        <f t="shared" si="31"/>
        <v>0</v>
      </c>
      <c r="L444" s="294">
        <v>1440</v>
      </c>
      <c r="M444" s="109">
        <v>1440</v>
      </c>
      <c r="N444" s="110">
        <v>1</v>
      </c>
    </row>
    <row r="445" spans="1:15" ht="15" hidden="1" thickBot="1" x14ac:dyDescent="0.35">
      <c r="A445" s="14">
        <v>80</v>
      </c>
      <c r="B445" s="14" t="s">
        <v>651</v>
      </c>
      <c r="C445" s="14" t="s">
        <v>617</v>
      </c>
      <c r="D445" s="14" t="s">
        <v>1336</v>
      </c>
      <c r="E445" s="15" t="s">
        <v>500</v>
      </c>
      <c r="F445" s="15">
        <v>14</v>
      </c>
      <c r="G445" s="16">
        <f t="shared" si="30"/>
        <v>168606.74</v>
      </c>
      <c r="H445" s="296">
        <v>181971.74</v>
      </c>
      <c r="I445" s="16">
        <f t="shared" si="29"/>
        <v>0</v>
      </c>
      <c r="J445" s="31">
        <v>181971.74</v>
      </c>
      <c r="K445" s="69">
        <f t="shared" si="31"/>
        <v>0</v>
      </c>
      <c r="L445" s="293">
        <v>13365</v>
      </c>
      <c r="M445" s="109">
        <v>13365</v>
      </c>
      <c r="N445" s="110" t="s">
        <v>1387</v>
      </c>
      <c r="O445" s="156"/>
    </row>
    <row r="446" spans="1:15" ht="15" hidden="1" thickBot="1" x14ac:dyDescent="0.35">
      <c r="A446" s="14">
        <v>81</v>
      </c>
      <c r="B446" s="14" t="s">
        <v>658</v>
      </c>
      <c r="C446" s="14" t="s">
        <v>617</v>
      </c>
      <c r="D446" s="14" t="s">
        <v>614</v>
      </c>
      <c r="E446" s="15" t="s">
        <v>502</v>
      </c>
      <c r="F446" s="15">
        <v>12</v>
      </c>
      <c r="G446" s="16">
        <f t="shared" si="30"/>
        <v>195461</v>
      </c>
      <c r="H446" s="16">
        <v>204536</v>
      </c>
      <c r="I446" s="16">
        <f t="shared" si="29"/>
        <v>0</v>
      </c>
      <c r="J446" s="31">
        <v>204536</v>
      </c>
      <c r="K446" s="69">
        <f t="shared" si="31"/>
        <v>0</v>
      </c>
      <c r="L446" s="50">
        <v>9075</v>
      </c>
      <c r="M446" s="109">
        <v>9075</v>
      </c>
      <c r="N446" s="110"/>
    </row>
    <row r="447" spans="1:15" ht="15" hidden="1" thickBot="1" x14ac:dyDescent="0.35">
      <c r="A447" s="14">
        <v>81</v>
      </c>
      <c r="B447" s="14" t="s">
        <v>658</v>
      </c>
      <c r="C447" s="14" t="s">
        <v>617</v>
      </c>
      <c r="D447" s="14" t="s">
        <v>901</v>
      </c>
      <c r="E447" s="15" t="s">
        <v>499</v>
      </c>
      <c r="F447" s="15">
        <v>3</v>
      </c>
      <c r="G447" s="16">
        <f t="shared" si="30"/>
        <v>30548</v>
      </c>
      <c r="H447" s="16">
        <v>32068</v>
      </c>
      <c r="I447" s="16">
        <f t="shared" si="29"/>
        <v>0</v>
      </c>
      <c r="J447" s="31">
        <v>32068</v>
      </c>
      <c r="K447" s="69">
        <f t="shared" si="31"/>
        <v>0</v>
      </c>
      <c r="L447" s="50">
        <v>1520</v>
      </c>
      <c r="M447" s="109">
        <v>1520</v>
      </c>
      <c r="N447" s="110"/>
    </row>
    <row r="448" spans="1:15" ht="15" hidden="1" thickBot="1" x14ac:dyDescent="0.35">
      <c r="A448" s="14">
        <v>81</v>
      </c>
      <c r="B448" s="14" t="s">
        <v>658</v>
      </c>
      <c r="C448" s="14" t="s">
        <v>617</v>
      </c>
      <c r="D448" s="14" t="s">
        <v>1830</v>
      </c>
      <c r="E448" s="15" t="s">
        <v>502</v>
      </c>
      <c r="F448" s="15">
        <v>8</v>
      </c>
      <c r="G448" s="16">
        <f t="shared" si="30"/>
        <v>55831</v>
      </c>
      <c r="H448" s="16">
        <v>57711</v>
      </c>
      <c r="I448" s="16">
        <f t="shared" si="29"/>
        <v>0</v>
      </c>
      <c r="J448" s="31">
        <v>57711</v>
      </c>
      <c r="K448" s="69">
        <f t="shared" si="31"/>
        <v>0</v>
      </c>
      <c r="L448" s="50">
        <v>1880</v>
      </c>
      <c r="M448" s="109">
        <v>1880</v>
      </c>
      <c r="N448" s="110"/>
    </row>
    <row r="449" spans="1:14" ht="15" hidden="1" thickBot="1" x14ac:dyDescent="0.35">
      <c r="A449" s="14">
        <v>81</v>
      </c>
      <c r="B449" s="14" t="s">
        <v>658</v>
      </c>
      <c r="C449" s="14" t="s">
        <v>617</v>
      </c>
      <c r="D449" s="14" t="s">
        <v>655</v>
      </c>
      <c r="E449" s="15" t="s">
        <v>504</v>
      </c>
      <c r="F449" s="15">
        <v>5</v>
      </c>
      <c r="G449" s="16">
        <f t="shared" si="30"/>
        <v>27381</v>
      </c>
      <c r="H449" s="16">
        <v>27981</v>
      </c>
      <c r="I449" s="16">
        <f t="shared" si="29"/>
        <v>0</v>
      </c>
      <c r="J449" s="31">
        <v>27981</v>
      </c>
      <c r="K449" s="69">
        <f t="shared" si="31"/>
        <v>0</v>
      </c>
      <c r="L449" s="50">
        <v>600</v>
      </c>
      <c r="M449" s="109">
        <v>600</v>
      </c>
      <c r="N449" s="110"/>
    </row>
    <row r="450" spans="1:14" ht="15" hidden="1" thickBot="1" x14ac:dyDescent="0.35">
      <c r="A450" s="14">
        <v>81</v>
      </c>
      <c r="B450" s="14" t="s">
        <v>658</v>
      </c>
      <c r="C450" s="14" t="s">
        <v>617</v>
      </c>
      <c r="D450" s="14" t="s">
        <v>659</v>
      </c>
      <c r="E450" s="15" t="s">
        <v>502</v>
      </c>
      <c r="F450" s="15">
        <v>5</v>
      </c>
      <c r="G450" s="16">
        <f t="shared" si="30"/>
        <v>45903</v>
      </c>
      <c r="H450" s="16">
        <v>46823</v>
      </c>
      <c r="I450" s="16">
        <f t="shared" si="29"/>
        <v>0</v>
      </c>
      <c r="J450" s="31">
        <v>46823</v>
      </c>
      <c r="K450" s="69">
        <f t="shared" si="31"/>
        <v>0</v>
      </c>
      <c r="L450" s="50">
        <v>920</v>
      </c>
      <c r="M450" s="109">
        <v>920</v>
      </c>
      <c r="N450" s="110"/>
    </row>
    <row r="451" spans="1:14" ht="15" hidden="1" thickBot="1" x14ac:dyDescent="0.35">
      <c r="A451" s="14">
        <v>81</v>
      </c>
      <c r="B451" s="14" t="s">
        <v>658</v>
      </c>
      <c r="C451" s="14" t="s">
        <v>617</v>
      </c>
      <c r="D451" s="14" t="s">
        <v>657</v>
      </c>
      <c r="E451" s="15" t="s">
        <v>502</v>
      </c>
      <c r="F451" s="15">
        <v>6</v>
      </c>
      <c r="G451" s="16">
        <f t="shared" si="30"/>
        <v>40191</v>
      </c>
      <c r="H451" s="16">
        <v>41031</v>
      </c>
      <c r="I451" s="16">
        <f t="shared" si="29"/>
        <v>0</v>
      </c>
      <c r="J451" s="31">
        <v>41031</v>
      </c>
      <c r="K451" s="69">
        <f t="shared" si="31"/>
        <v>0</v>
      </c>
      <c r="L451" s="50">
        <v>840</v>
      </c>
      <c r="M451" s="109">
        <v>840</v>
      </c>
      <c r="N451" s="110"/>
    </row>
    <row r="452" spans="1:14" ht="15" hidden="1" thickBot="1" x14ac:dyDescent="0.35">
      <c r="A452" s="14">
        <v>81</v>
      </c>
      <c r="B452" s="14" t="s">
        <v>658</v>
      </c>
      <c r="C452" s="14" t="s">
        <v>617</v>
      </c>
      <c r="D452" s="14" t="s">
        <v>656</v>
      </c>
      <c r="E452" s="15" t="s">
        <v>502</v>
      </c>
      <c r="F452" s="15">
        <v>6</v>
      </c>
      <c r="G452" s="16">
        <f t="shared" si="30"/>
        <v>31431</v>
      </c>
      <c r="H452" s="16">
        <v>33031</v>
      </c>
      <c r="I452" s="16">
        <f t="shared" si="29"/>
        <v>0</v>
      </c>
      <c r="J452" s="31">
        <v>33031</v>
      </c>
      <c r="K452" s="69">
        <f t="shared" si="31"/>
        <v>0</v>
      </c>
      <c r="L452" s="50">
        <v>1600</v>
      </c>
      <c r="M452" s="109">
        <v>1600</v>
      </c>
      <c r="N452" s="110"/>
    </row>
    <row r="453" spans="1:14" ht="15" hidden="1" thickBot="1" x14ac:dyDescent="0.35">
      <c r="A453" s="14">
        <v>81</v>
      </c>
      <c r="B453" s="14" t="s">
        <v>658</v>
      </c>
      <c r="C453" s="14" t="s">
        <v>617</v>
      </c>
      <c r="D453" s="14" t="s">
        <v>981</v>
      </c>
      <c r="E453" s="15" t="s">
        <v>502</v>
      </c>
      <c r="F453" s="15">
        <v>10</v>
      </c>
      <c r="G453" s="16">
        <f t="shared" si="30"/>
        <v>296014.75</v>
      </c>
      <c r="H453" s="16">
        <v>306474.75</v>
      </c>
      <c r="I453" s="16">
        <f t="shared" si="29"/>
        <v>0</v>
      </c>
      <c r="J453" s="31">
        <v>306474.75</v>
      </c>
      <c r="K453" s="69">
        <f t="shared" si="31"/>
        <v>0</v>
      </c>
      <c r="L453" s="50">
        <v>10460</v>
      </c>
      <c r="M453" s="109">
        <v>10460</v>
      </c>
      <c r="N453" s="110">
        <v>0.95</v>
      </c>
    </row>
    <row r="454" spans="1:14" ht="15" hidden="1" thickBot="1" x14ac:dyDescent="0.35">
      <c r="A454" s="14">
        <v>81</v>
      </c>
      <c r="B454" s="14" t="s">
        <v>658</v>
      </c>
      <c r="C454" s="14" t="s">
        <v>617</v>
      </c>
      <c r="D454" s="14" t="s">
        <v>1133</v>
      </c>
      <c r="E454" s="15" t="s">
        <v>502</v>
      </c>
      <c r="F454" s="15">
        <v>6</v>
      </c>
      <c r="G454" s="16">
        <f t="shared" si="30"/>
        <v>80905</v>
      </c>
      <c r="H454" s="16">
        <v>82555</v>
      </c>
      <c r="I454" s="16">
        <f t="shared" si="29"/>
        <v>0</v>
      </c>
      <c r="J454" s="31">
        <v>82555</v>
      </c>
      <c r="K454" s="69">
        <f t="shared" si="31"/>
        <v>0</v>
      </c>
      <c r="L454" s="50">
        <v>1650</v>
      </c>
      <c r="M454" s="109">
        <v>1650</v>
      </c>
      <c r="N454" s="110">
        <v>0.95</v>
      </c>
    </row>
    <row r="455" spans="1:14" ht="15.6" hidden="1" customHeight="1" thickBot="1" x14ac:dyDescent="0.35">
      <c r="A455" s="14">
        <v>81</v>
      </c>
      <c r="B455" s="14" t="s">
        <v>658</v>
      </c>
      <c r="C455" s="14" t="s">
        <v>617</v>
      </c>
      <c r="D455" s="14" t="s">
        <v>999</v>
      </c>
      <c r="E455" s="15" t="s">
        <v>626</v>
      </c>
      <c r="F455" s="15">
        <v>4</v>
      </c>
      <c r="G455" s="16">
        <f t="shared" si="30"/>
        <v>39867.370000000003</v>
      </c>
      <c r="H455" s="16">
        <v>40227.370000000003</v>
      </c>
      <c r="I455" s="16">
        <f t="shared" si="29"/>
        <v>0</v>
      </c>
      <c r="J455" s="31">
        <v>40227.370000000003</v>
      </c>
      <c r="K455" s="69">
        <f t="shared" si="31"/>
        <v>0</v>
      </c>
      <c r="L455" s="50">
        <v>360</v>
      </c>
      <c r="M455" s="109">
        <v>360</v>
      </c>
      <c r="N455" s="110">
        <v>0.95</v>
      </c>
    </row>
    <row r="456" spans="1:14" ht="15" hidden="1" thickBot="1" x14ac:dyDescent="0.35">
      <c r="A456" s="14">
        <v>81</v>
      </c>
      <c r="B456" s="14" t="s">
        <v>658</v>
      </c>
      <c r="C456" s="14" t="s">
        <v>617</v>
      </c>
      <c r="D456" s="14" t="s">
        <v>1044</v>
      </c>
      <c r="E456" s="15" t="s">
        <v>504</v>
      </c>
      <c r="F456" s="15">
        <v>3</v>
      </c>
      <c r="G456" s="16">
        <f t="shared" si="30"/>
        <v>18165</v>
      </c>
      <c r="H456" s="16">
        <v>18525</v>
      </c>
      <c r="I456" s="16">
        <f t="shared" si="29"/>
        <v>0</v>
      </c>
      <c r="J456" s="31">
        <v>18525</v>
      </c>
      <c r="K456" s="69">
        <f t="shared" si="31"/>
        <v>0</v>
      </c>
      <c r="L456" s="50">
        <v>360</v>
      </c>
      <c r="M456" s="109">
        <v>360</v>
      </c>
      <c r="N456" s="110">
        <v>0.95</v>
      </c>
    </row>
    <row r="457" spans="1:14" ht="15" hidden="1" thickBot="1" x14ac:dyDescent="0.35">
      <c r="A457" s="14">
        <v>81</v>
      </c>
      <c r="B457" s="14" t="s">
        <v>658</v>
      </c>
      <c r="C457" s="14" t="s">
        <v>617</v>
      </c>
      <c r="D457" s="14" t="s">
        <v>1054</v>
      </c>
      <c r="E457" s="15" t="s">
        <v>1054</v>
      </c>
      <c r="F457" s="15">
        <v>21</v>
      </c>
      <c r="G457" s="16">
        <f t="shared" si="30"/>
        <v>367210.3</v>
      </c>
      <c r="H457" s="16">
        <v>382829.8</v>
      </c>
      <c r="I457" s="16">
        <f t="shared" si="29"/>
        <v>0</v>
      </c>
      <c r="J457" s="31">
        <v>382829.8</v>
      </c>
      <c r="K457" s="69">
        <f t="shared" si="31"/>
        <v>0</v>
      </c>
      <c r="L457" s="50">
        <v>15619.5</v>
      </c>
      <c r="M457" s="109">
        <v>15619.5</v>
      </c>
      <c r="N457" s="110" t="s">
        <v>1683</v>
      </c>
    </row>
    <row r="458" spans="1:14" ht="15" hidden="1" thickBot="1" x14ac:dyDescent="0.35">
      <c r="A458" s="14">
        <v>81</v>
      </c>
      <c r="B458" s="14" t="s">
        <v>658</v>
      </c>
      <c r="C458" s="14" t="s">
        <v>617</v>
      </c>
      <c r="D458" s="158" t="s">
        <v>1061</v>
      </c>
      <c r="E458" s="15" t="s">
        <v>508</v>
      </c>
      <c r="F458" s="15">
        <v>8</v>
      </c>
      <c r="G458" s="16">
        <f t="shared" si="30"/>
        <v>617927.5</v>
      </c>
      <c r="H458" s="16">
        <v>621727.5</v>
      </c>
      <c r="I458" s="16">
        <f t="shared" si="29"/>
        <v>0</v>
      </c>
      <c r="J458" s="31">
        <v>621727.5</v>
      </c>
      <c r="K458" s="69">
        <f t="shared" si="31"/>
        <v>0</v>
      </c>
      <c r="L458" s="50">
        <v>3800</v>
      </c>
      <c r="M458" s="109">
        <v>3800</v>
      </c>
      <c r="N458" s="110" t="s">
        <v>1143</v>
      </c>
    </row>
    <row r="459" spans="1:14" ht="15" hidden="1" thickBot="1" x14ac:dyDescent="0.35">
      <c r="A459" s="14">
        <v>81</v>
      </c>
      <c r="B459" s="14" t="s">
        <v>658</v>
      </c>
      <c r="C459" s="14" t="s">
        <v>617</v>
      </c>
      <c r="D459" s="14" t="s">
        <v>1534</v>
      </c>
      <c r="E459" s="15" t="s">
        <v>508</v>
      </c>
      <c r="F459" s="15">
        <v>2</v>
      </c>
      <c r="G459" s="16">
        <f t="shared" si="30"/>
        <v>76500</v>
      </c>
      <c r="H459" s="16">
        <v>76500</v>
      </c>
      <c r="I459" s="16">
        <f t="shared" si="29"/>
        <v>0</v>
      </c>
      <c r="J459" s="31">
        <v>76500</v>
      </c>
      <c r="K459" s="69">
        <f t="shared" si="31"/>
        <v>0</v>
      </c>
      <c r="L459" s="50">
        <v>0</v>
      </c>
      <c r="M459" s="109">
        <v>0</v>
      </c>
      <c r="N459" s="110">
        <v>0.9</v>
      </c>
    </row>
    <row r="460" spans="1:14" ht="15" hidden="1" thickBot="1" x14ac:dyDescent="0.35">
      <c r="A460" s="14">
        <v>81</v>
      </c>
      <c r="B460" s="14" t="s">
        <v>658</v>
      </c>
      <c r="C460" s="14" t="s">
        <v>617</v>
      </c>
      <c r="D460" s="14" t="s">
        <v>692</v>
      </c>
      <c r="E460" s="15" t="s">
        <v>502</v>
      </c>
      <c r="F460" s="15">
        <v>4</v>
      </c>
      <c r="G460" s="16">
        <f t="shared" si="30"/>
        <v>18068</v>
      </c>
      <c r="H460" s="16">
        <v>19238</v>
      </c>
      <c r="I460" s="16">
        <f t="shared" si="29"/>
        <v>0</v>
      </c>
      <c r="J460" s="31">
        <v>19238</v>
      </c>
      <c r="K460" s="69">
        <f t="shared" si="31"/>
        <v>0</v>
      </c>
      <c r="L460" s="50">
        <v>1170</v>
      </c>
      <c r="M460" s="109">
        <v>1170</v>
      </c>
      <c r="N460" s="110">
        <v>0.95</v>
      </c>
    </row>
    <row r="461" spans="1:14" ht="15" hidden="1" thickBot="1" x14ac:dyDescent="0.35">
      <c r="A461" s="14">
        <v>81</v>
      </c>
      <c r="B461" s="14" t="s">
        <v>658</v>
      </c>
      <c r="C461" s="14" t="s">
        <v>617</v>
      </c>
      <c r="D461" s="14" t="s">
        <v>614</v>
      </c>
      <c r="E461" s="15" t="s">
        <v>508</v>
      </c>
      <c r="F461" s="15">
        <v>1</v>
      </c>
      <c r="G461" s="16">
        <f t="shared" si="30"/>
        <v>3000</v>
      </c>
      <c r="H461" s="16">
        <v>3000</v>
      </c>
      <c r="I461" s="16">
        <f t="shared" si="29"/>
        <v>0</v>
      </c>
      <c r="J461" s="31">
        <v>3000</v>
      </c>
      <c r="K461" s="69">
        <f t="shared" si="31"/>
        <v>0</v>
      </c>
      <c r="L461" s="50"/>
      <c r="M461" s="109"/>
      <c r="N461" s="110">
        <v>1</v>
      </c>
    </row>
    <row r="462" spans="1:14" ht="15" hidden="1" thickBot="1" x14ac:dyDescent="0.35">
      <c r="A462" s="14">
        <v>81</v>
      </c>
      <c r="B462" s="14" t="s">
        <v>658</v>
      </c>
      <c r="C462" s="14" t="s">
        <v>617</v>
      </c>
      <c r="D462" s="14" t="s">
        <v>510</v>
      </c>
      <c r="E462" s="15" t="s">
        <v>508</v>
      </c>
      <c r="F462" s="15">
        <v>1</v>
      </c>
      <c r="G462" s="16">
        <f t="shared" si="30"/>
        <v>3000</v>
      </c>
      <c r="H462" s="16">
        <v>3000</v>
      </c>
      <c r="I462" s="16">
        <f t="shared" si="29"/>
        <v>0</v>
      </c>
      <c r="J462" s="31">
        <v>3000</v>
      </c>
      <c r="K462" s="69">
        <f t="shared" si="31"/>
        <v>0</v>
      </c>
      <c r="L462" s="50"/>
      <c r="M462" s="109"/>
      <c r="N462" s="110">
        <v>1</v>
      </c>
    </row>
    <row r="463" spans="1:14" ht="15" hidden="1" thickBot="1" x14ac:dyDescent="0.35">
      <c r="A463" s="14">
        <v>81</v>
      </c>
      <c r="B463" s="14" t="s">
        <v>658</v>
      </c>
      <c r="C463" s="14" t="s">
        <v>617</v>
      </c>
      <c r="D463" s="14" t="s">
        <v>752</v>
      </c>
      <c r="E463" s="15" t="s">
        <v>504</v>
      </c>
      <c r="F463" s="15">
        <v>3</v>
      </c>
      <c r="G463" s="16">
        <f t="shared" si="30"/>
        <v>13062.5</v>
      </c>
      <c r="H463" s="16">
        <v>13062.5</v>
      </c>
      <c r="I463" s="16">
        <f t="shared" si="29"/>
        <v>0</v>
      </c>
      <c r="J463" s="31">
        <v>13062.5</v>
      </c>
      <c r="K463" s="69">
        <f t="shared" si="31"/>
        <v>0</v>
      </c>
      <c r="L463" s="50"/>
      <c r="M463" s="109"/>
      <c r="N463" s="110">
        <v>0.95</v>
      </c>
    </row>
    <row r="464" spans="1:14" ht="15" hidden="1" thickBot="1" x14ac:dyDescent="0.35">
      <c r="A464" s="14">
        <v>81</v>
      </c>
      <c r="B464" s="14" t="s">
        <v>658</v>
      </c>
      <c r="C464" s="14" t="s">
        <v>617</v>
      </c>
      <c r="D464" s="14" t="s">
        <v>836</v>
      </c>
      <c r="E464" s="15" t="s">
        <v>499</v>
      </c>
      <c r="F464" s="15">
        <v>8</v>
      </c>
      <c r="G464" s="16">
        <f t="shared" si="30"/>
        <v>128317</v>
      </c>
      <c r="H464" s="16">
        <v>149412</v>
      </c>
      <c r="I464" s="16">
        <f t="shared" si="29"/>
        <v>0</v>
      </c>
      <c r="J464" s="31">
        <v>149412</v>
      </c>
      <c r="K464" s="69">
        <f t="shared" si="31"/>
        <v>0</v>
      </c>
      <c r="L464" s="50">
        <v>21095</v>
      </c>
      <c r="M464" s="109">
        <v>21095</v>
      </c>
      <c r="N464" s="110"/>
    </row>
    <row r="465" spans="1:14" ht="15" hidden="1" thickBot="1" x14ac:dyDescent="0.35">
      <c r="A465" s="14">
        <v>81</v>
      </c>
      <c r="B465" s="14" t="s">
        <v>658</v>
      </c>
      <c r="C465" s="14" t="s">
        <v>1266</v>
      </c>
      <c r="D465" s="14" t="s">
        <v>1267</v>
      </c>
      <c r="E465" s="14" t="s">
        <v>1054</v>
      </c>
      <c r="F465" s="15">
        <v>2</v>
      </c>
      <c r="G465" s="16">
        <f t="shared" si="30"/>
        <v>0</v>
      </c>
      <c r="H465" s="16">
        <v>0</v>
      </c>
      <c r="I465" s="16">
        <f t="shared" si="29"/>
        <v>0</v>
      </c>
      <c r="J465" s="31">
        <v>0</v>
      </c>
      <c r="K465" s="69">
        <f t="shared" si="31"/>
        <v>0</v>
      </c>
      <c r="L465" s="50">
        <v>0</v>
      </c>
      <c r="M465" s="109">
        <v>0</v>
      </c>
      <c r="N465" s="110">
        <v>0.95</v>
      </c>
    </row>
    <row r="466" spans="1:14" ht="15" hidden="1" thickBot="1" x14ac:dyDescent="0.35">
      <c r="A466" s="14">
        <v>81</v>
      </c>
      <c r="B466" s="14" t="s">
        <v>658</v>
      </c>
      <c r="C466" s="14" t="s">
        <v>1266</v>
      </c>
      <c r="D466" s="14" t="s">
        <v>1826</v>
      </c>
      <c r="E466" s="14" t="s">
        <v>1054</v>
      </c>
      <c r="F466" s="15">
        <v>1</v>
      </c>
      <c r="G466" s="16">
        <f t="shared" si="30"/>
        <v>0</v>
      </c>
      <c r="H466" s="16">
        <v>0</v>
      </c>
      <c r="I466" s="16">
        <f t="shared" si="29"/>
        <v>0</v>
      </c>
      <c r="J466" s="31">
        <v>0</v>
      </c>
      <c r="K466" s="69">
        <f t="shared" si="31"/>
        <v>0</v>
      </c>
      <c r="L466" s="50">
        <v>0</v>
      </c>
      <c r="M466" s="109">
        <v>0</v>
      </c>
      <c r="N466" s="110">
        <v>0.95</v>
      </c>
    </row>
    <row r="467" spans="1:14" ht="15" hidden="1" thickBot="1" x14ac:dyDescent="0.35">
      <c r="A467" s="14">
        <v>81</v>
      </c>
      <c r="B467" s="14" t="s">
        <v>658</v>
      </c>
      <c r="C467" s="14" t="s">
        <v>1266</v>
      </c>
      <c r="D467" s="14" t="s">
        <v>1054</v>
      </c>
      <c r="E467" s="14" t="s">
        <v>1054</v>
      </c>
      <c r="F467" s="15">
        <v>5</v>
      </c>
      <c r="G467" s="16">
        <f t="shared" si="30"/>
        <v>27370</v>
      </c>
      <c r="H467" s="16">
        <v>27370</v>
      </c>
      <c r="I467" s="16">
        <f t="shared" si="29"/>
        <v>0</v>
      </c>
      <c r="J467" s="31">
        <v>27370</v>
      </c>
      <c r="K467" s="69">
        <f t="shared" si="31"/>
        <v>0</v>
      </c>
      <c r="L467" s="50">
        <v>0</v>
      </c>
      <c r="M467" s="109">
        <v>0</v>
      </c>
      <c r="N467" s="110">
        <v>0.95</v>
      </c>
    </row>
    <row r="468" spans="1:14" ht="15" hidden="1" thickBot="1" x14ac:dyDescent="0.35">
      <c r="A468" s="19">
        <v>82</v>
      </c>
      <c r="B468" s="14" t="s">
        <v>660</v>
      </c>
      <c r="C468" s="14" t="s">
        <v>550</v>
      </c>
      <c r="D468" s="14" t="s">
        <v>497</v>
      </c>
      <c r="E468" s="15" t="s">
        <v>14</v>
      </c>
      <c r="F468" s="15">
        <v>1</v>
      </c>
      <c r="G468" s="16">
        <f t="shared" ref="G468:G531" si="34">H468-M468</f>
        <v>6000</v>
      </c>
      <c r="H468" s="16">
        <v>6000</v>
      </c>
      <c r="I468" s="16">
        <f t="shared" si="29"/>
        <v>0</v>
      </c>
      <c r="J468" s="31">
        <v>6000</v>
      </c>
      <c r="K468" s="69">
        <f t="shared" si="31"/>
        <v>0</v>
      </c>
      <c r="L468" s="50"/>
      <c r="M468" s="109"/>
      <c r="N468" s="110"/>
    </row>
    <row r="469" spans="1:14" ht="15" hidden="1" thickBot="1" x14ac:dyDescent="0.35">
      <c r="A469" s="14">
        <v>83</v>
      </c>
      <c r="B469" s="14" t="s">
        <v>661</v>
      </c>
      <c r="C469" s="14" t="s">
        <v>617</v>
      </c>
      <c r="D469" s="14" t="s">
        <v>775</v>
      </c>
      <c r="E469" s="15" t="s">
        <v>499</v>
      </c>
      <c r="F469" s="15">
        <v>6</v>
      </c>
      <c r="G469" s="16">
        <f t="shared" si="34"/>
        <v>46891.4</v>
      </c>
      <c r="H469" s="16">
        <v>47781.4</v>
      </c>
      <c r="I469" s="16">
        <f t="shared" si="29"/>
        <v>0</v>
      </c>
      <c r="J469" s="31">
        <v>47781.4</v>
      </c>
      <c r="K469" s="69">
        <f t="shared" si="31"/>
        <v>0</v>
      </c>
      <c r="L469" s="50">
        <v>890</v>
      </c>
      <c r="M469" s="109">
        <v>890</v>
      </c>
      <c r="N469" s="110">
        <v>1</v>
      </c>
    </row>
    <row r="470" spans="1:14" ht="15" hidden="1" thickBot="1" x14ac:dyDescent="0.35">
      <c r="A470" s="14">
        <v>83</v>
      </c>
      <c r="B470" s="14" t="s">
        <v>661</v>
      </c>
      <c r="C470" s="14" t="s">
        <v>617</v>
      </c>
      <c r="D470" s="14" t="s">
        <v>530</v>
      </c>
      <c r="E470" s="15" t="s">
        <v>500</v>
      </c>
      <c r="F470" s="15">
        <v>3</v>
      </c>
      <c r="G470" s="16">
        <f t="shared" si="34"/>
        <v>17357</v>
      </c>
      <c r="H470" s="16">
        <v>17477</v>
      </c>
      <c r="I470" s="16">
        <f t="shared" si="29"/>
        <v>0</v>
      </c>
      <c r="J470" s="31">
        <v>17477</v>
      </c>
      <c r="K470" s="69">
        <f t="shared" ref="K470:K533" si="35">M470-L470</f>
        <v>0</v>
      </c>
      <c r="L470" s="50">
        <v>120</v>
      </c>
      <c r="M470" s="109">
        <v>120</v>
      </c>
      <c r="N470" s="110"/>
    </row>
    <row r="471" spans="1:14" ht="15" hidden="1" thickBot="1" x14ac:dyDescent="0.35">
      <c r="A471" s="14">
        <v>84</v>
      </c>
      <c r="B471" s="14" t="s">
        <v>662</v>
      </c>
      <c r="C471" s="14" t="s">
        <v>617</v>
      </c>
      <c r="D471" s="14" t="s">
        <v>1570</v>
      </c>
      <c r="E471" s="15" t="s">
        <v>504</v>
      </c>
      <c r="F471" s="15">
        <v>8</v>
      </c>
      <c r="G471" s="16">
        <f t="shared" si="34"/>
        <v>47205</v>
      </c>
      <c r="H471" s="16">
        <v>52625</v>
      </c>
      <c r="I471" s="16">
        <f t="shared" si="29"/>
        <v>0</v>
      </c>
      <c r="J471" s="31">
        <v>52625</v>
      </c>
      <c r="K471" s="69">
        <f t="shared" si="35"/>
        <v>0</v>
      </c>
      <c r="L471" s="50">
        <v>5420</v>
      </c>
      <c r="M471" s="109">
        <v>5420</v>
      </c>
      <c r="N471" s="110">
        <v>1</v>
      </c>
    </row>
    <row r="472" spans="1:14" ht="15" hidden="1" thickBot="1" x14ac:dyDescent="0.35">
      <c r="A472" s="14">
        <v>84</v>
      </c>
      <c r="B472" s="14" t="s">
        <v>662</v>
      </c>
      <c r="C472" s="14" t="s">
        <v>617</v>
      </c>
      <c r="D472" s="14" t="s">
        <v>1336</v>
      </c>
      <c r="E472" s="15" t="s">
        <v>500</v>
      </c>
      <c r="F472" s="15">
        <v>5</v>
      </c>
      <c r="G472" s="16">
        <f t="shared" si="34"/>
        <v>98723</v>
      </c>
      <c r="H472" s="16">
        <v>146338</v>
      </c>
      <c r="I472" s="16">
        <f t="shared" si="29"/>
        <v>0</v>
      </c>
      <c r="J472" s="31">
        <v>146338</v>
      </c>
      <c r="K472" s="69">
        <f t="shared" si="35"/>
        <v>0</v>
      </c>
      <c r="L472" s="50">
        <v>47615</v>
      </c>
      <c r="M472" s="109">
        <v>47615</v>
      </c>
      <c r="N472" s="110">
        <v>0.95</v>
      </c>
    </row>
    <row r="473" spans="1:14" ht="15" hidden="1" thickBot="1" x14ac:dyDescent="0.35">
      <c r="A473" s="14">
        <v>84</v>
      </c>
      <c r="B473" s="14" t="s">
        <v>662</v>
      </c>
      <c r="C473" s="14" t="s">
        <v>617</v>
      </c>
      <c r="D473" s="14" t="s">
        <v>1051</v>
      </c>
      <c r="E473" s="15" t="s">
        <v>500</v>
      </c>
      <c r="F473" s="15">
        <v>6</v>
      </c>
      <c r="G473" s="16">
        <f t="shared" si="34"/>
        <v>43080</v>
      </c>
      <c r="H473" s="16">
        <v>43800</v>
      </c>
      <c r="I473" s="16">
        <f t="shared" si="29"/>
        <v>0</v>
      </c>
      <c r="J473" s="31">
        <v>43800</v>
      </c>
      <c r="K473" s="69">
        <f t="shared" si="35"/>
        <v>0</v>
      </c>
      <c r="L473" s="50">
        <v>720</v>
      </c>
      <c r="M473" s="109">
        <v>720</v>
      </c>
      <c r="N473" s="110">
        <v>0.95</v>
      </c>
    </row>
    <row r="474" spans="1:14" ht="15" hidden="1" thickBot="1" x14ac:dyDescent="0.35">
      <c r="A474" s="14">
        <v>84</v>
      </c>
      <c r="B474" s="14" t="s">
        <v>662</v>
      </c>
      <c r="C474" s="20" t="s">
        <v>664</v>
      </c>
      <c r="D474" s="14" t="s">
        <v>1051</v>
      </c>
      <c r="E474" s="15" t="s">
        <v>500</v>
      </c>
      <c r="F474" s="15">
        <v>4</v>
      </c>
      <c r="G474" s="16">
        <f t="shared" si="34"/>
        <v>16418</v>
      </c>
      <c r="H474" s="16">
        <v>17963</v>
      </c>
      <c r="I474" s="16">
        <f t="shared" ref="I474:I545" si="36">J474-H474</f>
        <v>0</v>
      </c>
      <c r="J474" s="31">
        <v>17963</v>
      </c>
      <c r="K474" s="69">
        <f t="shared" si="35"/>
        <v>0</v>
      </c>
      <c r="L474" s="50">
        <v>1545</v>
      </c>
      <c r="M474" s="109">
        <v>1545</v>
      </c>
      <c r="N474" s="110"/>
    </row>
    <row r="475" spans="1:14" ht="15" hidden="1" thickBot="1" x14ac:dyDescent="0.35">
      <c r="A475" s="14">
        <v>84</v>
      </c>
      <c r="B475" s="14" t="s">
        <v>662</v>
      </c>
      <c r="C475" s="20" t="s">
        <v>664</v>
      </c>
      <c r="D475" s="14" t="s">
        <v>665</v>
      </c>
      <c r="E475" s="15" t="s">
        <v>504</v>
      </c>
      <c r="F475" s="15">
        <v>3</v>
      </c>
      <c r="G475" s="16">
        <f t="shared" si="34"/>
        <v>2470</v>
      </c>
      <c r="H475" s="16">
        <v>2470</v>
      </c>
      <c r="I475" s="16">
        <f t="shared" si="36"/>
        <v>0</v>
      </c>
      <c r="J475" s="31">
        <v>2470</v>
      </c>
      <c r="K475" s="69">
        <f t="shared" si="35"/>
        <v>0</v>
      </c>
      <c r="L475" s="50"/>
      <c r="M475" s="109"/>
      <c r="N475" s="110"/>
    </row>
    <row r="476" spans="1:14" ht="15" hidden="1" thickBot="1" x14ac:dyDescent="0.35">
      <c r="A476" s="14">
        <v>84</v>
      </c>
      <c r="B476" s="14" t="s">
        <v>662</v>
      </c>
      <c r="C476" s="20" t="s">
        <v>664</v>
      </c>
      <c r="D476" s="14" t="s">
        <v>666</v>
      </c>
      <c r="E476" s="15" t="s">
        <v>504</v>
      </c>
      <c r="F476" s="15">
        <v>3</v>
      </c>
      <c r="G476" s="16">
        <f t="shared" si="34"/>
        <v>1502</v>
      </c>
      <c r="H476" s="16">
        <v>1802</v>
      </c>
      <c r="I476" s="16">
        <f t="shared" si="36"/>
        <v>0</v>
      </c>
      <c r="J476" s="31">
        <v>1802</v>
      </c>
      <c r="K476" s="69">
        <f t="shared" si="35"/>
        <v>0</v>
      </c>
      <c r="L476" s="50">
        <v>300</v>
      </c>
      <c r="M476" s="109">
        <v>300</v>
      </c>
      <c r="N476" s="110"/>
    </row>
    <row r="477" spans="1:14" ht="15" hidden="1" thickBot="1" x14ac:dyDescent="0.35">
      <c r="A477" s="14">
        <v>84</v>
      </c>
      <c r="B477" s="14" t="s">
        <v>662</v>
      </c>
      <c r="C477" s="20" t="s">
        <v>664</v>
      </c>
      <c r="D477" s="14" t="s">
        <v>1336</v>
      </c>
      <c r="E477" s="15" t="s">
        <v>500</v>
      </c>
      <c r="F477" s="15">
        <v>2</v>
      </c>
      <c r="G477" s="16">
        <f t="shared" si="34"/>
        <v>8606</v>
      </c>
      <c r="H477" s="16">
        <v>8606</v>
      </c>
      <c r="I477" s="16">
        <f t="shared" si="36"/>
        <v>0</v>
      </c>
      <c r="J477" s="31">
        <v>8606</v>
      </c>
      <c r="K477" s="69">
        <f t="shared" si="35"/>
        <v>0</v>
      </c>
      <c r="L477" s="50"/>
      <c r="M477" s="109"/>
      <c r="N477" s="110">
        <v>0.95</v>
      </c>
    </row>
    <row r="478" spans="1:14" ht="15" hidden="1" thickBot="1" x14ac:dyDescent="0.35">
      <c r="A478" s="14">
        <v>84</v>
      </c>
      <c r="B478" s="14" t="s">
        <v>662</v>
      </c>
      <c r="C478" s="20" t="s">
        <v>664</v>
      </c>
      <c r="D478" s="14" t="s">
        <v>548</v>
      </c>
      <c r="E478" s="15" t="s">
        <v>504</v>
      </c>
      <c r="F478" s="15">
        <v>3</v>
      </c>
      <c r="G478" s="16">
        <f t="shared" si="34"/>
        <v>16301</v>
      </c>
      <c r="H478" s="16">
        <v>16811</v>
      </c>
      <c r="I478" s="16">
        <f t="shared" si="36"/>
        <v>0</v>
      </c>
      <c r="J478" s="31">
        <v>16811</v>
      </c>
      <c r="K478" s="69">
        <f t="shared" si="35"/>
        <v>0</v>
      </c>
      <c r="L478" s="50">
        <v>510</v>
      </c>
      <c r="M478" s="109">
        <v>510</v>
      </c>
      <c r="N478" s="110"/>
    </row>
    <row r="479" spans="1:14" ht="15" hidden="1" thickBot="1" x14ac:dyDescent="0.35">
      <c r="A479" s="14">
        <v>84</v>
      </c>
      <c r="B479" s="14" t="s">
        <v>662</v>
      </c>
      <c r="C479" s="20" t="s">
        <v>664</v>
      </c>
      <c r="D479" s="14" t="s">
        <v>505</v>
      </c>
      <c r="E479" s="15" t="s">
        <v>504</v>
      </c>
      <c r="F479" s="15">
        <v>1</v>
      </c>
      <c r="G479" s="16">
        <f t="shared" si="34"/>
        <v>1700</v>
      </c>
      <c r="H479" s="16">
        <v>1700</v>
      </c>
      <c r="I479" s="16">
        <f t="shared" si="36"/>
        <v>0</v>
      </c>
      <c r="J479" s="31">
        <v>1700</v>
      </c>
      <c r="K479" s="69">
        <f t="shared" si="35"/>
        <v>0</v>
      </c>
      <c r="L479" s="50"/>
      <c r="M479" s="109"/>
      <c r="N479" s="110"/>
    </row>
    <row r="480" spans="1:14" ht="15" hidden="1" thickBot="1" x14ac:dyDescent="0.35">
      <c r="A480" s="14">
        <v>84</v>
      </c>
      <c r="B480" s="14" t="s">
        <v>662</v>
      </c>
      <c r="C480" s="20" t="s">
        <v>940</v>
      </c>
      <c r="D480" s="14" t="s">
        <v>548</v>
      </c>
      <c r="E480" s="15" t="s">
        <v>504</v>
      </c>
      <c r="F480" s="15">
        <v>4</v>
      </c>
      <c r="G480" s="16">
        <f t="shared" si="34"/>
        <v>9976</v>
      </c>
      <c r="H480" s="16">
        <v>10666</v>
      </c>
      <c r="I480" s="16">
        <f t="shared" si="36"/>
        <v>0</v>
      </c>
      <c r="J480" s="31">
        <v>10666</v>
      </c>
      <c r="K480" s="69">
        <f t="shared" si="35"/>
        <v>0</v>
      </c>
      <c r="L480" s="50">
        <v>690</v>
      </c>
      <c r="M480" s="109">
        <v>690</v>
      </c>
      <c r="N480" s="110"/>
    </row>
    <row r="481" spans="1:15" ht="15" hidden="1" thickBot="1" x14ac:dyDescent="0.35">
      <c r="A481" s="14">
        <v>84</v>
      </c>
      <c r="B481" s="14" t="s">
        <v>662</v>
      </c>
      <c r="C481" s="20" t="s">
        <v>940</v>
      </c>
      <c r="D481" s="14" t="s">
        <v>665</v>
      </c>
      <c r="E481" s="15" t="s">
        <v>504</v>
      </c>
      <c r="F481" s="15">
        <v>2</v>
      </c>
      <c r="G481" s="16">
        <f t="shared" si="34"/>
        <v>4712</v>
      </c>
      <c r="H481" s="16">
        <v>4712</v>
      </c>
      <c r="I481" s="16">
        <f t="shared" si="36"/>
        <v>0</v>
      </c>
      <c r="J481" s="31">
        <v>4712</v>
      </c>
      <c r="K481" s="69">
        <f t="shared" si="35"/>
        <v>0</v>
      </c>
      <c r="L481" s="50"/>
      <c r="M481" s="109"/>
      <c r="N481" s="110"/>
    </row>
    <row r="482" spans="1:15" ht="15" hidden="1" thickBot="1" x14ac:dyDescent="0.35">
      <c r="A482" s="14">
        <v>84</v>
      </c>
      <c r="B482" s="14" t="s">
        <v>662</v>
      </c>
      <c r="C482" s="20" t="s">
        <v>940</v>
      </c>
      <c r="D482" s="14" t="s">
        <v>507</v>
      </c>
      <c r="E482" s="15" t="s">
        <v>504</v>
      </c>
      <c r="F482" s="15">
        <v>2</v>
      </c>
      <c r="G482" s="16">
        <f t="shared" si="34"/>
        <v>2217</v>
      </c>
      <c r="H482" s="16">
        <v>2457</v>
      </c>
      <c r="I482" s="16">
        <f t="shared" si="36"/>
        <v>0</v>
      </c>
      <c r="J482" s="31">
        <v>2457</v>
      </c>
      <c r="K482" s="69">
        <f t="shared" si="35"/>
        <v>0</v>
      </c>
      <c r="L482" s="50">
        <v>240</v>
      </c>
      <c r="M482" s="109">
        <v>240</v>
      </c>
      <c r="N482" s="110"/>
    </row>
    <row r="483" spans="1:15" ht="15" hidden="1" thickBot="1" x14ac:dyDescent="0.35">
      <c r="A483" s="14">
        <v>84</v>
      </c>
      <c r="B483" s="14" t="s">
        <v>662</v>
      </c>
      <c r="C483" s="20" t="s">
        <v>940</v>
      </c>
      <c r="D483" s="14" t="s">
        <v>505</v>
      </c>
      <c r="E483" s="15" t="s">
        <v>504</v>
      </c>
      <c r="F483" s="15">
        <v>2</v>
      </c>
      <c r="G483" s="16">
        <f t="shared" si="34"/>
        <v>4112</v>
      </c>
      <c r="H483" s="16">
        <v>4352</v>
      </c>
      <c r="I483" s="16">
        <f t="shared" si="36"/>
        <v>0</v>
      </c>
      <c r="J483" s="31">
        <v>4352</v>
      </c>
      <c r="K483" s="69">
        <f t="shared" si="35"/>
        <v>0</v>
      </c>
      <c r="L483" s="50">
        <v>240</v>
      </c>
      <c r="M483" s="109">
        <v>240</v>
      </c>
      <c r="N483" s="110"/>
    </row>
    <row r="484" spans="1:15" ht="15" hidden="1" thickBot="1" x14ac:dyDescent="0.35">
      <c r="A484" s="14">
        <v>84</v>
      </c>
      <c r="B484" s="14" t="s">
        <v>662</v>
      </c>
      <c r="C484" s="20" t="s">
        <v>940</v>
      </c>
      <c r="D484" s="14" t="s">
        <v>1051</v>
      </c>
      <c r="E484" s="15" t="s">
        <v>500</v>
      </c>
      <c r="F484" s="15">
        <v>2</v>
      </c>
      <c r="G484" s="16">
        <f t="shared" si="34"/>
        <v>13829</v>
      </c>
      <c r="H484" s="16">
        <v>13829</v>
      </c>
      <c r="I484" s="16">
        <f t="shared" si="36"/>
        <v>0</v>
      </c>
      <c r="J484" s="31">
        <v>13829</v>
      </c>
      <c r="K484" s="69">
        <f t="shared" si="35"/>
        <v>0</v>
      </c>
      <c r="L484" s="50"/>
      <c r="M484" s="109"/>
      <c r="N484" s="110"/>
    </row>
    <row r="485" spans="1:15" ht="15" hidden="1" thickBot="1" x14ac:dyDescent="0.35">
      <c r="A485" s="14">
        <v>84</v>
      </c>
      <c r="B485" s="14" t="s">
        <v>662</v>
      </c>
      <c r="C485" s="20" t="s">
        <v>940</v>
      </c>
      <c r="D485" s="14" t="s">
        <v>667</v>
      </c>
      <c r="E485" s="15" t="s">
        <v>504</v>
      </c>
      <c r="F485" s="15">
        <v>3</v>
      </c>
      <c r="G485" s="16">
        <f t="shared" si="34"/>
        <v>5397</v>
      </c>
      <c r="H485" s="16">
        <v>5397</v>
      </c>
      <c r="I485" s="16">
        <f t="shared" si="36"/>
        <v>0</v>
      </c>
      <c r="J485" s="31">
        <v>5397</v>
      </c>
      <c r="K485" s="69">
        <f t="shared" si="35"/>
        <v>0</v>
      </c>
      <c r="L485" s="50"/>
      <c r="M485" s="109"/>
      <c r="N485" s="110"/>
    </row>
    <row r="486" spans="1:15" ht="15" hidden="1" thickBot="1" x14ac:dyDescent="0.35">
      <c r="A486" s="14">
        <v>84</v>
      </c>
      <c r="B486" s="14" t="s">
        <v>662</v>
      </c>
      <c r="C486" s="20" t="s">
        <v>668</v>
      </c>
      <c r="D486" s="14" t="s">
        <v>1570</v>
      </c>
      <c r="E486" s="15" t="s">
        <v>504</v>
      </c>
      <c r="F486" s="15">
        <v>1</v>
      </c>
      <c r="G486" s="16">
        <f t="shared" si="34"/>
        <v>120</v>
      </c>
      <c r="H486" s="16">
        <v>720</v>
      </c>
      <c r="I486" s="16">
        <f t="shared" si="36"/>
        <v>0</v>
      </c>
      <c r="J486" s="31">
        <v>720</v>
      </c>
      <c r="K486" s="69">
        <f t="shared" si="35"/>
        <v>0</v>
      </c>
      <c r="L486" s="50">
        <v>600</v>
      </c>
      <c r="M486" s="109">
        <v>600</v>
      </c>
      <c r="N486" s="110"/>
    </row>
    <row r="487" spans="1:15" ht="15" hidden="1" thickBot="1" x14ac:dyDescent="0.35">
      <c r="A487" s="14">
        <v>84</v>
      </c>
      <c r="B487" s="14" t="s">
        <v>662</v>
      </c>
      <c r="C487" s="20" t="s">
        <v>668</v>
      </c>
      <c r="D487" s="14" t="s">
        <v>1336</v>
      </c>
      <c r="E487" s="15" t="s">
        <v>500</v>
      </c>
      <c r="F487" s="15">
        <v>4</v>
      </c>
      <c r="G487" s="16">
        <f t="shared" si="34"/>
        <v>4818</v>
      </c>
      <c r="H487" s="16">
        <v>4818</v>
      </c>
      <c r="I487" s="16">
        <f t="shared" si="36"/>
        <v>0</v>
      </c>
      <c r="J487" s="31">
        <v>4818</v>
      </c>
      <c r="K487" s="69">
        <f t="shared" si="35"/>
        <v>0</v>
      </c>
      <c r="L487" s="50"/>
      <c r="M487" s="109"/>
      <c r="N487" s="110">
        <v>0.95</v>
      </c>
    </row>
    <row r="488" spans="1:15" ht="15" hidden="1" thickBot="1" x14ac:dyDescent="0.35">
      <c r="A488" s="14">
        <v>84</v>
      </c>
      <c r="B488" s="14" t="s">
        <v>662</v>
      </c>
      <c r="C488" s="20" t="s">
        <v>668</v>
      </c>
      <c r="D488" s="14" t="s">
        <v>1051</v>
      </c>
      <c r="E488" s="15" t="s">
        <v>500</v>
      </c>
      <c r="F488" s="15">
        <v>2</v>
      </c>
      <c r="G488" s="16">
        <f t="shared" si="34"/>
        <v>2052</v>
      </c>
      <c r="H488" s="16">
        <v>2052</v>
      </c>
      <c r="I488" s="16">
        <f t="shared" si="36"/>
        <v>0</v>
      </c>
      <c r="J488" s="31">
        <v>2052</v>
      </c>
      <c r="K488" s="69">
        <f t="shared" si="35"/>
        <v>0</v>
      </c>
      <c r="L488" s="50"/>
      <c r="M488" s="109"/>
      <c r="N488" s="110"/>
    </row>
    <row r="489" spans="1:15" ht="15" hidden="1" thickBot="1" x14ac:dyDescent="0.35">
      <c r="A489" s="14">
        <v>85</v>
      </c>
      <c r="B489" s="14" t="s">
        <v>669</v>
      </c>
      <c r="C489" s="14" t="s">
        <v>617</v>
      </c>
      <c r="D489" s="14" t="s">
        <v>670</v>
      </c>
      <c r="E489" s="15" t="s">
        <v>506</v>
      </c>
      <c r="F489" s="15">
        <v>13</v>
      </c>
      <c r="G489" s="16">
        <f t="shared" si="34"/>
        <v>581748</v>
      </c>
      <c r="H489" s="16">
        <v>588468</v>
      </c>
      <c r="I489" s="16">
        <f t="shared" si="36"/>
        <v>0</v>
      </c>
      <c r="J489" s="31">
        <v>588468</v>
      </c>
      <c r="K489" s="69">
        <f t="shared" si="35"/>
        <v>0</v>
      </c>
      <c r="L489" s="50">
        <v>6720</v>
      </c>
      <c r="M489" s="109">
        <v>6720</v>
      </c>
      <c r="N489" s="110">
        <v>0.95</v>
      </c>
    </row>
    <row r="490" spans="1:15" ht="15" hidden="1" thickBot="1" x14ac:dyDescent="0.35">
      <c r="A490" s="14">
        <v>86</v>
      </c>
      <c r="B490" s="14" t="s">
        <v>671</v>
      </c>
      <c r="C490" s="14" t="s">
        <v>617</v>
      </c>
      <c r="D490" s="14" t="s">
        <v>510</v>
      </c>
      <c r="E490" s="15" t="s">
        <v>508</v>
      </c>
      <c r="F490" s="15">
        <v>8</v>
      </c>
      <c r="G490" s="16">
        <f t="shared" si="34"/>
        <v>102989</v>
      </c>
      <c r="H490" s="16">
        <v>113209</v>
      </c>
      <c r="I490" s="16">
        <f t="shared" si="36"/>
        <v>0</v>
      </c>
      <c r="J490" s="31">
        <v>113209</v>
      </c>
      <c r="K490" s="69">
        <f t="shared" si="35"/>
        <v>0</v>
      </c>
      <c r="L490" s="50">
        <v>10220</v>
      </c>
      <c r="M490" s="109">
        <v>10220</v>
      </c>
      <c r="N490" s="110"/>
    </row>
    <row r="491" spans="1:15" ht="15" hidden="1" thickBot="1" x14ac:dyDescent="0.35">
      <c r="A491" s="14">
        <v>87</v>
      </c>
      <c r="B491" s="14" t="s">
        <v>672</v>
      </c>
      <c r="C491" s="14" t="s">
        <v>617</v>
      </c>
      <c r="D491" s="14" t="s">
        <v>673</v>
      </c>
      <c r="E491" s="15" t="s">
        <v>512</v>
      </c>
      <c r="F491" s="15">
        <v>4</v>
      </c>
      <c r="G491" s="16">
        <f t="shared" si="34"/>
        <v>11158</v>
      </c>
      <c r="H491" s="16">
        <v>11558</v>
      </c>
      <c r="I491" s="16">
        <f t="shared" si="36"/>
        <v>0</v>
      </c>
      <c r="J491" s="31">
        <v>11558</v>
      </c>
      <c r="K491" s="69">
        <f t="shared" si="35"/>
        <v>0</v>
      </c>
      <c r="L491" s="50">
        <v>400</v>
      </c>
      <c r="M491" s="109">
        <v>400</v>
      </c>
      <c r="N491" s="110"/>
    </row>
    <row r="492" spans="1:15" ht="15" hidden="1" thickBot="1" x14ac:dyDescent="0.35">
      <c r="A492" s="14">
        <v>87</v>
      </c>
      <c r="B492" s="14" t="s">
        <v>672</v>
      </c>
      <c r="C492" s="14" t="s">
        <v>617</v>
      </c>
      <c r="D492" s="14" t="s">
        <v>654</v>
      </c>
      <c r="E492" s="15" t="s">
        <v>512</v>
      </c>
      <c r="F492" s="15">
        <v>3</v>
      </c>
      <c r="G492" s="16">
        <f t="shared" si="34"/>
        <v>8085</v>
      </c>
      <c r="H492" s="16">
        <v>8885</v>
      </c>
      <c r="I492" s="16">
        <f t="shared" si="36"/>
        <v>0</v>
      </c>
      <c r="J492" s="31">
        <v>8885</v>
      </c>
      <c r="K492" s="69">
        <f t="shared" si="35"/>
        <v>0</v>
      </c>
      <c r="L492" s="50">
        <v>800</v>
      </c>
      <c r="M492" s="109">
        <v>800</v>
      </c>
      <c r="N492" s="110"/>
    </row>
    <row r="493" spans="1:15" ht="15" hidden="1" thickBot="1" x14ac:dyDescent="0.35">
      <c r="A493" s="14">
        <v>88</v>
      </c>
      <c r="B493" s="14" t="s">
        <v>674</v>
      </c>
      <c r="C493" s="14" t="s">
        <v>617</v>
      </c>
      <c r="D493" s="14" t="s">
        <v>505</v>
      </c>
      <c r="E493" s="15" t="s">
        <v>504</v>
      </c>
      <c r="F493" s="15">
        <v>6</v>
      </c>
      <c r="G493" s="16">
        <f t="shared" si="34"/>
        <v>58172</v>
      </c>
      <c r="H493" s="16">
        <v>59532</v>
      </c>
      <c r="I493" s="16">
        <f t="shared" si="36"/>
        <v>0</v>
      </c>
      <c r="J493" s="31">
        <v>59532</v>
      </c>
      <c r="K493" s="69">
        <f t="shared" si="35"/>
        <v>0</v>
      </c>
      <c r="L493" s="50">
        <v>1360</v>
      </c>
      <c r="M493" s="109">
        <v>1360</v>
      </c>
      <c r="N493" s="110"/>
    </row>
    <row r="494" spans="1:15" ht="15" hidden="1" thickBot="1" x14ac:dyDescent="0.35">
      <c r="A494" s="14">
        <v>89</v>
      </c>
      <c r="B494" s="14" t="s">
        <v>675</v>
      </c>
      <c r="C494" s="14" t="s">
        <v>617</v>
      </c>
      <c r="D494" s="14" t="s">
        <v>614</v>
      </c>
      <c r="E494" s="15" t="s">
        <v>504</v>
      </c>
      <c r="F494" s="15">
        <v>11</v>
      </c>
      <c r="G494" s="16">
        <f t="shared" si="34"/>
        <v>229292</v>
      </c>
      <c r="H494" s="16">
        <v>244622</v>
      </c>
      <c r="I494" s="16">
        <f t="shared" si="36"/>
        <v>0</v>
      </c>
      <c r="J494" s="31">
        <v>244622</v>
      </c>
      <c r="K494" s="69">
        <f t="shared" si="35"/>
        <v>0</v>
      </c>
      <c r="L494" s="50">
        <v>15330</v>
      </c>
      <c r="M494" s="109">
        <v>15330</v>
      </c>
      <c r="N494" s="110"/>
    </row>
    <row r="495" spans="1:15" ht="15" hidden="1" thickBot="1" x14ac:dyDescent="0.35">
      <c r="A495" s="14">
        <v>89</v>
      </c>
      <c r="B495" s="14" t="s">
        <v>675</v>
      </c>
      <c r="C495" s="14" t="s">
        <v>617</v>
      </c>
      <c r="D495" s="14" t="s">
        <v>510</v>
      </c>
      <c r="E495" s="15" t="s">
        <v>504</v>
      </c>
      <c r="F495" s="15">
        <v>9</v>
      </c>
      <c r="G495" s="16">
        <f t="shared" si="34"/>
        <v>84979.94</v>
      </c>
      <c r="H495" s="16">
        <v>93789.94</v>
      </c>
      <c r="I495" s="16">
        <f t="shared" si="36"/>
        <v>0</v>
      </c>
      <c r="J495" s="31">
        <v>93789.94</v>
      </c>
      <c r="K495" s="69">
        <f t="shared" si="35"/>
        <v>0</v>
      </c>
      <c r="L495" s="50">
        <v>8810</v>
      </c>
      <c r="M495" s="109">
        <v>8810</v>
      </c>
      <c r="N495" s="110">
        <v>0.96</v>
      </c>
    </row>
    <row r="496" spans="1:15" ht="15" hidden="1" thickBot="1" x14ac:dyDescent="0.35">
      <c r="A496" s="14">
        <v>89</v>
      </c>
      <c r="B496" s="14" t="s">
        <v>675</v>
      </c>
      <c r="C496" s="14" t="s">
        <v>617</v>
      </c>
      <c r="D496" s="14" t="s">
        <v>1045</v>
      </c>
      <c r="E496" s="15" t="s">
        <v>676</v>
      </c>
      <c r="F496" s="15">
        <v>2</v>
      </c>
      <c r="G496" s="16">
        <f t="shared" si="34"/>
        <v>29336</v>
      </c>
      <c r="H496" s="16">
        <v>29336</v>
      </c>
      <c r="I496" s="16">
        <f>J496-H496</f>
        <v>0</v>
      </c>
      <c r="J496" s="31">
        <v>29336</v>
      </c>
      <c r="K496" s="69">
        <f t="shared" si="35"/>
        <v>0</v>
      </c>
      <c r="L496" s="50"/>
      <c r="M496" s="109"/>
      <c r="N496" s="110"/>
      <c r="O496" s="156"/>
    </row>
    <row r="497" spans="1:15" ht="15" hidden="1" thickBot="1" x14ac:dyDescent="0.35">
      <c r="A497" s="14">
        <v>89</v>
      </c>
      <c r="B497" s="14" t="s">
        <v>675</v>
      </c>
      <c r="C497" s="14" t="s">
        <v>617</v>
      </c>
      <c r="D497" s="47" t="s">
        <v>985</v>
      </c>
      <c r="E497" s="15" t="s">
        <v>676</v>
      </c>
      <c r="F497" s="15">
        <v>10</v>
      </c>
      <c r="G497" s="16">
        <f t="shared" si="34"/>
        <v>335219</v>
      </c>
      <c r="H497" s="16">
        <v>355599</v>
      </c>
      <c r="I497" s="16">
        <f t="shared" si="36"/>
        <v>0</v>
      </c>
      <c r="J497" s="31">
        <v>355599</v>
      </c>
      <c r="K497" s="69">
        <f t="shared" si="35"/>
        <v>0</v>
      </c>
      <c r="L497" s="50">
        <v>20380</v>
      </c>
      <c r="M497" s="109">
        <v>20380</v>
      </c>
      <c r="N497" s="110" t="s">
        <v>1371</v>
      </c>
      <c r="O497" s="156"/>
    </row>
    <row r="498" spans="1:15" ht="15" hidden="1" thickBot="1" x14ac:dyDescent="0.35">
      <c r="A498" s="20">
        <v>90</v>
      </c>
      <c r="B498" s="14" t="s">
        <v>677</v>
      </c>
      <c r="C498" s="14" t="s">
        <v>617</v>
      </c>
      <c r="D498" s="14" t="s">
        <v>1102</v>
      </c>
      <c r="E498" s="15" t="s">
        <v>500</v>
      </c>
      <c r="F498" s="15">
        <v>9</v>
      </c>
      <c r="G498" s="16">
        <f t="shared" si="34"/>
        <v>416353</v>
      </c>
      <c r="H498" s="16">
        <v>427258</v>
      </c>
      <c r="I498" s="16">
        <f t="shared" si="36"/>
        <v>0</v>
      </c>
      <c r="J498" s="31">
        <v>427258</v>
      </c>
      <c r="K498" s="69">
        <f t="shared" si="35"/>
        <v>0</v>
      </c>
      <c r="L498" s="50">
        <v>10905</v>
      </c>
      <c r="M498" s="109">
        <v>10905</v>
      </c>
      <c r="N498" s="110" t="s">
        <v>1782</v>
      </c>
    </row>
    <row r="499" spans="1:15" ht="15" hidden="1" thickBot="1" x14ac:dyDescent="0.35">
      <c r="A499" s="20">
        <v>90</v>
      </c>
      <c r="B499" s="14" t="s">
        <v>677</v>
      </c>
      <c r="C499" s="14" t="s">
        <v>617</v>
      </c>
      <c r="D499" s="14" t="s">
        <v>678</v>
      </c>
      <c r="E499" s="15" t="s">
        <v>502</v>
      </c>
      <c r="F499" s="15">
        <v>5</v>
      </c>
      <c r="G499" s="16">
        <f t="shared" si="34"/>
        <v>49604</v>
      </c>
      <c r="H499" s="16">
        <v>52304</v>
      </c>
      <c r="I499" s="16">
        <f t="shared" si="36"/>
        <v>0</v>
      </c>
      <c r="J499" s="31">
        <v>52304</v>
      </c>
      <c r="K499" s="69">
        <f t="shared" si="35"/>
        <v>0</v>
      </c>
      <c r="L499" s="50">
        <v>2700</v>
      </c>
      <c r="M499" s="109">
        <v>2700</v>
      </c>
      <c r="N499" s="110">
        <v>0.9</v>
      </c>
    </row>
    <row r="500" spans="1:15" ht="15" hidden="1" thickBot="1" x14ac:dyDescent="0.35">
      <c r="A500" s="20">
        <v>90</v>
      </c>
      <c r="B500" s="14" t="s">
        <v>677</v>
      </c>
      <c r="C500" s="14" t="s">
        <v>617</v>
      </c>
      <c r="D500" s="14" t="s">
        <v>1132</v>
      </c>
      <c r="E500" s="15" t="s">
        <v>500</v>
      </c>
      <c r="F500" s="15">
        <v>6</v>
      </c>
      <c r="G500" s="16">
        <f t="shared" si="34"/>
        <v>71604</v>
      </c>
      <c r="H500" s="16">
        <v>71604</v>
      </c>
      <c r="I500" s="16">
        <f t="shared" si="36"/>
        <v>0</v>
      </c>
      <c r="J500" s="31">
        <v>71604</v>
      </c>
      <c r="K500" s="69">
        <f t="shared" si="35"/>
        <v>0</v>
      </c>
      <c r="L500" s="50"/>
      <c r="M500" s="109"/>
      <c r="N500" s="110" t="s">
        <v>1127</v>
      </c>
    </row>
    <row r="501" spans="1:15" ht="15" hidden="1" thickBot="1" x14ac:dyDescent="0.35">
      <c r="A501" s="20">
        <v>90</v>
      </c>
      <c r="B501" s="14" t="s">
        <v>677</v>
      </c>
      <c r="C501" s="14" t="s">
        <v>617</v>
      </c>
      <c r="D501" s="14" t="s">
        <v>1043</v>
      </c>
      <c r="E501" s="15" t="s">
        <v>500</v>
      </c>
      <c r="F501" s="15">
        <v>8</v>
      </c>
      <c r="G501" s="16">
        <f t="shared" si="34"/>
        <v>349704</v>
      </c>
      <c r="H501" s="16">
        <v>358364</v>
      </c>
      <c r="I501" s="16">
        <f>J501-H501</f>
        <v>0</v>
      </c>
      <c r="J501" s="31">
        <v>358364</v>
      </c>
      <c r="K501" s="69">
        <f t="shared" si="35"/>
        <v>0</v>
      </c>
      <c r="L501" s="50">
        <v>8660</v>
      </c>
      <c r="M501" s="109">
        <v>8660</v>
      </c>
      <c r="N501" s="110" t="s">
        <v>1124</v>
      </c>
    </row>
    <row r="502" spans="1:15" ht="15" hidden="1" thickBot="1" x14ac:dyDescent="0.35">
      <c r="A502" s="20">
        <v>90</v>
      </c>
      <c r="B502" s="14" t="s">
        <v>677</v>
      </c>
      <c r="C502" s="14" t="s">
        <v>617</v>
      </c>
      <c r="D502" s="14" t="s">
        <v>1228</v>
      </c>
      <c r="E502" s="15" t="s">
        <v>500</v>
      </c>
      <c r="F502" s="15">
        <v>4</v>
      </c>
      <c r="G502" s="16">
        <f t="shared" si="34"/>
        <v>32850</v>
      </c>
      <c r="H502" s="16">
        <v>33090</v>
      </c>
      <c r="I502" s="16">
        <f>J502-H502</f>
        <v>0</v>
      </c>
      <c r="J502" s="31">
        <v>33090</v>
      </c>
      <c r="K502" s="69">
        <f t="shared" si="35"/>
        <v>0</v>
      </c>
      <c r="L502" s="50">
        <v>240</v>
      </c>
      <c r="M502" s="109">
        <v>240</v>
      </c>
      <c r="N502" s="110" t="s">
        <v>1179</v>
      </c>
    </row>
    <row r="503" spans="1:15" ht="15" hidden="1" thickBot="1" x14ac:dyDescent="0.35">
      <c r="A503" s="20">
        <v>90</v>
      </c>
      <c r="B503" s="14" t="s">
        <v>677</v>
      </c>
      <c r="C503" s="14" t="s">
        <v>617</v>
      </c>
      <c r="D503" s="14" t="s">
        <v>679</v>
      </c>
      <c r="E503" s="15" t="s">
        <v>502</v>
      </c>
      <c r="F503" s="15">
        <v>13</v>
      </c>
      <c r="G503" s="16">
        <f t="shared" si="34"/>
        <v>308120.5</v>
      </c>
      <c r="H503" s="16">
        <v>312160.5</v>
      </c>
      <c r="I503" s="16">
        <f t="shared" si="36"/>
        <v>0</v>
      </c>
      <c r="J503" s="31">
        <v>312160.5</v>
      </c>
      <c r="K503" s="69">
        <f t="shared" si="35"/>
        <v>0</v>
      </c>
      <c r="L503" s="50">
        <v>4040</v>
      </c>
      <c r="M503" s="109">
        <v>4040</v>
      </c>
      <c r="N503" s="110">
        <v>0.95</v>
      </c>
    </row>
    <row r="504" spans="1:15" ht="15" hidden="1" thickBot="1" x14ac:dyDescent="0.35">
      <c r="A504" s="14">
        <v>92</v>
      </c>
      <c r="B504" s="14" t="s">
        <v>680</v>
      </c>
      <c r="C504" s="14" t="s">
        <v>617</v>
      </c>
      <c r="D504" s="14" t="s">
        <v>652</v>
      </c>
      <c r="E504" s="15" t="s">
        <v>499</v>
      </c>
      <c r="F504" s="15"/>
      <c r="G504" s="16">
        <f t="shared" si="34"/>
        <v>9454</v>
      </c>
      <c r="H504" s="16">
        <v>11354</v>
      </c>
      <c r="I504" s="16">
        <f t="shared" si="36"/>
        <v>0</v>
      </c>
      <c r="J504" s="31">
        <v>11354</v>
      </c>
      <c r="K504" s="69">
        <f t="shared" si="35"/>
        <v>0</v>
      </c>
      <c r="L504" s="50">
        <v>1900</v>
      </c>
      <c r="M504" s="109">
        <v>1900</v>
      </c>
      <c r="N504" s="110"/>
    </row>
    <row r="505" spans="1:15" ht="15" hidden="1" thickBot="1" x14ac:dyDescent="0.35">
      <c r="A505" s="14">
        <v>93</v>
      </c>
      <c r="B505" s="14" t="s">
        <v>681</v>
      </c>
      <c r="C505" s="14" t="s">
        <v>617</v>
      </c>
      <c r="D505" s="14" t="s">
        <v>510</v>
      </c>
      <c r="E505" s="15" t="s">
        <v>509</v>
      </c>
      <c r="F505" s="15">
        <v>10</v>
      </c>
      <c r="G505" s="16">
        <f t="shared" si="34"/>
        <v>96581</v>
      </c>
      <c r="H505" s="16">
        <v>107061</v>
      </c>
      <c r="I505" s="16">
        <f t="shared" si="36"/>
        <v>0</v>
      </c>
      <c r="J505" s="31">
        <v>107061</v>
      </c>
      <c r="K505" s="69">
        <f t="shared" si="35"/>
        <v>0</v>
      </c>
      <c r="L505" s="50">
        <v>10480</v>
      </c>
      <c r="M505" s="109">
        <v>10480</v>
      </c>
      <c r="N505" s="110"/>
    </row>
    <row r="506" spans="1:15" ht="15" hidden="1" thickBot="1" x14ac:dyDescent="0.35">
      <c r="A506" s="14">
        <v>93</v>
      </c>
      <c r="B506" s="14" t="s">
        <v>681</v>
      </c>
      <c r="C506" s="14" t="s">
        <v>617</v>
      </c>
      <c r="D506" s="14" t="s">
        <v>614</v>
      </c>
      <c r="E506" s="15" t="s">
        <v>509</v>
      </c>
      <c r="F506" s="15">
        <v>11</v>
      </c>
      <c r="G506" s="16">
        <f t="shared" si="34"/>
        <v>154369</v>
      </c>
      <c r="H506" s="16">
        <v>198869</v>
      </c>
      <c r="I506" s="16">
        <f t="shared" si="36"/>
        <v>0</v>
      </c>
      <c r="J506" s="31">
        <v>198869</v>
      </c>
      <c r="K506" s="69">
        <f t="shared" si="35"/>
        <v>0</v>
      </c>
      <c r="L506" s="50">
        <v>44500</v>
      </c>
      <c r="M506" s="109">
        <v>44500</v>
      </c>
      <c r="N506" s="110"/>
    </row>
    <row r="507" spans="1:15" ht="15" hidden="1" thickBot="1" x14ac:dyDescent="0.35">
      <c r="A507" s="14">
        <v>93</v>
      </c>
      <c r="B507" s="14" t="s">
        <v>681</v>
      </c>
      <c r="C507" s="14" t="s">
        <v>617</v>
      </c>
      <c r="D507" s="14" t="s">
        <v>614</v>
      </c>
      <c r="E507" s="15" t="s">
        <v>499</v>
      </c>
      <c r="F507" s="15">
        <v>10</v>
      </c>
      <c r="G507" s="16">
        <f t="shared" si="34"/>
        <v>142523</v>
      </c>
      <c r="H507" s="16">
        <v>155083</v>
      </c>
      <c r="I507" s="16">
        <f t="shared" si="36"/>
        <v>0</v>
      </c>
      <c r="J507" s="31">
        <v>155083</v>
      </c>
      <c r="K507" s="69">
        <f t="shared" si="35"/>
        <v>0</v>
      </c>
      <c r="L507" s="50">
        <v>12560</v>
      </c>
      <c r="M507" s="109">
        <v>12560</v>
      </c>
      <c r="N507" s="110" t="s">
        <v>1326</v>
      </c>
    </row>
    <row r="508" spans="1:15" ht="15" hidden="1" thickBot="1" x14ac:dyDescent="0.35">
      <c r="A508" s="14">
        <v>94</v>
      </c>
      <c r="B508" s="14" t="s">
        <v>682</v>
      </c>
      <c r="C508" s="14" t="s">
        <v>617</v>
      </c>
      <c r="D508" s="14" t="s">
        <v>523</v>
      </c>
      <c r="E508" s="15" t="s">
        <v>508</v>
      </c>
      <c r="F508" s="15"/>
      <c r="G508" s="16">
        <f t="shared" si="34"/>
        <v>324</v>
      </c>
      <c r="H508" s="16">
        <v>324</v>
      </c>
      <c r="I508" s="16">
        <f t="shared" si="36"/>
        <v>0</v>
      </c>
      <c r="J508" s="31">
        <v>324</v>
      </c>
      <c r="K508" s="69">
        <f t="shared" si="35"/>
        <v>0</v>
      </c>
      <c r="L508" s="50"/>
      <c r="M508" s="109"/>
      <c r="N508" s="110"/>
    </row>
    <row r="509" spans="1:15" ht="15" hidden="1" thickBot="1" x14ac:dyDescent="0.35">
      <c r="A509" s="14">
        <v>95</v>
      </c>
      <c r="B509" s="14" t="s">
        <v>683</v>
      </c>
      <c r="C509" s="14" t="s">
        <v>617</v>
      </c>
      <c r="D509" s="14" t="s">
        <v>529</v>
      </c>
      <c r="E509" s="15" t="s">
        <v>500</v>
      </c>
      <c r="F509" s="15"/>
      <c r="G509" s="16">
        <f t="shared" si="34"/>
        <v>15733.8</v>
      </c>
      <c r="H509" s="16">
        <v>15958.8</v>
      </c>
      <c r="I509" s="16">
        <f t="shared" si="36"/>
        <v>0</v>
      </c>
      <c r="J509" s="31">
        <v>15958.8</v>
      </c>
      <c r="K509" s="69">
        <f t="shared" si="35"/>
        <v>0</v>
      </c>
      <c r="L509" s="50">
        <v>225</v>
      </c>
      <c r="M509" s="109">
        <v>225</v>
      </c>
      <c r="N509" s="110">
        <v>1</v>
      </c>
    </row>
    <row r="510" spans="1:15" ht="15" hidden="1" thickBot="1" x14ac:dyDescent="0.35">
      <c r="A510" s="14">
        <v>96</v>
      </c>
      <c r="B510" s="14" t="s">
        <v>684</v>
      </c>
      <c r="C510" s="14" t="s">
        <v>617</v>
      </c>
      <c r="D510" s="14" t="s">
        <v>708</v>
      </c>
      <c r="E510" s="15" t="s">
        <v>502</v>
      </c>
      <c r="F510" s="15"/>
      <c r="G510" s="16">
        <f t="shared" si="34"/>
        <v>8010</v>
      </c>
      <c r="H510" s="16">
        <v>8010</v>
      </c>
      <c r="I510" s="16">
        <f t="shared" si="36"/>
        <v>0</v>
      </c>
      <c r="J510" s="31">
        <v>8010</v>
      </c>
      <c r="K510" s="69">
        <f t="shared" si="35"/>
        <v>0</v>
      </c>
      <c r="L510" s="50"/>
      <c r="M510" s="109"/>
      <c r="N510" s="110"/>
    </row>
    <row r="511" spans="1:15" ht="15" hidden="1" thickBot="1" x14ac:dyDescent="0.35">
      <c r="A511" s="14">
        <v>96</v>
      </c>
      <c r="B511" s="14" t="s">
        <v>684</v>
      </c>
      <c r="C511" s="14" t="s">
        <v>617</v>
      </c>
      <c r="D511" s="14" t="s">
        <v>505</v>
      </c>
      <c r="E511" s="15" t="s">
        <v>504</v>
      </c>
      <c r="F511" s="15"/>
      <c r="G511" s="16">
        <f t="shared" si="34"/>
        <v>8295</v>
      </c>
      <c r="H511" s="16">
        <v>8295</v>
      </c>
      <c r="I511" s="16">
        <f t="shared" si="36"/>
        <v>0</v>
      </c>
      <c r="J511" s="31">
        <v>8295</v>
      </c>
      <c r="K511" s="69">
        <f t="shared" si="35"/>
        <v>0</v>
      </c>
      <c r="L511" s="50"/>
      <c r="M511" s="109"/>
      <c r="N511" s="110"/>
    </row>
    <row r="512" spans="1:15" ht="15" hidden="1" thickBot="1" x14ac:dyDescent="0.35">
      <c r="A512" s="14">
        <v>96</v>
      </c>
      <c r="B512" s="14" t="s">
        <v>684</v>
      </c>
      <c r="C512" s="14" t="s">
        <v>617</v>
      </c>
      <c r="D512" s="14" t="s">
        <v>685</v>
      </c>
      <c r="E512" s="15" t="s">
        <v>504</v>
      </c>
      <c r="F512" s="15"/>
      <c r="G512" s="16">
        <f t="shared" si="34"/>
        <v>18050</v>
      </c>
      <c r="H512" s="16">
        <v>18050</v>
      </c>
      <c r="I512" s="16">
        <f t="shared" si="36"/>
        <v>0</v>
      </c>
      <c r="J512" s="31">
        <v>18050</v>
      </c>
      <c r="K512" s="69">
        <f t="shared" si="35"/>
        <v>0</v>
      </c>
      <c r="L512" s="50"/>
      <c r="M512" s="109"/>
      <c r="N512" s="110"/>
    </row>
    <row r="513" spans="1:14" ht="15" hidden="1" thickBot="1" x14ac:dyDescent="0.35">
      <c r="A513" s="14">
        <v>97</v>
      </c>
      <c r="B513" s="14" t="s">
        <v>686</v>
      </c>
      <c r="C513" s="14" t="s">
        <v>617</v>
      </c>
      <c r="D513" s="14" t="s">
        <v>687</v>
      </c>
      <c r="E513" s="15" t="s">
        <v>499</v>
      </c>
      <c r="F513" s="15">
        <v>12</v>
      </c>
      <c r="G513" s="16">
        <f t="shared" si="34"/>
        <v>142163</v>
      </c>
      <c r="H513" s="16">
        <v>146443</v>
      </c>
      <c r="I513" s="16">
        <f t="shared" si="36"/>
        <v>0</v>
      </c>
      <c r="J513" s="31">
        <v>146443</v>
      </c>
      <c r="K513" s="69">
        <f t="shared" si="35"/>
        <v>0</v>
      </c>
      <c r="L513" s="50">
        <v>4280</v>
      </c>
      <c r="M513" s="109">
        <v>4280</v>
      </c>
      <c r="N513" s="110"/>
    </row>
    <row r="514" spans="1:14" ht="15" hidden="1" thickBot="1" x14ac:dyDescent="0.35">
      <c r="A514" s="14">
        <v>97</v>
      </c>
      <c r="B514" s="14" t="s">
        <v>686</v>
      </c>
      <c r="C514" s="14" t="s">
        <v>617</v>
      </c>
      <c r="D514" s="14" t="s">
        <v>634</v>
      </c>
      <c r="E514" s="15" t="s">
        <v>499</v>
      </c>
      <c r="F514" s="15">
        <v>10</v>
      </c>
      <c r="G514" s="16">
        <f t="shared" si="34"/>
        <v>142980</v>
      </c>
      <c r="H514" s="16">
        <v>148480</v>
      </c>
      <c r="I514" s="16">
        <f t="shared" si="36"/>
        <v>0</v>
      </c>
      <c r="J514" s="31">
        <v>148480</v>
      </c>
      <c r="K514" s="69">
        <f t="shared" si="35"/>
        <v>0</v>
      </c>
      <c r="L514" s="50">
        <v>5500</v>
      </c>
      <c r="M514" s="109">
        <v>5500</v>
      </c>
      <c r="N514" s="110"/>
    </row>
    <row r="515" spans="1:14" ht="15" hidden="1" thickBot="1" x14ac:dyDescent="0.35">
      <c r="A515" s="14">
        <v>98</v>
      </c>
      <c r="B515" s="14" t="s">
        <v>688</v>
      </c>
      <c r="C515" s="14" t="s">
        <v>689</v>
      </c>
      <c r="D515" s="14" t="s">
        <v>790</v>
      </c>
      <c r="E515" s="15" t="s">
        <v>500</v>
      </c>
      <c r="F515" s="15">
        <v>2</v>
      </c>
      <c r="G515" s="16">
        <f t="shared" si="34"/>
        <v>9565</v>
      </c>
      <c r="H515" s="16">
        <v>10565</v>
      </c>
      <c r="I515" s="16">
        <f t="shared" si="36"/>
        <v>0</v>
      </c>
      <c r="J515" s="31">
        <v>10565</v>
      </c>
      <c r="K515" s="69">
        <f t="shared" si="35"/>
        <v>0</v>
      </c>
      <c r="L515" s="50">
        <v>1000</v>
      </c>
      <c r="M515" s="109">
        <v>1000</v>
      </c>
      <c r="N515" s="110"/>
    </row>
    <row r="516" spans="1:14" ht="15" hidden="1" thickBot="1" x14ac:dyDescent="0.35">
      <c r="A516" s="14">
        <v>98</v>
      </c>
      <c r="B516" s="14" t="s">
        <v>688</v>
      </c>
      <c r="C516" s="14" t="s">
        <v>689</v>
      </c>
      <c r="D516" s="14" t="s">
        <v>548</v>
      </c>
      <c r="E516" s="15" t="s">
        <v>504</v>
      </c>
      <c r="F516" s="15">
        <v>1</v>
      </c>
      <c r="G516" s="16">
        <f t="shared" si="34"/>
        <v>3374</v>
      </c>
      <c r="H516" s="16">
        <v>3374</v>
      </c>
      <c r="I516" s="16">
        <f t="shared" si="36"/>
        <v>0</v>
      </c>
      <c r="J516" s="31">
        <v>3374</v>
      </c>
      <c r="K516" s="69">
        <f t="shared" si="35"/>
        <v>0</v>
      </c>
      <c r="L516" s="50"/>
      <c r="M516" s="109"/>
      <c r="N516" s="110"/>
    </row>
    <row r="517" spans="1:14" ht="15" hidden="1" thickBot="1" x14ac:dyDescent="0.35">
      <c r="A517" s="14">
        <v>98</v>
      </c>
      <c r="B517" s="14" t="s">
        <v>688</v>
      </c>
      <c r="C517" s="14" t="s">
        <v>689</v>
      </c>
      <c r="D517" s="14" t="s">
        <v>690</v>
      </c>
      <c r="E517" s="15" t="s">
        <v>512</v>
      </c>
      <c r="F517" s="15">
        <v>2</v>
      </c>
      <c r="G517" s="16">
        <f t="shared" si="34"/>
        <v>6233</v>
      </c>
      <c r="H517" s="16">
        <v>6233</v>
      </c>
      <c r="I517" s="16">
        <f t="shared" si="36"/>
        <v>0</v>
      </c>
      <c r="J517" s="31">
        <v>6233</v>
      </c>
      <c r="K517" s="69">
        <f t="shared" si="35"/>
        <v>0</v>
      </c>
      <c r="L517" s="50"/>
      <c r="M517" s="109"/>
      <c r="N517" s="110"/>
    </row>
    <row r="518" spans="1:14" ht="15" hidden="1" thickBot="1" x14ac:dyDescent="0.35">
      <c r="A518" s="20">
        <v>99</v>
      </c>
      <c r="B518" s="14" t="s">
        <v>691</v>
      </c>
      <c r="C518" s="20" t="s">
        <v>617</v>
      </c>
      <c r="D518" s="14" t="s">
        <v>638</v>
      </c>
      <c r="E518" s="15" t="s">
        <v>504</v>
      </c>
      <c r="F518" s="15">
        <v>1</v>
      </c>
      <c r="G518" s="16">
        <f t="shared" si="34"/>
        <v>30279</v>
      </c>
      <c r="H518" s="16">
        <v>30279</v>
      </c>
      <c r="I518" s="16">
        <f t="shared" si="36"/>
        <v>0</v>
      </c>
      <c r="J518" s="31">
        <v>30279</v>
      </c>
      <c r="K518" s="69">
        <f t="shared" si="35"/>
        <v>0</v>
      </c>
      <c r="L518" s="50"/>
      <c r="M518" s="109"/>
      <c r="N518" s="110"/>
    </row>
    <row r="519" spans="1:14" ht="15" hidden="1" thickBot="1" x14ac:dyDescent="0.35">
      <c r="A519" s="20">
        <v>99</v>
      </c>
      <c r="B519" s="14" t="s">
        <v>691</v>
      </c>
      <c r="C519" s="20" t="s">
        <v>617</v>
      </c>
      <c r="D519" s="14" t="s">
        <v>614</v>
      </c>
      <c r="E519" s="15" t="s">
        <v>500</v>
      </c>
      <c r="F519" s="15">
        <v>15</v>
      </c>
      <c r="G519" s="16">
        <f t="shared" si="34"/>
        <v>250557</v>
      </c>
      <c r="H519" s="16">
        <v>258527</v>
      </c>
      <c r="I519" s="16">
        <f t="shared" si="36"/>
        <v>0</v>
      </c>
      <c r="J519" s="31">
        <v>258527</v>
      </c>
      <c r="K519" s="69">
        <f t="shared" si="35"/>
        <v>0</v>
      </c>
      <c r="L519" s="50">
        <v>7970</v>
      </c>
      <c r="M519" s="109">
        <v>7970</v>
      </c>
      <c r="N519" s="154">
        <v>0.96499999999999997</v>
      </c>
    </row>
    <row r="520" spans="1:14" ht="15" hidden="1" thickBot="1" x14ac:dyDescent="0.35">
      <c r="A520" s="20">
        <v>99</v>
      </c>
      <c r="B520" s="14" t="s">
        <v>691</v>
      </c>
      <c r="C520" s="20" t="s">
        <v>617</v>
      </c>
      <c r="D520" s="14" t="s">
        <v>692</v>
      </c>
      <c r="E520" s="15" t="s">
        <v>502</v>
      </c>
      <c r="F520" s="15">
        <v>7</v>
      </c>
      <c r="G520" s="16">
        <f t="shared" si="34"/>
        <v>67899</v>
      </c>
      <c r="H520" s="16">
        <v>68469</v>
      </c>
      <c r="I520" s="16">
        <f t="shared" si="36"/>
        <v>0</v>
      </c>
      <c r="J520" s="31">
        <v>68469</v>
      </c>
      <c r="K520" s="69">
        <f t="shared" si="35"/>
        <v>0</v>
      </c>
      <c r="L520" s="50">
        <v>570</v>
      </c>
      <c r="M520" s="109">
        <v>570</v>
      </c>
      <c r="N520" s="110"/>
    </row>
    <row r="521" spans="1:14" ht="15" hidden="1" thickBot="1" x14ac:dyDescent="0.35">
      <c r="A521" s="20">
        <v>100</v>
      </c>
      <c r="B521" s="14" t="s">
        <v>693</v>
      </c>
      <c r="C521" s="20" t="s">
        <v>617</v>
      </c>
      <c r="D521" s="14" t="s">
        <v>679</v>
      </c>
      <c r="E521" s="15" t="s">
        <v>502</v>
      </c>
      <c r="F521" s="15">
        <v>3</v>
      </c>
      <c r="G521" s="16">
        <f t="shared" si="34"/>
        <v>11025</v>
      </c>
      <c r="H521" s="16">
        <v>11025</v>
      </c>
      <c r="I521" s="16">
        <f t="shared" si="36"/>
        <v>0</v>
      </c>
      <c r="J521" s="31">
        <v>11025</v>
      </c>
      <c r="K521" s="69">
        <f t="shared" si="35"/>
        <v>0</v>
      </c>
      <c r="L521" s="50"/>
      <c r="M521" s="109"/>
      <c r="N521" s="110"/>
    </row>
    <row r="522" spans="1:14" ht="15" hidden="1" thickBot="1" x14ac:dyDescent="0.35">
      <c r="A522" s="20">
        <v>100</v>
      </c>
      <c r="B522" s="14" t="s">
        <v>693</v>
      </c>
      <c r="C522" s="20" t="s">
        <v>617</v>
      </c>
      <c r="D522" s="14" t="s">
        <v>694</v>
      </c>
      <c r="E522" s="15" t="s">
        <v>509</v>
      </c>
      <c r="F522" s="15">
        <v>6</v>
      </c>
      <c r="G522" s="16">
        <f t="shared" si="34"/>
        <v>28596</v>
      </c>
      <c r="H522" s="16">
        <v>28596</v>
      </c>
      <c r="I522" s="16">
        <f t="shared" si="36"/>
        <v>0</v>
      </c>
      <c r="J522" s="31">
        <v>28596</v>
      </c>
      <c r="K522" s="69">
        <f t="shared" si="35"/>
        <v>0</v>
      </c>
      <c r="L522" s="50"/>
      <c r="M522" s="109"/>
      <c r="N522" s="110"/>
    </row>
    <row r="523" spans="1:14" ht="15" hidden="1" thickBot="1" x14ac:dyDescent="0.35">
      <c r="A523" s="20">
        <v>100</v>
      </c>
      <c r="B523" s="14" t="s">
        <v>693</v>
      </c>
      <c r="C523" s="14" t="s">
        <v>1046</v>
      </c>
      <c r="D523" s="14" t="s">
        <v>985</v>
      </c>
      <c r="E523" s="15" t="s">
        <v>506</v>
      </c>
      <c r="F523" s="15">
        <v>6</v>
      </c>
      <c r="G523" s="16">
        <f t="shared" si="34"/>
        <v>31060</v>
      </c>
      <c r="H523" s="16">
        <v>31460</v>
      </c>
      <c r="I523" s="16">
        <f t="shared" si="36"/>
        <v>0</v>
      </c>
      <c r="J523" s="31">
        <v>31460</v>
      </c>
      <c r="K523" s="69">
        <f t="shared" si="35"/>
        <v>0</v>
      </c>
      <c r="L523" s="50">
        <v>400</v>
      </c>
      <c r="M523" s="109">
        <v>400</v>
      </c>
      <c r="N523" s="110"/>
    </row>
    <row r="524" spans="1:14" ht="15" hidden="1" thickBot="1" x14ac:dyDescent="0.35">
      <c r="A524" s="14">
        <v>101</v>
      </c>
      <c r="B524" s="14" t="s">
        <v>695</v>
      </c>
      <c r="C524" s="20" t="s">
        <v>617</v>
      </c>
      <c r="D524" s="14" t="s">
        <v>547</v>
      </c>
      <c r="E524" s="15" t="s">
        <v>502</v>
      </c>
      <c r="F524" s="15">
        <v>9</v>
      </c>
      <c r="G524" s="16">
        <f t="shared" si="34"/>
        <v>59429</v>
      </c>
      <c r="H524" s="16">
        <v>60579</v>
      </c>
      <c r="I524" s="16">
        <f t="shared" si="36"/>
        <v>0</v>
      </c>
      <c r="J524" s="31">
        <v>60579</v>
      </c>
      <c r="K524" s="69">
        <f t="shared" si="35"/>
        <v>0</v>
      </c>
      <c r="L524" s="50">
        <v>1150</v>
      </c>
      <c r="M524" s="109">
        <v>1150</v>
      </c>
      <c r="N524" s="110"/>
    </row>
    <row r="525" spans="1:14" ht="15" hidden="1" thickBot="1" x14ac:dyDescent="0.35">
      <c r="A525" s="14">
        <v>101</v>
      </c>
      <c r="B525" s="14" t="s">
        <v>695</v>
      </c>
      <c r="C525" s="20" t="s">
        <v>617</v>
      </c>
      <c r="D525" s="14" t="s">
        <v>774</v>
      </c>
      <c r="E525" s="15" t="s">
        <v>502</v>
      </c>
      <c r="F525" s="15">
        <v>5</v>
      </c>
      <c r="G525" s="16">
        <f t="shared" si="34"/>
        <v>31611</v>
      </c>
      <c r="H525" s="16">
        <v>31611</v>
      </c>
      <c r="I525" s="16">
        <f t="shared" si="36"/>
        <v>0</v>
      </c>
      <c r="J525" s="31">
        <v>31611</v>
      </c>
      <c r="K525" s="69">
        <f t="shared" si="35"/>
        <v>0</v>
      </c>
      <c r="L525" s="50"/>
      <c r="M525" s="109"/>
      <c r="N525" s="110"/>
    </row>
    <row r="526" spans="1:14" ht="15" hidden="1" thickBot="1" x14ac:dyDescent="0.35">
      <c r="A526" s="14">
        <v>102</v>
      </c>
      <c r="B526" s="14" t="s">
        <v>696</v>
      </c>
      <c r="C526" s="20" t="s">
        <v>617</v>
      </c>
      <c r="D526" s="14" t="s">
        <v>614</v>
      </c>
      <c r="E526" s="15" t="s">
        <v>506</v>
      </c>
      <c r="F526" s="15">
        <v>12</v>
      </c>
      <c r="G526" s="16">
        <f t="shared" si="34"/>
        <v>218244</v>
      </c>
      <c r="H526" s="16">
        <v>235464</v>
      </c>
      <c r="I526" s="16">
        <f t="shared" si="36"/>
        <v>0</v>
      </c>
      <c r="J526" s="31">
        <v>235464</v>
      </c>
      <c r="K526" s="69">
        <f t="shared" si="35"/>
        <v>0</v>
      </c>
      <c r="L526" s="50">
        <v>17220</v>
      </c>
      <c r="M526" s="109">
        <v>17220</v>
      </c>
      <c r="N526" s="110"/>
    </row>
    <row r="527" spans="1:14" ht="15" hidden="1" thickBot="1" x14ac:dyDescent="0.35">
      <c r="A527" s="14">
        <v>102</v>
      </c>
      <c r="B527" s="14" t="s">
        <v>696</v>
      </c>
      <c r="C527" s="20" t="s">
        <v>617</v>
      </c>
      <c r="D527" s="14" t="s">
        <v>510</v>
      </c>
      <c r="E527" s="15" t="s">
        <v>506</v>
      </c>
      <c r="F527" s="15">
        <v>10</v>
      </c>
      <c r="G527" s="16">
        <f t="shared" si="34"/>
        <v>96315</v>
      </c>
      <c r="H527" s="16">
        <v>99105</v>
      </c>
      <c r="I527" s="16">
        <f t="shared" si="36"/>
        <v>0</v>
      </c>
      <c r="J527" s="31">
        <v>99105</v>
      </c>
      <c r="K527" s="69">
        <f t="shared" si="35"/>
        <v>0</v>
      </c>
      <c r="L527" s="50">
        <v>2790</v>
      </c>
      <c r="M527" s="109">
        <v>2790</v>
      </c>
      <c r="N527" s="110"/>
    </row>
    <row r="528" spans="1:14" ht="15" hidden="1" thickBot="1" x14ac:dyDescent="0.35">
      <c r="A528" s="14">
        <v>103</v>
      </c>
      <c r="B528" s="14" t="s">
        <v>697</v>
      </c>
      <c r="C528" s="20" t="s">
        <v>617</v>
      </c>
      <c r="D528" s="14" t="s">
        <v>806</v>
      </c>
      <c r="E528" s="15" t="s">
        <v>506</v>
      </c>
      <c r="F528" s="15"/>
      <c r="G528" s="16">
        <f t="shared" si="34"/>
        <v>20477</v>
      </c>
      <c r="H528" s="16">
        <v>20477</v>
      </c>
      <c r="I528" s="16">
        <f t="shared" si="36"/>
        <v>0</v>
      </c>
      <c r="J528" s="31">
        <v>20477</v>
      </c>
      <c r="K528" s="69">
        <f t="shared" si="35"/>
        <v>0</v>
      </c>
      <c r="L528" s="50"/>
      <c r="M528" s="109"/>
      <c r="N528" s="110"/>
    </row>
    <row r="529" spans="1:14" ht="15" hidden="1" thickBot="1" x14ac:dyDescent="0.35">
      <c r="A529" s="14">
        <v>103</v>
      </c>
      <c r="B529" s="14" t="s">
        <v>697</v>
      </c>
      <c r="C529" s="20" t="s">
        <v>617</v>
      </c>
      <c r="D529" s="14" t="s">
        <v>523</v>
      </c>
      <c r="E529" s="15" t="s">
        <v>508</v>
      </c>
      <c r="F529" s="15">
        <v>13</v>
      </c>
      <c r="G529" s="16">
        <f t="shared" si="34"/>
        <v>61282</v>
      </c>
      <c r="H529" s="16">
        <v>62257</v>
      </c>
      <c r="I529" s="16">
        <f t="shared" si="36"/>
        <v>0</v>
      </c>
      <c r="J529" s="31">
        <v>62257</v>
      </c>
      <c r="K529" s="69">
        <f t="shared" si="35"/>
        <v>0</v>
      </c>
      <c r="L529" s="50">
        <v>975</v>
      </c>
      <c r="M529" s="109">
        <v>975</v>
      </c>
      <c r="N529" s="110"/>
    </row>
    <row r="530" spans="1:14" ht="15" hidden="1" thickBot="1" x14ac:dyDescent="0.35">
      <c r="A530" s="14">
        <v>103</v>
      </c>
      <c r="B530" s="14" t="s">
        <v>697</v>
      </c>
      <c r="C530" s="20" t="s">
        <v>617</v>
      </c>
      <c r="D530" s="14" t="s">
        <v>698</v>
      </c>
      <c r="E530" s="15" t="s">
        <v>508</v>
      </c>
      <c r="F530" s="15">
        <v>8</v>
      </c>
      <c r="G530" s="16">
        <f t="shared" si="34"/>
        <v>49015</v>
      </c>
      <c r="H530" s="16">
        <v>49165</v>
      </c>
      <c r="I530" s="16">
        <f t="shared" si="36"/>
        <v>0</v>
      </c>
      <c r="J530" s="31">
        <v>49165</v>
      </c>
      <c r="K530" s="69">
        <f t="shared" si="35"/>
        <v>0</v>
      </c>
      <c r="L530" s="50">
        <v>150</v>
      </c>
      <c r="M530" s="109">
        <v>150</v>
      </c>
      <c r="N530" s="110"/>
    </row>
    <row r="531" spans="1:14" ht="15" hidden="1" thickBot="1" x14ac:dyDescent="0.35">
      <c r="A531" s="14">
        <v>103</v>
      </c>
      <c r="B531" s="14" t="s">
        <v>697</v>
      </c>
      <c r="C531" s="20" t="s">
        <v>617</v>
      </c>
      <c r="D531" s="14" t="s">
        <v>699</v>
      </c>
      <c r="E531" s="15" t="s">
        <v>503</v>
      </c>
      <c r="F531" s="15">
        <v>7</v>
      </c>
      <c r="G531" s="16">
        <f t="shared" si="34"/>
        <v>48897</v>
      </c>
      <c r="H531" s="16">
        <v>48897</v>
      </c>
      <c r="I531" s="16">
        <f t="shared" si="36"/>
        <v>0</v>
      </c>
      <c r="J531" s="31">
        <v>48897</v>
      </c>
      <c r="K531" s="69">
        <f t="shared" si="35"/>
        <v>0</v>
      </c>
      <c r="L531" s="50"/>
      <c r="M531" s="109"/>
      <c r="N531" s="110"/>
    </row>
    <row r="532" spans="1:14" ht="15" hidden="1" thickBot="1" x14ac:dyDescent="0.35">
      <c r="A532" s="14">
        <v>104</v>
      </c>
      <c r="B532" s="14" t="s">
        <v>700</v>
      </c>
      <c r="C532" s="14" t="s">
        <v>617</v>
      </c>
      <c r="D532" s="14" t="s">
        <v>701</v>
      </c>
      <c r="E532" s="15" t="s">
        <v>504</v>
      </c>
      <c r="F532" s="15"/>
      <c r="G532" s="16">
        <f t="shared" ref="G532:G596" si="37">H532-M532</f>
        <v>18848</v>
      </c>
      <c r="H532" s="16">
        <v>18848</v>
      </c>
      <c r="I532" s="16">
        <f t="shared" si="36"/>
        <v>0</v>
      </c>
      <c r="J532" s="31">
        <v>18848</v>
      </c>
      <c r="K532" s="69">
        <f t="shared" si="35"/>
        <v>0</v>
      </c>
      <c r="L532" s="50"/>
      <c r="M532" s="109"/>
      <c r="N532" s="110"/>
    </row>
    <row r="533" spans="1:14" ht="15" hidden="1" thickBot="1" x14ac:dyDescent="0.35">
      <c r="A533" s="14">
        <v>104</v>
      </c>
      <c r="B533" s="14" t="s">
        <v>700</v>
      </c>
      <c r="C533" s="14" t="s">
        <v>617</v>
      </c>
      <c r="D533" s="14" t="s">
        <v>507</v>
      </c>
      <c r="E533" s="15" t="s">
        <v>504</v>
      </c>
      <c r="F533" s="15">
        <v>10</v>
      </c>
      <c r="G533" s="16">
        <f t="shared" si="37"/>
        <v>67165.414999999994</v>
      </c>
      <c r="H533" s="16">
        <v>73005.414999999994</v>
      </c>
      <c r="I533" s="16">
        <f t="shared" si="36"/>
        <v>0</v>
      </c>
      <c r="J533" s="31">
        <v>73005.414999999994</v>
      </c>
      <c r="K533" s="69">
        <f t="shared" si="35"/>
        <v>0</v>
      </c>
      <c r="L533" s="50">
        <v>5840</v>
      </c>
      <c r="M533" s="109">
        <v>5840</v>
      </c>
      <c r="N533" s="110">
        <v>0.96499999999999997</v>
      </c>
    </row>
    <row r="534" spans="1:14" ht="15" hidden="1" thickBot="1" x14ac:dyDescent="0.35">
      <c r="A534" s="14">
        <v>104</v>
      </c>
      <c r="B534" s="14" t="s">
        <v>700</v>
      </c>
      <c r="C534" s="14" t="s">
        <v>617</v>
      </c>
      <c r="D534" s="14" t="s">
        <v>505</v>
      </c>
      <c r="E534" s="15" t="s">
        <v>504</v>
      </c>
      <c r="F534" s="15"/>
      <c r="G534" s="16">
        <f t="shared" si="37"/>
        <v>16005</v>
      </c>
      <c r="H534" s="16">
        <v>16005</v>
      </c>
      <c r="I534" s="16">
        <f t="shared" si="36"/>
        <v>0</v>
      </c>
      <c r="J534" s="31">
        <v>16005</v>
      </c>
      <c r="K534" s="69">
        <f t="shared" ref="K534:K598" si="38">M534-L534</f>
        <v>0</v>
      </c>
      <c r="L534" s="50"/>
      <c r="M534" s="109"/>
      <c r="N534" s="110"/>
    </row>
    <row r="535" spans="1:14" ht="15" hidden="1" thickBot="1" x14ac:dyDescent="0.35">
      <c r="A535" s="14">
        <v>104</v>
      </c>
      <c r="B535" s="14" t="s">
        <v>700</v>
      </c>
      <c r="C535" s="14" t="s">
        <v>617</v>
      </c>
      <c r="D535" s="14" t="s">
        <v>638</v>
      </c>
      <c r="E535" s="15" t="s">
        <v>504</v>
      </c>
      <c r="F535" s="15">
        <v>6</v>
      </c>
      <c r="G535" s="16">
        <f t="shared" si="37"/>
        <v>177535</v>
      </c>
      <c r="H535" s="16">
        <v>177535</v>
      </c>
      <c r="I535" s="16">
        <f>J535-H535</f>
        <v>0</v>
      </c>
      <c r="J535" s="31">
        <v>177535</v>
      </c>
      <c r="K535" s="69">
        <f t="shared" si="38"/>
        <v>0</v>
      </c>
      <c r="L535" s="50"/>
      <c r="M535" s="109"/>
      <c r="N535" s="110" t="s">
        <v>1183</v>
      </c>
    </row>
    <row r="536" spans="1:14" ht="15" hidden="1" thickBot="1" x14ac:dyDescent="0.35">
      <c r="A536" s="14">
        <v>104</v>
      </c>
      <c r="B536" s="14" t="s">
        <v>700</v>
      </c>
      <c r="C536" s="14" t="s">
        <v>617</v>
      </c>
      <c r="D536" s="14" t="s">
        <v>702</v>
      </c>
      <c r="E536" s="15" t="s">
        <v>504</v>
      </c>
      <c r="F536" s="15"/>
      <c r="G536" s="16">
        <f t="shared" si="37"/>
        <v>20581</v>
      </c>
      <c r="H536" s="16">
        <v>20581</v>
      </c>
      <c r="I536" s="16">
        <f t="shared" si="36"/>
        <v>0</v>
      </c>
      <c r="J536" s="31">
        <v>20581</v>
      </c>
      <c r="K536" s="69">
        <f t="shared" si="38"/>
        <v>0</v>
      </c>
      <c r="L536" s="50"/>
      <c r="M536" s="109"/>
      <c r="N536" s="110"/>
    </row>
    <row r="537" spans="1:14" ht="15" hidden="1" thickBot="1" x14ac:dyDescent="0.35">
      <c r="A537" s="14">
        <v>105</v>
      </c>
      <c r="B537" s="14" t="s">
        <v>703</v>
      </c>
      <c r="C537" s="15" t="s">
        <v>1817</v>
      </c>
      <c r="D537" s="14" t="s">
        <v>526</v>
      </c>
      <c r="E537" s="15" t="s">
        <v>509</v>
      </c>
      <c r="F537" s="15"/>
      <c r="G537" s="16">
        <f t="shared" si="37"/>
        <v>3200</v>
      </c>
      <c r="H537" s="16">
        <v>3200</v>
      </c>
      <c r="I537" s="16">
        <f t="shared" si="36"/>
        <v>0</v>
      </c>
      <c r="J537" s="31">
        <v>3200</v>
      </c>
      <c r="K537" s="69">
        <f t="shared" si="38"/>
        <v>0</v>
      </c>
      <c r="L537" s="50"/>
      <c r="M537" s="109"/>
      <c r="N537" s="110"/>
    </row>
    <row r="538" spans="1:14" ht="15" hidden="1" thickBot="1" x14ac:dyDescent="0.35">
      <c r="A538" s="14">
        <v>105</v>
      </c>
      <c r="B538" s="14" t="s">
        <v>703</v>
      </c>
      <c r="C538" s="15" t="s">
        <v>1817</v>
      </c>
      <c r="D538" s="14" t="s">
        <v>525</v>
      </c>
      <c r="E538" s="15" t="s">
        <v>509</v>
      </c>
      <c r="F538" s="15"/>
      <c r="G538" s="16">
        <f t="shared" si="37"/>
        <v>3200</v>
      </c>
      <c r="H538" s="16">
        <v>3200</v>
      </c>
      <c r="I538" s="16">
        <f t="shared" si="36"/>
        <v>0</v>
      </c>
      <c r="J538" s="31">
        <v>3200</v>
      </c>
      <c r="K538" s="69">
        <f t="shared" si="38"/>
        <v>0</v>
      </c>
      <c r="L538" s="50"/>
      <c r="M538" s="109"/>
      <c r="N538" s="110"/>
    </row>
    <row r="539" spans="1:14" ht="15" hidden="1" thickBot="1" x14ac:dyDescent="0.35">
      <c r="A539" s="14">
        <v>105</v>
      </c>
      <c r="B539" s="14" t="s">
        <v>703</v>
      </c>
      <c r="C539" s="15" t="s">
        <v>1817</v>
      </c>
      <c r="D539" s="14" t="s">
        <v>521</v>
      </c>
      <c r="E539" s="15" t="s">
        <v>500</v>
      </c>
      <c r="F539" s="15"/>
      <c r="G539" s="16">
        <f t="shared" si="37"/>
        <v>3200</v>
      </c>
      <c r="H539" s="16">
        <v>3200</v>
      </c>
      <c r="I539" s="16">
        <f t="shared" si="36"/>
        <v>0</v>
      </c>
      <c r="J539" s="31">
        <v>3200</v>
      </c>
      <c r="K539" s="69">
        <f t="shared" si="38"/>
        <v>0</v>
      </c>
      <c r="L539" s="50"/>
      <c r="M539" s="109"/>
      <c r="N539" s="110"/>
    </row>
    <row r="540" spans="1:14" ht="15" hidden="1" thickBot="1" x14ac:dyDescent="0.35">
      <c r="A540" s="14">
        <v>105</v>
      </c>
      <c r="B540" s="14" t="s">
        <v>703</v>
      </c>
      <c r="C540" s="15" t="s">
        <v>1817</v>
      </c>
      <c r="D540" s="14" t="s">
        <v>527</v>
      </c>
      <c r="E540" s="15" t="s">
        <v>500</v>
      </c>
      <c r="F540" s="15"/>
      <c r="G540" s="16">
        <f t="shared" si="37"/>
        <v>3200</v>
      </c>
      <c r="H540" s="16">
        <v>3200</v>
      </c>
      <c r="I540" s="16">
        <f t="shared" si="36"/>
        <v>0</v>
      </c>
      <c r="J540" s="31">
        <v>3200</v>
      </c>
      <c r="K540" s="69">
        <f t="shared" si="38"/>
        <v>0</v>
      </c>
      <c r="L540" s="50"/>
      <c r="M540" s="109"/>
      <c r="N540" s="110"/>
    </row>
    <row r="541" spans="1:14" ht="15" hidden="1" thickBot="1" x14ac:dyDescent="0.35">
      <c r="A541" s="14">
        <v>105</v>
      </c>
      <c r="B541" s="14" t="s">
        <v>703</v>
      </c>
      <c r="C541" s="15" t="s">
        <v>1817</v>
      </c>
      <c r="D541" s="14" t="s">
        <v>515</v>
      </c>
      <c r="E541" s="15" t="s">
        <v>512</v>
      </c>
      <c r="F541" s="15"/>
      <c r="G541" s="16">
        <f t="shared" si="37"/>
        <v>3200</v>
      </c>
      <c r="H541" s="16">
        <v>3200</v>
      </c>
      <c r="I541" s="16">
        <f t="shared" si="36"/>
        <v>0</v>
      </c>
      <c r="J541" s="31">
        <v>3200</v>
      </c>
      <c r="K541" s="69">
        <f t="shared" si="38"/>
        <v>0</v>
      </c>
      <c r="L541" s="50"/>
      <c r="M541" s="109"/>
      <c r="N541" s="110"/>
    </row>
    <row r="542" spans="1:14" ht="15" hidden="1" thickBot="1" x14ac:dyDescent="0.35">
      <c r="A542" s="14">
        <v>106</v>
      </c>
      <c r="B542" s="14" t="s">
        <v>704</v>
      </c>
      <c r="C542" s="14" t="s">
        <v>617</v>
      </c>
      <c r="D542" s="14" t="s">
        <v>694</v>
      </c>
      <c r="E542" s="15" t="s">
        <v>509</v>
      </c>
      <c r="F542" s="15">
        <v>13</v>
      </c>
      <c r="G542" s="16">
        <f t="shared" si="37"/>
        <v>278008</v>
      </c>
      <c r="H542" s="16">
        <v>306913</v>
      </c>
      <c r="I542" s="16">
        <f t="shared" si="36"/>
        <v>0</v>
      </c>
      <c r="J542" s="31">
        <v>306913</v>
      </c>
      <c r="K542" s="69">
        <f t="shared" si="38"/>
        <v>0</v>
      </c>
      <c r="L542" s="50">
        <v>28905</v>
      </c>
      <c r="M542" s="109">
        <v>28905</v>
      </c>
      <c r="N542" s="110">
        <v>0.95</v>
      </c>
    </row>
    <row r="543" spans="1:14" ht="15" hidden="1" thickBot="1" x14ac:dyDescent="0.35">
      <c r="A543" s="14">
        <v>106</v>
      </c>
      <c r="B543" s="14" t="s">
        <v>704</v>
      </c>
      <c r="C543" s="14" t="s">
        <v>617</v>
      </c>
      <c r="D543" s="14" t="s">
        <v>1083</v>
      </c>
      <c r="E543" s="15" t="s">
        <v>509</v>
      </c>
      <c r="F543" s="15">
        <v>5</v>
      </c>
      <c r="G543" s="16">
        <f t="shared" si="37"/>
        <v>59580</v>
      </c>
      <c r="H543" s="16">
        <v>59580</v>
      </c>
      <c r="I543" s="16">
        <f>J543-H543</f>
        <v>0</v>
      </c>
      <c r="J543" s="31">
        <v>59580</v>
      </c>
      <c r="K543" s="69">
        <f t="shared" si="38"/>
        <v>0</v>
      </c>
      <c r="L543" s="50"/>
      <c r="M543" s="109"/>
      <c r="N543" s="110">
        <v>0.9</v>
      </c>
    </row>
    <row r="544" spans="1:14" ht="15" hidden="1" thickBot="1" x14ac:dyDescent="0.35">
      <c r="A544" s="14">
        <v>106</v>
      </c>
      <c r="B544" s="14" t="s">
        <v>704</v>
      </c>
      <c r="C544" s="14" t="s">
        <v>617</v>
      </c>
      <c r="D544" s="14" t="s">
        <v>633</v>
      </c>
      <c r="E544" s="15" t="s">
        <v>499</v>
      </c>
      <c r="F544" s="15">
        <v>10</v>
      </c>
      <c r="G544" s="16">
        <f t="shared" si="37"/>
        <v>103180</v>
      </c>
      <c r="H544" s="16">
        <v>142980</v>
      </c>
      <c r="I544" s="16">
        <f t="shared" si="36"/>
        <v>0</v>
      </c>
      <c r="J544" s="31">
        <v>142980</v>
      </c>
      <c r="K544" s="69">
        <f t="shared" si="38"/>
        <v>0</v>
      </c>
      <c r="L544" s="50">
        <v>39800</v>
      </c>
      <c r="M544" s="109">
        <v>39800</v>
      </c>
      <c r="N544" s="110"/>
    </row>
    <row r="545" spans="1:14" ht="15" hidden="1" thickBot="1" x14ac:dyDescent="0.35">
      <c r="A545" s="14">
        <v>107</v>
      </c>
      <c r="B545" s="14" t="s">
        <v>705</v>
      </c>
      <c r="C545" s="14" t="s">
        <v>617</v>
      </c>
      <c r="D545" s="14" t="s">
        <v>663</v>
      </c>
      <c r="E545" s="15" t="s">
        <v>706</v>
      </c>
      <c r="F545" s="15">
        <v>5</v>
      </c>
      <c r="G545" s="16">
        <f t="shared" si="37"/>
        <v>35071</v>
      </c>
      <c r="H545" s="16">
        <v>35071</v>
      </c>
      <c r="I545" s="16">
        <f t="shared" si="36"/>
        <v>0</v>
      </c>
      <c r="J545" s="31">
        <v>35071</v>
      </c>
      <c r="K545" s="69">
        <f t="shared" si="38"/>
        <v>0</v>
      </c>
      <c r="L545" s="50">
        <v>0</v>
      </c>
      <c r="M545" s="109">
        <v>0</v>
      </c>
      <c r="N545" s="110"/>
    </row>
    <row r="546" spans="1:14" ht="15" hidden="1" thickBot="1" x14ac:dyDescent="0.35">
      <c r="A546" s="14">
        <v>108</v>
      </c>
      <c r="B546" s="14" t="s">
        <v>707</v>
      </c>
      <c r="C546" s="14" t="s">
        <v>617</v>
      </c>
      <c r="D546" s="14" t="s">
        <v>510</v>
      </c>
      <c r="E546" s="15" t="s">
        <v>502</v>
      </c>
      <c r="F546" s="15">
        <v>8</v>
      </c>
      <c r="G546" s="16">
        <f t="shared" si="37"/>
        <v>89465</v>
      </c>
      <c r="H546" s="16">
        <v>99225</v>
      </c>
      <c r="I546" s="16">
        <f t="shared" ref="I546:I611" si="39">J546-H546</f>
        <v>0</v>
      </c>
      <c r="J546" s="31">
        <v>99225</v>
      </c>
      <c r="K546" s="69">
        <f t="shared" si="38"/>
        <v>0</v>
      </c>
      <c r="L546" s="50">
        <v>9760</v>
      </c>
      <c r="M546" s="109">
        <v>9760</v>
      </c>
      <c r="N546" s="110">
        <v>0.95499999999999996</v>
      </c>
    </row>
    <row r="547" spans="1:14" ht="15" hidden="1" thickBot="1" x14ac:dyDescent="0.35">
      <c r="A547" s="14">
        <v>108</v>
      </c>
      <c r="B547" s="14" t="s">
        <v>707</v>
      </c>
      <c r="C547" s="14" t="s">
        <v>617</v>
      </c>
      <c r="D547" s="14" t="s">
        <v>708</v>
      </c>
      <c r="E547" s="15" t="s">
        <v>502</v>
      </c>
      <c r="F547" s="15">
        <v>5</v>
      </c>
      <c r="G547" s="16">
        <f t="shared" si="37"/>
        <v>46690</v>
      </c>
      <c r="H547" s="16">
        <v>47690</v>
      </c>
      <c r="I547" s="16">
        <f t="shared" si="39"/>
        <v>0</v>
      </c>
      <c r="J547" s="31">
        <v>47690</v>
      </c>
      <c r="K547" s="69">
        <f t="shared" si="38"/>
        <v>0</v>
      </c>
      <c r="L547" s="50">
        <v>1000</v>
      </c>
      <c r="M547" s="109">
        <v>1000</v>
      </c>
      <c r="N547" s="110"/>
    </row>
    <row r="548" spans="1:14" ht="15" hidden="1" thickBot="1" x14ac:dyDescent="0.35">
      <c r="A548" s="14">
        <v>109</v>
      </c>
      <c r="B548" s="14" t="s">
        <v>709</v>
      </c>
      <c r="C548" s="14" t="s">
        <v>617</v>
      </c>
      <c r="D548" s="14" t="s">
        <v>548</v>
      </c>
      <c r="E548" s="15" t="s">
        <v>504</v>
      </c>
      <c r="F548" s="15">
        <v>9</v>
      </c>
      <c r="G548" s="16">
        <f t="shared" si="37"/>
        <v>71475</v>
      </c>
      <c r="H548" s="16">
        <v>76455</v>
      </c>
      <c r="I548" s="16">
        <f t="shared" si="39"/>
        <v>0</v>
      </c>
      <c r="J548" s="31">
        <v>76455</v>
      </c>
      <c r="K548" s="69">
        <f t="shared" si="38"/>
        <v>0</v>
      </c>
      <c r="L548" s="50">
        <v>4980</v>
      </c>
      <c r="M548" s="109">
        <v>4980</v>
      </c>
      <c r="N548" s="110"/>
    </row>
    <row r="549" spans="1:14" ht="15" hidden="1" thickBot="1" x14ac:dyDescent="0.35">
      <c r="A549" s="14">
        <v>109</v>
      </c>
      <c r="B549" s="14" t="s">
        <v>709</v>
      </c>
      <c r="C549" s="14" t="s">
        <v>617</v>
      </c>
      <c r="D549" s="14" t="s">
        <v>665</v>
      </c>
      <c r="E549" s="15" t="s">
        <v>504</v>
      </c>
      <c r="F549" s="15"/>
      <c r="G549" s="16">
        <f t="shared" si="37"/>
        <v>20477</v>
      </c>
      <c r="H549" s="16">
        <v>20477</v>
      </c>
      <c r="I549" s="16">
        <f t="shared" si="39"/>
        <v>0</v>
      </c>
      <c r="J549" s="31">
        <v>20477</v>
      </c>
      <c r="K549" s="69">
        <f t="shared" si="38"/>
        <v>0</v>
      </c>
      <c r="L549" s="50">
        <v>0</v>
      </c>
      <c r="M549" s="109">
        <v>0</v>
      </c>
      <c r="N549" s="110"/>
    </row>
    <row r="550" spans="1:14" ht="15" hidden="1" thickBot="1" x14ac:dyDescent="0.35">
      <c r="A550" s="14">
        <v>110</v>
      </c>
      <c r="B550" s="14" t="s">
        <v>710</v>
      </c>
      <c r="C550" s="14" t="s">
        <v>617</v>
      </c>
      <c r="D550" s="14" t="s">
        <v>510</v>
      </c>
      <c r="E550" s="15" t="s">
        <v>500</v>
      </c>
      <c r="F550" s="15">
        <v>5</v>
      </c>
      <c r="G550" s="16">
        <f t="shared" si="37"/>
        <v>25089</v>
      </c>
      <c r="H550" s="16">
        <v>25089</v>
      </c>
      <c r="I550" s="16">
        <f t="shared" si="39"/>
        <v>0</v>
      </c>
      <c r="J550" s="31">
        <v>25089</v>
      </c>
      <c r="K550" s="69">
        <f t="shared" si="38"/>
        <v>0</v>
      </c>
      <c r="L550" s="50">
        <v>0</v>
      </c>
      <c r="M550" s="109">
        <v>0</v>
      </c>
      <c r="N550" s="110"/>
    </row>
    <row r="551" spans="1:14" ht="15" hidden="1" thickBot="1" x14ac:dyDescent="0.35">
      <c r="A551" s="14">
        <v>110</v>
      </c>
      <c r="B551" s="14" t="s">
        <v>710</v>
      </c>
      <c r="C551" s="14" t="s">
        <v>617</v>
      </c>
      <c r="D551" s="14" t="s">
        <v>510</v>
      </c>
      <c r="E551" s="15" t="s">
        <v>512</v>
      </c>
      <c r="F551" s="15">
        <v>10</v>
      </c>
      <c r="G551" s="16">
        <f t="shared" si="37"/>
        <v>84076.54</v>
      </c>
      <c r="H551" s="16">
        <v>104356.54</v>
      </c>
      <c r="I551" s="16">
        <f t="shared" si="39"/>
        <v>0</v>
      </c>
      <c r="J551" s="31">
        <v>104356.54</v>
      </c>
      <c r="K551" s="69">
        <f t="shared" si="38"/>
        <v>0</v>
      </c>
      <c r="L551" s="50">
        <v>20280</v>
      </c>
      <c r="M551" s="109">
        <v>20280</v>
      </c>
      <c r="N551" s="110"/>
    </row>
    <row r="552" spans="1:14" ht="15" hidden="1" thickBot="1" x14ac:dyDescent="0.35">
      <c r="A552" s="14">
        <v>111</v>
      </c>
      <c r="B552" s="14" t="s">
        <v>711</v>
      </c>
      <c r="C552" s="14" t="s">
        <v>617</v>
      </c>
      <c r="D552" s="14" t="s">
        <v>614</v>
      </c>
      <c r="E552" s="15" t="s">
        <v>509</v>
      </c>
      <c r="F552" s="15"/>
      <c r="G552" s="16">
        <f t="shared" si="37"/>
        <v>59510</v>
      </c>
      <c r="H552" s="16">
        <v>59630</v>
      </c>
      <c r="I552" s="16">
        <f t="shared" si="39"/>
        <v>0</v>
      </c>
      <c r="J552" s="31">
        <v>59630</v>
      </c>
      <c r="K552" s="69">
        <f t="shared" si="38"/>
        <v>0</v>
      </c>
      <c r="L552" s="50">
        <v>120</v>
      </c>
      <c r="M552" s="109">
        <v>120</v>
      </c>
      <c r="N552" s="110"/>
    </row>
    <row r="553" spans="1:14" ht="15" hidden="1" thickBot="1" x14ac:dyDescent="0.35">
      <c r="A553" s="14">
        <v>112</v>
      </c>
      <c r="B553" s="14" t="s">
        <v>712</v>
      </c>
      <c r="C553" s="14" t="s">
        <v>617</v>
      </c>
      <c r="D553" s="14" t="s">
        <v>713</v>
      </c>
      <c r="E553" s="15" t="s">
        <v>503</v>
      </c>
      <c r="F553" s="15">
        <v>10</v>
      </c>
      <c r="G553" s="16">
        <f t="shared" si="37"/>
        <v>42373</v>
      </c>
      <c r="H553" s="16">
        <v>43933</v>
      </c>
      <c r="I553" s="16">
        <f t="shared" si="39"/>
        <v>0</v>
      </c>
      <c r="J553" s="31">
        <v>43933</v>
      </c>
      <c r="K553" s="69">
        <f t="shared" si="38"/>
        <v>0</v>
      </c>
      <c r="L553" s="50">
        <v>1560</v>
      </c>
      <c r="M553" s="109">
        <v>1560</v>
      </c>
      <c r="N553" s="110"/>
    </row>
    <row r="554" spans="1:14" ht="15" hidden="1" thickBot="1" x14ac:dyDescent="0.35">
      <c r="A554" s="14">
        <v>112</v>
      </c>
      <c r="B554" s="14" t="s">
        <v>712</v>
      </c>
      <c r="C554" s="14" t="s">
        <v>617</v>
      </c>
      <c r="D554" s="14" t="s">
        <v>692</v>
      </c>
      <c r="E554" s="15" t="s">
        <v>502</v>
      </c>
      <c r="F554" s="15">
        <v>2</v>
      </c>
      <c r="G554" s="16">
        <f t="shared" si="37"/>
        <v>47700</v>
      </c>
      <c r="H554" s="16">
        <v>47700</v>
      </c>
      <c r="I554" s="16">
        <f t="shared" si="39"/>
        <v>0</v>
      </c>
      <c r="J554" s="31">
        <v>47700</v>
      </c>
      <c r="K554" s="69">
        <f t="shared" si="38"/>
        <v>0</v>
      </c>
      <c r="L554" s="50"/>
      <c r="M554" s="109"/>
      <c r="N554" s="110"/>
    </row>
    <row r="555" spans="1:14" ht="15" hidden="1" thickBot="1" x14ac:dyDescent="0.35">
      <c r="A555" s="14">
        <v>112</v>
      </c>
      <c r="B555" s="14" t="s">
        <v>712</v>
      </c>
      <c r="C555" s="14" t="s">
        <v>617</v>
      </c>
      <c r="D555" s="14" t="s">
        <v>524</v>
      </c>
      <c r="E555" s="15" t="s">
        <v>503</v>
      </c>
      <c r="F555" s="15">
        <v>10</v>
      </c>
      <c r="G555" s="16">
        <f t="shared" si="37"/>
        <v>59749</v>
      </c>
      <c r="H555" s="16">
        <v>67569</v>
      </c>
      <c r="I555" s="16">
        <f t="shared" si="39"/>
        <v>0</v>
      </c>
      <c r="J555" s="31">
        <v>67569</v>
      </c>
      <c r="K555" s="69">
        <f t="shared" si="38"/>
        <v>0</v>
      </c>
      <c r="L555" s="50">
        <v>7820</v>
      </c>
      <c r="M555" s="109">
        <v>7820</v>
      </c>
      <c r="N555" s="110"/>
    </row>
    <row r="556" spans="1:14" ht="15" hidden="1" thickBot="1" x14ac:dyDescent="0.35">
      <c r="A556" s="14">
        <v>113</v>
      </c>
      <c r="B556" s="14" t="s">
        <v>714</v>
      </c>
      <c r="C556" s="14" t="s">
        <v>617</v>
      </c>
      <c r="D556" s="14" t="s">
        <v>614</v>
      </c>
      <c r="E556" s="15" t="s">
        <v>508</v>
      </c>
      <c r="F556" s="15">
        <v>12</v>
      </c>
      <c r="G556" s="16">
        <f t="shared" si="37"/>
        <v>250520</v>
      </c>
      <c r="H556" s="16">
        <v>257870</v>
      </c>
      <c r="I556" s="16">
        <f t="shared" si="39"/>
        <v>0</v>
      </c>
      <c r="J556" s="31">
        <v>257870</v>
      </c>
      <c r="K556" s="69">
        <f t="shared" si="38"/>
        <v>0</v>
      </c>
      <c r="L556" s="50">
        <v>7350</v>
      </c>
      <c r="M556" s="109">
        <v>7350</v>
      </c>
      <c r="N556" s="110"/>
    </row>
    <row r="557" spans="1:14" ht="15" hidden="1" thickBot="1" x14ac:dyDescent="0.35">
      <c r="A557" s="14">
        <v>114</v>
      </c>
      <c r="B557" s="14" t="s">
        <v>715</v>
      </c>
      <c r="C557" s="14" t="s">
        <v>617</v>
      </c>
      <c r="D557" s="14" t="s">
        <v>614</v>
      </c>
      <c r="E557" s="15" t="s">
        <v>512</v>
      </c>
      <c r="F557" s="15">
        <v>16</v>
      </c>
      <c r="G557" s="16">
        <f t="shared" si="37"/>
        <v>259791.5</v>
      </c>
      <c r="H557" s="16">
        <v>269691.5</v>
      </c>
      <c r="I557" s="16">
        <f t="shared" si="39"/>
        <v>0</v>
      </c>
      <c r="J557" s="31">
        <v>269691.5</v>
      </c>
      <c r="K557" s="69">
        <f t="shared" si="38"/>
        <v>0</v>
      </c>
      <c r="L557" s="50">
        <v>9900</v>
      </c>
      <c r="M557" s="109">
        <v>9900</v>
      </c>
      <c r="N557" s="110">
        <v>0.98</v>
      </c>
    </row>
    <row r="558" spans="1:14" ht="15" hidden="1" thickBot="1" x14ac:dyDescent="0.35">
      <c r="A558" s="14">
        <v>114</v>
      </c>
      <c r="B558" s="14" t="s">
        <v>715</v>
      </c>
      <c r="C558" s="14" t="s">
        <v>617</v>
      </c>
      <c r="D558" s="14" t="s">
        <v>513</v>
      </c>
      <c r="E558" s="15" t="s">
        <v>546</v>
      </c>
      <c r="F558" s="15">
        <v>12</v>
      </c>
      <c r="G558" s="16">
        <f t="shared" si="37"/>
        <v>64027.199999999997</v>
      </c>
      <c r="H558" s="16">
        <v>65947.199999999997</v>
      </c>
      <c r="I558" s="16">
        <f t="shared" si="39"/>
        <v>0</v>
      </c>
      <c r="J558" s="31">
        <v>65947.199999999997</v>
      </c>
      <c r="K558" s="69">
        <f t="shared" si="38"/>
        <v>0</v>
      </c>
      <c r="L558" s="50">
        <v>1920</v>
      </c>
      <c r="M558" s="109">
        <v>1920</v>
      </c>
      <c r="N558" s="110">
        <v>0.96</v>
      </c>
    </row>
    <row r="559" spans="1:14" ht="15" hidden="1" thickBot="1" x14ac:dyDescent="0.35">
      <c r="A559" s="14">
        <v>114</v>
      </c>
      <c r="B559" s="14" t="s">
        <v>715</v>
      </c>
      <c r="C559" s="14" t="s">
        <v>617</v>
      </c>
      <c r="D559" s="14" t="s">
        <v>757</v>
      </c>
      <c r="E559" s="15" t="s">
        <v>512</v>
      </c>
      <c r="F559" s="15">
        <v>1</v>
      </c>
      <c r="G559" s="16">
        <f t="shared" si="37"/>
        <v>500</v>
      </c>
      <c r="H559" s="16">
        <v>980</v>
      </c>
      <c r="I559" s="16">
        <f t="shared" si="39"/>
        <v>0</v>
      </c>
      <c r="J559" s="31">
        <v>980</v>
      </c>
      <c r="K559" s="69">
        <f t="shared" si="38"/>
        <v>0</v>
      </c>
      <c r="L559" s="50">
        <v>480</v>
      </c>
      <c r="M559" s="109">
        <v>480</v>
      </c>
      <c r="N559" s="110"/>
    </row>
    <row r="560" spans="1:14" ht="15" hidden="1" thickBot="1" x14ac:dyDescent="0.35">
      <c r="A560" s="14">
        <v>114</v>
      </c>
      <c r="B560" s="14" t="s">
        <v>715</v>
      </c>
      <c r="C560" s="14" t="s">
        <v>617</v>
      </c>
      <c r="D560" s="14" t="s">
        <v>1828</v>
      </c>
      <c r="E560" s="15" t="s">
        <v>512</v>
      </c>
      <c r="F560" s="15">
        <v>4</v>
      </c>
      <c r="G560" s="16">
        <f t="shared" si="37"/>
        <v>5435</v>
      </c>
      <c r="H560" s="16">
        <v>7435</v>
      </c>
      <c r="I560" s="16">
        <f t="shared" si="39"/>
        <v>0</v>
      </c>
      <c r="J560" s="31">
        <v>7435</v>
      </c>
      <c r="K560" s="69">
        <f t="shared" si="38"/>
        <v>0</v>
      </c>
      <c r="L560" s="50">
        <v>2000</v>
      </c>
      <c r="M560" s="109">
        <v>2000</v>
      </c>
      <c r="N560" s="110"/>
    </row>
    <row r="561" spans="1:14" ht="15" hidden="1" thickBot="1" x14ac:dyDescent="0.35">
      <c r="A561" s="14">
        <v>114</v>
      </c>
      <c r="B561" s="14" t="s">
        <v>715</v>
      </c>
      <c r="C561" s="14" t="s">
        <v>617</v>
      </c>
      <c r="D561" s="14" t="s">
        <v>690</v>
      </c>
      <c r="E561" s="15" t="s">
        <v>512</v>
      </c>
      <c r="F561" s="15">
        <v>2</v>
      </c>
      <c r="G561" s="16">
        <f t="shared" si="37"/>
        <v>8770</v>
      </c>
      <c r="H561" s="16">
        <v>31010</v>
      </c>
      <c r="I561" s="16">
        <f t="shared" si="39"/>
        <v>0</v>
      </c>
      <c r="J561" s="31">
        <v>31010</v>
      </c>
      <c r="K561" s="69">
        <f t="shared" si="38"/>
        <v>0</v>
      </c>
      <c r="L561" s="50">
        <v>22240</v>
      </c>
      <c r="M561" s="109">
        <v>22240</v>
      </c>
      <c r="N561" s="110"/>
    </row>
    <row r="562" spans="1:14" ht="15.75" hidden="1" customHeight="1" thickBot="1" x14ac:dyDescent="0.35">
      <c r="A562" s="20">
        <v>115</v>
      </c>
      <c r="B562" s="14" t="s">
        <v>716</v>
      </c>
      <c r="C562" s="46" t="s">
        <v>1818</v>
      </c>
      <c r="D562" s="14" t="s">
        <v>1832</v>
      </c>
      <c r="E562" s="15" t="s">
        <v>499</v>
      </c>
      <c r="F562" s="15">
        <v>1</v>
      </c>
      <c r="G562" s="16">
        <f t="shared" si="37"/>
        <v>2600</v>
      </c>
      <c r="H562" s="16">
        <v>2600</v>
      </c>
      <c r="I562" s="16">
        <f t="shared" si="39"/>
        <v>0</v>
      </c>
      <c r="J562" s="31">
        <v>2600</v>
      </c>
      <c r="K562" s="69">
        <f t="shared" si="38"/>
        <v>0</v>
      </c>
      <c r="L562" s="50"/>
      <c r="M562" s="109"/>
      <c r="N562" s="110"/>
    </row>
    <row r="563" spans="1:14" ht="15" hidden="1" thickBot="1" x14ac:dyDescent="0.35">
      <c r="A563" s="20">
        <v>115</v>
      </c>
      <c r="B563" s="14" t="s">
        <v>716</v>
      </c>
      <c r="C563" s="46" t="s">
        <v>1818</v>
      </c>
      <c r="D563" s="14" t="s">
        <v>511</v>
      </c>
      <c r="E563" s="15" t="s">
        <v>503</v>
      </c>
      <c r="F563" s="15">
        <v>1</v>
      </c>
      <c r="G563" s="16">
        <f t="shared" si="37"/>
        <v>1200</v>
      </c>
      <c r="H563" s="16">
        <v>1200</v>
      </c>
      <c r="I563" s="16">
        <f t="shared" si="39"/>
        <v>0</v>
      </c>
      <c r="J563" s="31">
        <v>1200</v>
      </c>
      <c r="K563" s="69">
        <f t="shared" si="38"/>
        <v>0</v>
      </c>
      <c r="L563" s="50"/>
      <c r="M563" s="109"/>
      <c r="N563" s="110"/>
    </row>
    <row r="564" spans="1:14" ht="15" hidden="1" thickBot="1" x14ac:dyDescent="0.35">
      <c r="A564" s="20">
        <v>115</v>
      </c>
      <c r="B564" s="14" t="s">
        <v>716</v>
      </c>
      <c r="C564" s="15" t="s">
        <v>1230</v>
      </c>
      <c r="D564" s="14" t="s">
        <v>511</v>
      </c>
      <c r="E564" s="15" t="s">
        <v>503</v>
      </c>
      <c r="F564" s="15">
        <v>1</v>
      </c>
      <c r="G564" s="16">
        <f t="shared" si="37"/>
        <v>2640</v>
      </c>
      <c r="H564" s="16">
        <v>3960</v>
      </c>
      <c r="I564" s="16">
        <f t="shared" si="39"/>
        <v>0</v>
      </c>
      <c r="J564" s="31">
        <v>3960</v>
      </c>
      <c r="K564" s="69">
        <f t="shared" si="38"/>
        <v>0</v>
      </c>
      <c r="L564" s="50">
        <v>1320</v>
      </c>
      <c r="M564" s="109">
        <v>1320</v>
      </c>
      <c r="N564" s="110">
        <v>0.9</v>
      </c>
    </row>
    <row r="565" spans="1:14" ht="15" hidden="1" thickBot="1" x14ac:dyDescent="0.35">
      <c r="A565" s="20">
        <v>115</v>
      </c>
      <c r="B565" s="14" t="s">
        <v>716</v>
      </c>
      <c r="C565" s="14" t="s">
        <v>617</v>
      </c>
      <c r="D565" s="14" t="s">
        <v>717</v>
      </c>
      <c r="E565" s="15" t="s">
        <v>504</v>
      </c>
      <c r="F565" s="15">
        <v>4</v>
      </c>
      <c r="G565" s="16">
        <f t="shared" si="37"/>
        <v>9480</v>
      </c>
      <c r="H565" s="16">
        <v>9480</v>
      </c>
      <c r="I565" s="16">
        <f t="shared" si="39"/>
        <v>0</v>
      </c>
      <c r="J565" s="31">
        <v>9480</v>
      </c>
      <c r="K565" s="69">
        <f t="shared" si="38"/>
        <v>0</v>
      </c>
      <c r="L565" s="50"/>
      <c r="M565" s="109"/>
      <c r="N565" s="110"/>
    </row>
    <row r="566" spans="1:14" ht="15" hidden="1" thickBot="1" x14ac:dyDescent="0.35">
      <c r="A566" s="20">
        <v>115</v>
      </c>
      <c r="B566" s="14" t="s">
        <v>716</v>
      </c>
      <c r="C566" s="14" t="s">
        <v>617</v>
      </c>
      <c r="D566" s="14" t="s">
        <v>1831</v>
      </c>
      <c r="E566" s="15" t="s">
        <v>504</v>
      </c>
      <c r="F566" s="15">
        <v>3</v>
      </c>
      <c r="G566" s="16">
        <f t="shared" si="37"/>
        <v>1500</v>
      </c>
      <c r="H566" s="16">
        <v>1500</v>
      </c>
      <c r="I566" s="16">
        <f t="shared" si="39"/>
        <v>0</v>
      </c>
      <c r="J566" s="31">
        <v>1500</v>
      </c>
      <c r="K566" s="69">
        <f t="shared" si="38"/>
        <v>0</v>
      </c>
      <c r="L566" s="50"/>
      <c r="M566" s="109"/>
      <c r="N566" s="110"/>
    </row>
    <row r="567" spans="1:14" ht="15" hidden="1" thickBot="1" x14ac:dyDescent="0.35">
      <c r="A567" s="20">
        <v>115</v>
      </c>
      <c r="B567" s="14" t="s">
        <v>716</v>
      </c>
      <c r="C567" s="14" t="s">
        <v>617</v>
      </c>
      <c r="D567" s="14" t="s">
        <v>614</v>
      </c>
      <c r="E567" s="15" t="s">
        <v>499</v>
      </c>
      <c r="F567" s="15">
        <v>4</v>
      </c>
      <c r="G567" s="16">
        <f t="shared" si="37"/>
        <v>9020</v>
      </c>
      <c r="H567" s="16">
        <v>9700</v>
      </c>
      <c r="I567" s="16">
        <f t="shared" si="39"/>
        <v>0</v>
      </c>
      <c r="J567" s="31">
        <v>9700</v>
      </c>
      <c r="K567" s="69">
        <f t="shared" si="38"/>
        <v>0</v>
      </c>
      <c r="L567" s="50">
        <v>680</v>
      </c>
      <c r="M567" s="109">
        <v>680</v>
      </c>
      <c r="N567" s="110"/>
    </row>
    <row r="568" spans="1:14" ht="15" hidden="1" thickBot="1" x14ac:dyDescent="0.35">
      <c r="A568" s="20">
        <v>115</v>
      </c>
      <c r="B568" s="14" t="s">
        <v>716</v>
      </c>
      <c r="C568" s="14" t="s">
        <v>617</v>
      </c>
      <c r="D568" s="14" t="s">
        <v>761</v>
      </c>
      <c r="E568" s="15" t="s">
        <v>500</v>
      </c>
      <c r="F568" s="15">
        <v>4</v>
      </c>
      <c r="G568" s="16">
        <f t="shared" si="37"/>
        <v>15295</v>
      </c>
      <c r="H568" s="16">
        <v>15295</v>
      </c>
      <c r="I568" s="16">
        <f t="shared" si="39"/>
        <v>0</v>
      </c>
      <c r="J568" s="31">
        <v>15295</v>
      </c>
      <c r="K568" s="69">
        <f t="shared" si="38"/>
        <v>0</v>
      </c>
      <c r="L568" s="50"/>
      <c r="M568" s="109"/>
      <c r="N568" s="110"/>
    </row>
    <row r="569" spans="1:14" ht="15" hidden="1" thickBot="1" x14ac:dyDescent="0.35">
      <c r="A569" s="20">
        <v>115</v>
      </c>
      <c r="B569" s="14" t="s">
        <v>716</v>
      </c>
      <c r="C569" s="14" t="s">
        <v>617</v>
      </c>
      <c r="D569" s="14" t="s">
        <v>510</v>
      </c>
      <c r="E569" s="15" t="s">
        <v>499</v>
      </c>
      <c r="F569" s="15">
        <v>12</v>
      </c>
      <c r="G569" s="16">
        <f t="shared" si="37"/>
        <v>84716</v>
      </c>
      <c r="H569" s="16">
        <v>88996</v>
      </c>
      <c r="I569" s="16">
        <f t="shared" si="39"/>
        <v>0</v>
      </c>
      <c r="J569" s="31">
        <v>88996</v>
      </c>
      <c r="K569" s="69">
        <f t="shared" si="38"/>
        <v>0</v>
      </c>
      <c r="L569" s="50">
        <v>4280</v>
      </c>
      <c r="M569" s="109">
        <v>4280</v>
      </c>
      <c r="N569" s="110">
        <v>0.98</v>
      </c>
    </row>
    <row r="570" spans="1:14" ht="15" hidden="1" thickBot="1" x14ac:dyDescent="0.35">
      <c r="A570" s="20">
        <v>115</v>
      </c>
      <c r="B570" s="14" t="s">
        <v>716</v>
      </c>
      <c r="C570" s="14" t="s">
        <v>718</v>
      </c>
      <c r="D570" s="14" t="s">
        <v>757</v>
      </c>
      <c r="E570" s="15" t="s">
        <v>512</v>
      </c>
      <c r="F570" s="15">
        <v>5</v>
      </c>
      <c r="G570" s="16">
        <f t="shared" si="37"/>
        <v>26111</v>
      </c>
      <c r="H570" s="16">
        <v>26111</v>
      </c>
      <c r="I570" s="16">
        <f t="shared" si="39"/>
        <v>0</v>
      </c>
      <c r="J570" s="31">
        <v>26111</v>
      </c>
      <c r="K570" s="69">
        <f t="shared" si="38"/>
        <v>0</v>
      </c>
      <c r="L570" s="50"/>
      <c r="M570" s="109"/>
      <c r="N570" s="110"/>
    </row>
    <row r="571" spans="1:14" ht="15" hidden="1" thickBot="1" x14ac:dyDescent="0.35">
      <c r="A571" s="20">
        <v>115</v>
      </c>
      <c r="B571" s="14" t="s">
        <v>716</v>
      </c>
      <c r="C571" s="14" t="s">
        <v>718</v>
      </c>
      <c r="D571" s="14" t="s">
        <v>511</v>
      </c>
      <c r="E571" s="15" t="s">
        <v>503</v>
      </c>
      <c r="F571" s="15">
        <v>8</v>
      </c>
      <c r="G571" s="16">
        <f t="shared" si="37"/>
        <v>15870</v>
      </c>
      <c r="H571" s="16">
        <v>16470</v>
      </c>
      <c r="I571" s="16">
        <f t="shared" si="39"/>
        <v>0</v>
      </c>
      <c r="J571" s="31">
        <v>16470</v>
      </c>
      <c r="K571" s="69">
        <f t="shared" si="38"/>
        <v>0</v>
      </c>
      <c r="L571" s="50">
        <v>600</v>
      </c>
      <c r="M571" s="109">
        <v>600</v>
      </c>
      <c r="N571" s="110"/>
    </row>
    <row r="572" spans="1:14" ht="15" hidden="1" thickBot="1" x14ac:dyDescent="0.35">
      <c r="A572" s="20">
        <v>115</v>
      </c>
      <c r="B572" s="14" t="s">
        <v>716</v>
      </c>
      <c r="C572" s="14" t="s">
        <v>718</v>
      </c>
      <c r="D572" s="14" t="s">
        <v>720</v>
      </c>
      <c r="E572" s="15" t="s">
        <v>508</v>
      </c>
      <c r="F572" s="15">
        <v>6</v>
      </c>
      <c r="G572" s="16">
        <f t="shared" si="37"/>
        <v>14629</v>
      </c>
      <c r="H572" s="16">
        <v>15409</v>
      </c>
      <c r="I572" s="16">
        <f t="shared" si="39"/>
        <v>0</v>
      </c>
      <c r="J572" s="31">
        <v>15409</v>
      </c>
      <c r="K572" s="69">
        <f t="shared" si="38"/>
        <v>0</v>
      </c>
      <c r="L572" s="50">
        <v>780</v>
      </c>
      <c r="M572" s="109">
        <v>780</v>
      </c>
      <c r="N572" s="110"/>
    </row>
    <row r="573" spans="1:14" ht="15" hidden="1" thickBot="1" x14ac:dyDescent="0.35">
      <c r="A573" s="20">
        <v>115</v>
      </c>
      <c r="B573" s="14" t="s">
        <v>716</v>
      </c>
      <c r="C573" s="14" t="s">
        <v>718</v>
      </c>
      <c r="D573" s="14" t="s">
        <v>776</v>
      </c>
      <c r="E573" s="15" t="s">
        <v>499</v>
      </c>
      <c r="F573" s="15">
        <v>7</v>
      </c>
      <c r="G573" s="16">
        <f t="shared" si="37"/>
        <v>14084</v>
      </c>
      <c r="H573" s="16">
        <v>14804</v>
      </c>
      <c r="I573" s="16">
        <f t="shared" si="39"/>
        <v>0</v>
      </c>
      <c r="J573" s="31">
        <v>14804</v>
      </c>
      <c r="K573" s="69">
        <f t="shared" si="38"/>
        <v>0</v>
      </c>
      <c r="L573" s="50">
        <v>720</v>
      </c>
      <c r="M573" s="109">
        <v>720</v>
      </c>
      <c r="N573" s="110"/>
    </row>
    <row r="574" spans="1:14" ht="15" hidden="1" thickBot="1" x14ac:dyDescent="0.35">
      <c r="A574" s="20">
        <v>115</v>
      </c>
      <c r="B574" s="14" t="s">
        <v>716</v>
      </c>
      <c r="C574" s="14" t="s">
        <v>718</v>
      </c>
      <c r="D574" s="14" t="s">
        <v>761</v>
      </c>
      <c r="E574" s="15" t="s">
        <v>500</v>
      </c>
      <c r="F574" s="15">
        <v>4</v>
      </c>
      <c r="G574" s="16">
        <f t="shared" si="37"/>
        <v>13727.5</v>
      </c>
      <c r="H574" s="16">
        <v>14867.5</v>
      </c>
      <c r="I574" s="16">
        <f t="shared" si="39"/>
        <v>0</v>
      </c>
      <c r="J574" s="31">
        <v>14867.5</v>
      </c>
      <c r="K574" s="69">
        <f t="shared" si="38"/>
        <v>0</v>
      </c>
      <c r="L574" s="50">
        <v>1140</v>
      </c>
      <c r="M574" s="109">
        <v>1140</v>
      </c>
      <c r="N574" s="110"/>
    </row>
    <row r="575" spans="1:14" ht="15" hidden="1" thickBot="1" x14ac:dyDescent="0.35">
      <c r="A575" s="20">
        <v>115</v>
      </c>
      <c r="B575" s="14" t="s">
        <v>716</v>
      </c>
      <c r="C575" s="14" t="s">
        <v>719</v>
      </c>
      <c r="D575" s="14" t="s">
        <v>637</v>
      </c>
      <c r="E575" s="15" t="s">
        <v>504</v>
      </c>
      <c r="F575" s="15">
        <v>5</v>
      </c>
      <c r="G575" s="16">
        <f t="shared" si="37"/>
        <v>35541</v>
      </c>
      <c r="H575" s="16">
        <v>35661</v>
      </c>
      <c r="I575" s="16">
        <f t="shared" si="39"/>
        <v>0</v>
      </c>
      <c r="J575" s="31">
        <v>35661</v>
      </c>
      <c r="K575" s="69">
        <f t="shared" si="38"/>
        <v>0</v>
      </c>
      <c r="L575" s="50">
        <v>120</v>
      </c>
      <c r="M575" s="109">
        <v>120</v>
      </c>
      <c r="N575" s="110"/>
    </row>
    <row r="576" spans="1:14" ht="15" hidden="1" thickBot="1" x14ac:dyDescent="0.35">
      <c r="A576" s="20">
        <v>115</v>
      </c>
      <c r="B576" s="14" t="s">
        <v>716</v>
      </c>
      <c r="C576" s="14" t="s">
        <v>719</v>
      </c>
      <c r="D576" s="14" t="s">
        <v>776</v>
      </c>
      <c r="E576" s="15" t="s">
        <v>499</v>
      </c>
      <c r="F576" s="15">
        <v>2</v>
      </c>
      <c r="G576" s="16">
        <f t="shared" si="37"/>
        <v>3870</v>
      </c>
      <c r="H576" s="16">
        <v>3990</v>
      </c>
      <c r="I576" s="16">
        <f t="shared" si="39"/>
        <v>0</v>
      </c>
      <c r="J576" s="31">
        <v>3990</v>
      </c>
      <c r="K576" s="69">
        <f t="shared" si="38"/>
        <v>0</v>
      </c>
      <c r="L576" s="50">
        <v>120</v>
      </c>
      <c r="M576" s="109">
        <v>120</v>
      </c>
      <c r="N576" s="110"/>
    </row>
    <row r="577" spans="1:14" ht="15" hidden="1" thickBot="1" x14ac:dyDescent="0.35">
      <c r="A577" s="20">
        <v>115</v>
      </c>
      <c r="B577" s="14" t="s">
        <v>716</v>
      </c>
      <c r="C577" s="14" t="s">
        <v>668</v>
      </c>
      <c r="D577" s="14" t="s">
        <v>717</v>
      </c>
      <c r="E577" s="15" t="s">
        <v>504</v>
      </c>
      <c r="F577" s="15"/>
      <c r="G577" s="16">
        <f t="shared" si="37"/>
        <v>1800</v>
      </c>
      <c r="H577" s="16">
        <v>1800</v>
      </c>
      <c r="I577" s="16">
        <f t="shared" si="39"/>
        <v>0</v>
      </c>
      <c r="J577" s="31">
        <v>1800</v>
      </c>
      <c r="K577" s="69">
        <f t="shared" si="38"/>
        <v>0</v>
      </c>
      <c r="L577" s="50"/>
      <c r="M577" s="109"/>
      <c r="N577" s="110"/>
    </row>
    <row r="578" spans="1:14" ht="15" hidden="1" thickBot="1" x14ac:dyDescent="0.35">
      <c r="A578" s="20">
        <v>115</v>
      </c>
      <c r="B578" s="14" t="s">
        <v>716</v>
      </c>
      <c r="C578" s="14" t="s">
        <v>668</v>
      </c>
      <c r="D578" s="14" t="s">
        <v>1831</v>
      </c>
      <c r="E578" s="15" t="s">
        <v>504</v>
      </c>
      <c r="F578" s="15"/>
      <c r="G578" s="16">
        <f t="shared" si="37"/>
        <v>1026</v>
      </c>
      <c r="H578" s="16">
        <v>1026</v>
      </c>
      <c r="I578" s="16">
        <f t="shared" si="39"/>
        <v>0</v>
      </c>
      <c r="J578" s="31">
        <v>1026</v>
      </c>
      <c r="K578" s="69">
        <f t="shared" si="38"/>
        <v>0</v>
      </c>
      <c r="L578" s="50"/>
      <c r="M578" s="109"/>
      <c r="N578" s="110"/>
    </row>
    <row r="579" spans="1:14" ht="15" hidden="1" thickBot="1" x14ac:dyDescent="0.35">
      <c r="A579" s="20">
        <v>115</v>
      </c>
      <c r="B579" s="14" t="s">
        <v>716</v>
      </c>
      <c r="C579" s="14" t="s">
        <v>940</v>
      </c>
      <c r="D579" s="14" t="s">
        <v>720</v>
      </c>
      <c r="E579" s="15" t="s">
        <v>508</v>
      </c>
      <c r="F579" s="15">
        <v>4</v>
      </c>
      <c r="G579" s="16">
        <f t="shared" si="37"/>
        <v>2264</v>
      </c>
      <c r="H579" s="16">
        <v>7364</v>
      </c>
      <c r="I579" s="16">
        <f t="shared" si="39"/>
        <v>0</v>
      </c>
      <c r="J579" s="31">
        <v>7364</v>
      </c>
      <c r="K579" s="69">
        <f t="shared" si="38"/>
        <v>0</v>
      </c>
      <c r="L579" s="50">
        <v>5100</v>
      </c>
      <c r="M579" s="109">
        <v>5100</v>
      </c>
      <c r="N579" s="110">
        <v>0.95</v>
      </c>
    </row>
    <row r="580" spans="1:14" ht="15" hidden="1" thickBot="1" x14ac:dyDescent="0.35">
      <c r="A580" s="20">
        <v>115</v>
      </c>
      <c r="B580" s="14" t="s">
        <v>716</v>
      </c>
      <c r="C580" s="14" t="s">
        <v>940</v>
      </c>
      <c r="D580" s="14" t="s">
        <v>511</v>
      </c>
      <c r="E580" s="15" t="s">
        <v>503</v>
      </c>
      <c r="F580" s="15">
        <v>8</v>
      </c>
      <c r="G580" s="16">
        <f t="shared" si="37"/>
        <v>42386</v>
      </c>
      <c r="H580" s="16">
        <v>47936</v>
      </c>
      <c r="I580" s="16">
        <f t="shared" si="39"/>
        <v>0</v>
      </c>
      <c r="J580" s="31">
        <v>47936</v>
      </c>
      <c r="K580" s="69">
        <f t="shared" si="38"/>
        <v>0</v>
      </c>
      <c r="L580" s="50">
        <v>5550</v>
      </c>
      <c r="M580" s="109">
        <v>5550</v>
      </c>
      <c r="N580" s="110"/>
    </row>
    <row r="581" spans="1:14" ht="15" hidden="1" thickBot="1" x14ac:dyDescent="0.35">
      <c r="A581" s="20">
        <v>115</v>
      </c>
      <c r="B581" s="14" t="s">
        <v>716</v>
      </c>
      <c r="C581" s="14" t="s">
        <v>940</v>
      </c>
      <c r="D581" s="14" t="s">
        <v>776</v>
      </c>
      <c r="E581" s="15" t="s">
        <v>499</v>
      </c>
      <c r="F581" s="15">
        <v>6</v>
      </c>
      <c r="G581" s="16">
        <f t="shared" si="37"/>
        <v>11007</v>
      </c>
      <c r="H581" s="16">
        <v>13967</v>
      </c>
      <c r="I581" s="16">
        <f t="shared" si="39"/>
        <v>0</v>
      </c>
      <c r="J581" s="31">
        <v>13967</v>
      </c>
      <c r="K581" s="69">
        <f t="shared" si="38"/>
        <v>0</v>
      </c>
      <c r="L581" s="50">
        <v>2960</v>
      </c>
      <c r="M581" s="109">
        <v>2960</v>
      </c>
      <c r="N581" s="110"/>
    </row>
    <row r="582" spans="1:14" ht="15" hidden="1" thickBot="1" x14ac:dyDescent="0.35">
      <c r="A582" s="20">
        <v>115</v>
      </c>
      <c r="B582" s="14" t="s">
        <v>716</v>
      </c>
      <c r="C582" s="14" t="s">
        <v>940</v>
      </c>
      <c r="D582" s="14" t="s">
        <v>717</v>
      </c>
      <c r="E582" s="15" t="s">
        <v>504</v>
      </c>
      <c r="F582" s="15"/>
      <c r="G582" s="16">
        <f t="shared" si="37"/>
        <v>0</v>
      </c>
      <c r="H582" s="16">
        <v>0</v>
      </c>
      <c r="I582" s="16">
        <f t="shared" si="39"/>
        <v>0</v>
      </c>
      <c r="J582" s="31">
        <v>0</v>
      </c>
      <c r="K582" s="69">
        <f t="shared" si="38"/>
        <v>0</v>
      </c>
      <c r="L582" s="50"/>
      <c r="M582" s="109"/>
      <c r="N582" s="110"/>
    </row>
    <row r="583" spans="1:14" ht="15" hidden="1" thickBot="1" x14ac:dyDescent="0.35">
      <c r="A583" s="20">
        <v>115</v>
      </c>
      <c r="B583" s="14" t="s">
        <v>716</v>
      </c>
      <c r="C583" s="14" t="s">
        <v>940</v>
      </c>
      <c r="D583" s="14" t="s">
        <v>1831</v>
      </c>
      <c r="E583" s="15" t="s">
        <v>504</v>
      </c>
      <c r="F583" s="15">
        <v>2</v>
      </c>
      <c r="G583" s="16">
        <f t="shared" si="37"/>
        <v>0</v>
      </c>
      <c r="H583" s="16">
        <v>0</v>
      </c>
      <c r="I583" s="16">
        <f t="shared" si="39"/>
        <v>0</v>
      </c>
      <c r="J583" s="31">
        <v>0</v>
      </c>
      <c r="K583" s="69">
        <f t="shared" si="38"/>
        <v>0</v>
      </c>
      <c r="L583" s="50"/>
      <c r="M583" s="109"/>
      <c r="N583" s="110"/>
    </row>
    <row r="584" spans="1:14" ht="15" hidden="1" thickBot="1" x14ac:dyDescent="0.35">
      <c r="A584" s="20">
        <v>115</v>
      </c>
      <c r="B584" s="14" t="s">
        <v>716</v>
      </c>
      <c r="C584" s="14" t="s">
        <v>602</v>
      </c>
      <c r="D584" s="14" t="s">
        <v>637</v>
      </c>
      <c r="E584" s="15" t="s">
        <v>504</v>
      </c>
      <c r="F584" s="15">
        <v>5</v>
      </c>
      <c r="G584" s="16">
        <f t="shared" si="37"/>
        <v>15820</v>
      </c>
      <c r="H584" s="16">
        <v>18450</v>
      </c>
      <c r="I584" s="16">
        <f t="shared" si="39"/>
        <v>0</v>
      </c>
      <c r="J584" s="31">
        <v>18450</v>
      </c>
      <c r="K584" s="69">
        <f t="shared" si="38"/>
        <v>0</v>
      </c>
      <c r="L584" s="50">
        <v>2630</v>
      </c>
      <c r="M584" s="109">
        <v>2630</v>
      </c>
      <c r="N584" s="110"/>
    </row>
    <row r="585" spans="1:14" ht="15" hidden="1" thickBot="1" x14ac:dyDescent="0.35">
      <c r="A585" s="20">
        <v>115</v>
      </c>
      <c r="B585" s="14" t="s">
        <v>716</v>
      </c>
      <c r="C585" s="14" t="s">
        <v>602</v>
      </c>
      <c r="D585" s="14" t="s">
        <v>528</v>
      </c>
      <c r="E585" s="15"/>
      <c r="F585" s="15">
        <v>5</v>
      </c>
      <c r="G585" s="16">
        <f t="shared" si="37"/>
        <v>1355</v>
      </c>
      <c r="H585" s="16">
        <v>3385</v>
      </c>
      <c r="I585" s="16">
        <f t="shared" si="39"/>
        <v>0</v>
      </c>
      <c r="J585" s="31">
        <v>3385</v>
      </c>
      <c r="K585" s="69">
        <f t="shared" si="38"/>
        <v>0</v>
      </c>
      <c r="L585" s="50">
        <v>2030</v>
      </c>
      <c r="M585" s="109">
        <v>2030</v>
      </c>
      <c r="N585" s="110"/>
    </row>
    <row r="586" spans="1:14" ht="15" hidden="1" thickBot="1" x14ac:dyDescent="0.35">
      <c r="A586" s="20">
        <v>115</v>
      </c>
      <c r="B586" s="14" t="s">
        <v>716</v>
      </c>
      <c r="C586" s="14" t="s">
        <v>602</v>
      </c>
      <c r="D586" s="14" t="s">
        <v>776</v>
      </c>
      <c r="E586" s="15" t="s">
        <v>499</v>
      </c>
      <c r="F586" s="15">
        <v>8</v>
      </c>
      <c r="G586" s="16">
        <f t="shared" si="37"/>
        <v>5352</v>
      </c>
      <c r="H586" s="16">
        <v>7182</v>
      </c>
      <c r="I586" s="16">
        <f t="shared" si="39"/>
        <v>0</v>
      </c>
      <c r="J586" s="31">
        <v>7182</v>
      </c>
      <c r="K586" s="69">
        <f t="shared" si="38"/>
        <v>0</v>
      </c>
      <c r="L586" s="50">
        <v>1830</v>
      </c>
      <c r="M586" s="109">
        <v>1830</v>
      </c>
      <c r="N586" s="110">
        <v>1</v>
      </c>
    </row>
    <row r="587" spans="1:14" ht="15" hidden="1" thickBot="1" x14ac:dyDescent="0.35">
      <c r="A587" s="20">
        <v>115</v>
      </c>
      <c r="B587" s="14" t="s">
        <v>716</v>
      </c>
      <c r="C587" s="14" t="s">
        <v>602</v>
      </c>
      <c r="D587" s="14" t="s">
        <v>1831</v>
      </c>
      <c r="E587" s="15" t="s">
        <v>504</v>
      </c>
      <c r="F587" s="15">
        <v>4</v>
      </c>
      <c r="G587" s="16">
        <f t="shared" si="37"/>
        <v>2452</v>
      </c>
      <c r="H587" s="16">
        <v>3592</v>
      </c>
      <c r="I587" s="16">
        <f t="shared" si="39"/>
        <v>0</v>
      </c>
      <c r="J587" s="31">
        <v>3592</v>
      </c>
      <c r="K587" s="69">
        <f t="shared" si="38"/>
        <v>0</v>
      </c>
      <c r="L587" s="50">
        <v>1140</v>
      </c>
      <c r="M587" s="109">
        <v>1140</v>
      </c>
      <c r="N587" s="110"/>
    </row>
    <row r="588" spans="1:14" ht="15" hidden="1" thickBot="1" x14ac:dyDescent="0.35">
      <c r="A588" s="20">
        <v>115</v>
      </c>
      <c r="B588" s="14" t="s">
        <v>716</v>
      </c>
      <c r="C588" s="14" t="s">
        <v>605</v>
      </c>
      <c r="D588" s="14" t="s">
        <v>757</v>
      </c>
      <c r="E588" s="15" t="s">
        <v>512</v>
      </c>
      <c r="F588" s="15"/>
      <c r="G588" s="16">
        <f t="shared" si="37"/>
        <v>2400</v>
      </c>
      <c r="H588" s="16">
        <v>2400</v>
      </c>
      <c r="I588" s="16">
        <f t="shared" si="39"/>
        <v>0</v>
      </c>
      <c r="J588" s="31">
        <v>2400</v>
      </c>
      <c r="K588" s="69">
        <f t="shared" si="38"/>
        <v>0</v>
      </c>
      <c r="L588" s="50"/>
      <c r="M588" s="109"/>
      <c r="N588" s="110"/>
    </row>
    <row r="589" spans="1:14" ht="15" hidden="1" thickBot="1" x14ac:dyDescent="0.35">
      <c r="A589" s="20">
        <v>115</v>
      </c>
      <c r="B589" s="14" t="s">
        <v>716</v>
      </c>
      <c r="C589" s="14" t="s">
        <v>605</v>
      </c>
      <c r="D589" s="14" t="s">
        <v>717</v>
      </c>
      <c r="E589" s="15" t="s">
        <v>504</v>
      </c>
      <c r="F589" s="15">
        <v>3</v>
      </c>
      <c r="G589" s="16">
        <f t="shared" si="37"/>
        <v>11250</v>
      </c>
      <c r="H589" s="16">
        <v>11250</v>
      </c>
      <c r="I589" s="16">
        <f t="shared" si="39"/>
        <v>0</v>
      </c>
      <c r="J589" s="31">
        <v>11250</v>
      </c>
      <c r="K589" s="69">
        <f t="shared" si="38"/>
        <v>0</v>
      </c>
      <c r="L589" s="50"/>
      <c r="M589" s="109"/>
      <c r="N589" s="110"/>
    </row>
    <row r="590" spans="1:14" ht="15" hidden="1" thickBot="1" x14ac:dyDescent="0.35">
      <c r="A590" s="20">
        <v>115</v>
      </c>
      <c r="B590" s="14" t="s">
        <v>716</v>
      </c>
      <c r="C590" s="14" t="s">
        <v>605</v>
      </c>
      <c r="D590" s="14" t="s">
        <v>1831</v>
      </c>
      <c r="E590" s="15" t="s">
        <v>504</v>
      </c>
      <c r="F590" s="15">
        <v>2</v>
      </c>
      <c r="G590" s="16">
        <f t="shared" si="37"/>
        <v>900</v>
      </c>
      <c r="H590" s="16">
        <v>900</v>
      </c>
      <c r="I590" s="16">
        <f t="shared" si="39"/>
        <v>0</v>
      </c>
      <c r="J590" s="31">
        <v>900</v>
      </c>
      <c r="K590" s="69">
        <f t="shared" si="38"/>
        <v>0</v>
      </c>
      <c r="L590" s="50"/>
      <c r="M590" s="109"/>
      <c r="N590" s="110"/>
    </row>
    <row r="591" spans="1:14" ht="15" hidden="1" thickBot="1" x14ac:dyDescent="0.35">
      <c r="A591" s="20">
        <v>115</v>
      </c>
      <c r="B591" s="14" t="s">
        <v>716</v>
      </c>
      <c r="C591" s="14" t="s">
        <v>721</v>
      </c>
      <c r="D591" s="14" t="s">
        <v>1831</v>
      </c>
      <c r="E591" s="15" t="s">
        <v>504</v>
      </c>
      <c r="F591" s="15"/>
      <c r="G591" s="16">
        <f t="shared" si="37"/>
        <v>410</v>
      </c>
      <c r="H591" s="16">
        <v>410</v>
      </c>
      <c r="I591" s="16">
        <f t="shared" si="39"/>
        <v>0</v>
      </c>
      <c r="J591" s="31">
        <v>410</v>
      </c>
      <c r="K591" s="69">
        <f t="shared" si="38"/>
        <v>0</v>
      </c>
      <c r="L591" s="50"/>
      <c r="M591" s="109"/>
      <c r="N591" s="110"/>
    </row>
    <row r="592" spans="1:14" ht="15" hidden="1" thickBot="1" x14ac:dyDescent="0.35">
      <c r="A592" s="20">
        <v>115</v>
      </c>
      <c r="B592" s="14" t="s">
        <v>716</v>
      </c>
      <c r="C592" s="14" t="s">
        <v>721</v>
      </c>
      <c r="D592" s="14" t="s">
        <v>532</v>
      </c>
      <c r="E592" s="15" t="s">
        <v>500</v>
      </c>
      <c r="F592" s="15">
        <v>3</v>
      </c>
      <c r="G592" s="16">
        <f t="shared" si="37"/>
        <v>2188</v>
      </c>
      <c r="H592" s="16">
        <v>2188</v>
      </c>
      <c r="I592" s="16">
        <f t="shared" si="39"/>
        <v>0</v>
      </c>
      <c r="J592" s="31">
        <v>2188</v>
      </c>
      <c r="K592" s="69">
        <f t="shared" si="38"/>
        <v>0</v>
      </c>
      <c r="L592" s="50"/>
      <c r="M592" s="109"/>
      <c r="N592" s="110"/>
    </row>
    <row r="593" spans="1:14" ht="15" hidden="1" thickBot="1" x14ac:dyDescent="0.35">
      <c r="A593" s="20">
        <v>115</v>
      </c>
      <c r="B593" s="14" t="s">
        <v>716</v>
      </c>
      <c r="C593" s="15" t="s">
        <v>668</v>
      </c>
      <c r="D593" s="14" t="s">
        <v>637</v>
      </c>
      <c r="E593" s="15" t="s">
        <v>504</v>
      </c>
      <c r="F593" s="15">
        <v>2</v>
      </c>
      <c r="G593" s="16">
        <f t="shared" si="37"/>
        <v>6300</v>
      </c>
      <c r="H593" s="16">
        <v>6300</v>
      </c>
      <c r="I593" s="16">
        <f t="shared" si="39"/>
        <v>0</v>
      </c>
      <c r="J593" s="31">
        <v>6300</v>
      </c>
      <c r="K593" s="69">
        <f t="shared" si="38"/>
        <v>0</v>
      </c>
      <c r="L593" s="50"/>
      <c r="M593" s="109"/>
      <c r="N593" s="110"/>
    </row>
    <row r="594" spans="1:14" ht="15" hidden="1" thickBot="1" x14ac:dyDescent="0.35">
      <c r="A594" s="20">
        <v>115</v>
      </c>
      <c r="B594" s="14" t="s">
        <v>716</v>
      </c>
      <c r="C594" s="14" t="s">
        <v>664</v>
      </c>
      <c r="D594" s="14" t="s">
        <v>1831</v>
      </c>
      <c r="E594" s="15" t="s">
        <v>504</v>
      </c>
      <c r="F594" s="15">
        <v>2</v>
      </c>
      <c r="G594" s="16">
        <f t="shared" si="37"/>
        <v>1000</v>
      </c>
      <c r="H594" s="16">
        <v>1000</v>
      </c>
      <c r="I594" s="16">
        <f t="shared" si="39"/>
        <v>0</v>
      </c>
      <c r="J594" s="31">
        <v>1000</v>
      </c>
      <c r="K594" s="69">
        <f t="shared" si="38"/>
        <v>0</v>
      </c>
      <c r="L594" s="50"/>
      <c r="M594" s="109"/>
      <c r="N594" s="110"/>
    </row>
    <row r="595" spans="1:14" ht="15" hidden="1" thickBot="1" x14ac:dyDescent="0.35">
      <c r="A595" s="20">
        <v>115</v>
      </c>
      <c r="B595" s="14" t="s">
        <v>716</v>
      </c>
      <c r="C595" s="14" t="s">
        <v>664</v>
      </c>
      <c r="D595" s="14" t="s">
        <v>637</v>
      </c>
      <c r="E595" s="15" t="s">
        <v>504</v>
      </c>
      <c r="F595" s="15">
        <v>2</v>
      </c>
      <c r="G595" s="16">
        <f t="shared" si="37"/>
        <v>1000</v>
      </c>
      <c r="H595" s="16">
        <v>1000</v>
      </c>
      <c r="I595" s="16">
        <f t="shared" si="39"/>
        <v>0</v>
      </c>
      <c r="J595" s="31">
        <v>1000</v>
      </c>
      <c r="K595" s="69">
        <f t="shared" si="38"/>
        <v>0</v>
      </c>
      <c r="L595" s="50"/>
      <c r="M595" s="109"/>
      <c r="N595" s="110"/>
    </row>
    <row r="596" spans="1:14" ht="15" hidden="1" thickBot="1" x14ac:dyDescent="0.35">
      <c r="A596" s="14">
        <v>116</v>
      </c>
      <c r="B596" s="14" t="s">
        <v>261</v>
      </c>
      <c r="C596" s="14" t="s">
        <v>602</v>
      </c>
      <c r="D596" s="14" t="s">
        <v>614</v>
      </c>
      <c r="E596" s="15" t="s">
        <v>503</v>
      </c>
      <c r="F596" s="15"/>
      <c r="G596" s="16">
        <f t="shared" si="37"/>
        <v>1760</v>
      </c>
      <c r="H596" s="16">
        <v>1760</v>
      </c>
      <c r="I596" s="16">
        <f t="shared" si="39"/>
        <v>0</v>
      </c>
      <c r="J596" s="31">
        <v>1760</v>
      </c>
      <c r="K596" s="69">
        <f t="shared" si="38"/>
        <v>0</v>
      </c>
      <c r="L596" s="50"/>
      <c r="M596" s="109"/>
      <c r="N596" s="110"/>
    </row>
    <row r="597" spans="1:14" ht="15" hidden="1" thickBot="1" x14ac:dyDescent="0.35">
      <c r="A597" s="14">
        <v>116</v>
      </c>
      <c r="B597" s="14" t="s">
        <v>261</v>
      </c>
      <c r="C597" s="14" t="s">
        <v>602</v>
      </c>
      <c r="D597" s="14" t="s">
        <v>760</v>
      </c>
      <c r="E597" s="15" t="s">
        <v>500</v>
      </c>
      <c r="F597" s="15"/>
      <c r="G597" s="16">
        <f t="shared" ref="G597:G660" si="40">H597-M597</f>
        <v>2604</v>
      </c>
      <c r="H597" s="16">
        <v>2604</v>
      </c>
      <c r="I597" s="16">
        <f t="shared" si="39"/>
        <v>0</v>
      </c>
      <c r="J597" s="31">
        <v>2604</v>
      </c>
      <c r="K597" s="69">
        <f t="shared" si="38"/>
        <v>0</v>
      </c>
      <c r="L597" s="50"/>
      <c r="M597" s="109"/>
      <c r="N597" s="110"/>
    </row>
    <row r="598" spans="1:14" ht="15" hidden="1" thickBot="1" x14ac:dyDescent="0.35">
      <c r="A598" s="14">
        <v>117</v>
      </c>
      <c r="B598" s="14" t="s">
        <v>722</v>
      </c>
      <c r="C598" s="14" t="s">
        <v>602</v>
      </c>
      <c r="D598" s="14" t="s">
        <v>523</v>
      </c>
      <c r="E598" s="15" t="s">
        <v>508</v>
      </c>
      <c r="F598" s="15">
        <v>6</v>
      </c>
      <c r="G598" s="16">
        <f t="shared" si="40"/>
        <v>14816</v>
      </c>
      <c r="H598" s="16">
        <v>14816</v>
      </c>
      <c r="I598" s="16">
        <f t="shared" si="39"/>
        <v>0</v>
      </c>
      <c r="J598" s="31">
        <v>14816</v>
      </c>
      <c r="K598" s="69">
        <f t="shared" si="38"/>
        <v>0</v>
      </c>
      <c r="L598" s="50"/>
      <c r="M598" s="109"/>
      <c r="N598" s="110"/>
    </row>
    <row r="599" spans="1:14" ht="15" hidden="1" thickBot="1" x14ac:dyDescent="0.35">
      <c r="A599" s="14">
        <v>118</v>
      </c>
      <c r="B599" s="14" t="s">
        <v>723</v>
      </c>
      <c r="C599" s="20" t="s">
        <v>602</v>
      </c>
      <c r="D599" s="14" t="s">
        <v>525</v>
      </c>
      <c r="E599" s="15" t="s">
        <v>509</v>
      </c>
      <c r="F599" s="15">
        <v>4</v>
      </c>
      <c r="G599" s="16">
        <f t="shared" si="40"/>
        <v>7055</v>
      </c>
      <c r="H599" s="16">
        <v>7055</v>
      </c>
      <c r="I599" s="16">
        <f t="shared" si="39"/>
        <v>0</v>
      </c>
      <c r="J599" s="31">
        <v>7055</v>
      </c>
      <c r="K599" s="69">
        <f t="shared" ref="K599:K662" si="41">M599-L599</f>
        <v>0</v>
      </c>
      <c r="L599" s="50"/>
      <c r="M599" s="109"/>
      <c r="N599" s="110">
        <v>1</v>
      </c>
    </row>
    <row r="600" spans="1:14" ht="15" hidden="1" thickBot="1" x14ac:dyDescent="0.35">
      <c r="A600" s="14">
        <v>118</v>
      </c>
      <c r="B600" s="14" t="s">
        <v>723</v>
      </c>
      <c r="C600" s="20" t="s">
        <v>602</v>
      </c>
      <c r="D600" s="14" t="s">
        <v>528</v>
      </c>
      <c r="E600" s="15" t="s">
        <v>504</v>
      </c>
      <c r="F600" s="15">
        <v>5</v>
      </c>
      <c r="G600" s="16">
        <f t="shared" si="40"/>
        <v>8290</v>
      </c>
      <c r="H600" s="16">
        <v>8650</v>
      </c>
      <c r="I600" s="16">
        <f t="shared" si="39"/>
        <v>0</v>
      </c>
      <c r="J600" s="31">
        <v>8650</v>
      </c>
      <c r="K600" s="69">
        <f t="shared" si="41"/>
        <v>0</v>
      </c>
      <c r="L600" s="50">
        <v>360</v>
      </c>
      <c r="M600" s="109">
        <v>360</v>
      </c>
      <c r="N600" s="110">
        <v>1</v>
      </c>
    </row>
    <row r="601" spans="1:14" ht="15" hidden="1" thickBot="1" x14ac:dyDescent="0.35">
      <c r="A601" s="14">
        <v>119</v>
      </c>
      <c r="B601" s="14" t="s">
        <v>724</v>
      </c>
      <c r="C601" s="14" t="s">
        <v>940</v>
      </c>
      <c r="D601" s="14" t="s">
        <v>515</v>
      </c>
      <c r="E601" s="15" t="s">
        <v>512</v>
      </c>
      <c r="F601" s="15">
        <v>3</v>
      </c>
      <c r="G601" s="16">
        <f t="shared" si="40"/>
        <v>6976</v>
      </c>
      <c r="H601" s="16">
        <v>6976</v>
      </c>
      <c r="I601" s="16">
        <f t="shared" si="39"/>
        <v>0</v>
      </c>
      <c r="J601" s="31">
        <v>6976</v>
      </c>
      <c r="K601" s="69">
        <f t="shared" si="41"/>
        <v>0</v>
      </c>
      <c r="L601" s="50"/>
      <c r="M601" s="109"/>
      <c r="N601" s="110"/>
    </row>
    <row r="602" spans="1:14" ht="15" hidden="1" thickBot="1" x14ac:dyDescent="0.35">
      <c r="A602" s="14">
        <v>119</v>
      </c>
      <c r="B602" s="14" t="s">
        <v>724</v>
      </c>
      <c r="C602" s="20" t="s">
        <v>602</v>
      </c>
      <c r="D602" s="14" t="s">
        <v>761</v>
      </c>
      <c r="E602" s="15" t="s">
        <v>500</v>
      </c>
      <c r="F602" s="15">
        <v>3</v>
      </c>
      <c r="G602" s="16">
        <f t="shared" si="40"/>
        <v>3564</v>
      </c>
      <c r="H602" s="16">
        <v>3564</v>
      </c>
      <c r="I602" s="16">
        <f t="shared" si="39"/>
        <v>0</v>
      </c>
      <c r="J602" s="31">
        <v>3564</v>
      </c>
      <c r="K602" s="69">
        <f t="shared" si="41"/>
        <v>0</v>
      </c>
      <c r="L602" s="50"/>
      <c r="M602" s="109"/>
      <c r="N602" s="110"/>
    </row>
    <row r="603" spans="1:14" ht="15" hidden="1" thickBot="1" x14ac:dyDescent="0.35">
      <c r="A603" s="14">
        <v>119</v>
      </c>
      <c r="B603" s="14" t="s">
        <v>724</v>
      </c>
      <c r="C603" s="20" t="s">
        <v>602</v>
      </c>
      <c r="D603" s="14" t="s">
        <v>760</v>
      </c>
      <c r="E603" s="15" t="s">
        <v>500</v>
      </c>
      <c r="F603" s="15">
        <v>3</v>
      </c>
      <c r="G603" s="16">
        <f t="shared" si="40"/>
        <v>4827</v>
      </c>
      <c r="H603" s="16">
        <v>5187</v>
      </c>
      <c r="I603" s="16">
        <f t="shared" si="39"/>
        <v>0</v>
      </c>
      <c r="J603" s="31">
        <v>5187</v>
      </c>
      <c r="K603" s="69">
        <f t="shared" si="41"/>
        <v>0</v>
      </c>
      <c r="L603" s="50">
        <v>360</v>
      </c>
      <c r="M603" s="109">
        <v>360</v>
      </c>
      <c r="N603" s="110"/>
    </row>
    <row r="604" spans="1:14" ht="15" hidden="1" thickBot="1" x14ac:dyDescent="0.35">
      <c r="A604" s="14">
        <v>119</v>
      </c>
      <c r="B604" s="14" t="s">
        <v>724</v>
      </c>
      <c r="C604" s="20" t="s">
        <v>602</v>
      </c>
      <c r="D604" s="14" t="s">
        <v>521</v>
      </c>
      <c r="E604" s="15" t="s">
        <v>500</v>
      </c>
      <c r="F604" s="15">
        <v>3</v>
      </c>
      <c r="G604" s="16">
        <f t="shared" si="40"/>
        <v>6641</v>
      </c>
      <c r="H604" s="16">
        <v>6641</v>
      </c>
      <c r="I604" s="16">
        <f t="shared" si="39"/>
        <v>0</v>
      </c>
      <c r="J604" s="31">
        <v>6641</v>
      </c>
      <c r="K604" s="69">
        <f t="shared" si="41"/>
        <v>0</v>
      </c>
      <c r="L604" s="50"/>
      <c r="M604" s="109"/>
      <c r="N604" s="110"/>
    </row>
    <row r="605" spans="1:14" ht="15" hidden="1" thickBot="1" x14ac:dyDescent="0.35">
      <c r="A605" s="14">
        <v>120</v>
      </c>
      <c r="B605" s="14" t="s">
        <v>725</v>
      </c>
      <c r="C605" s="14" t="s">
        <v>668</v>
      </c>
      <c r="D605" s="14" t="s">
        <v>510</v>
      </c>
      <c r="E605" s="15" t="s">
        <v>504</v>
      </c>
      <c r="F605" s="15">
        <v>2</v>
      </c>
      <c r="G605" s="16">
        <f t="shared" si="40"/>
        <v>1400</v>
      </c>
      <c r="H605" s="16">
        <v>1400</v>
      </c>
      <c r="I605" s="16">
        <f t="shared" si="39"/>
        <v>0</v>
      </c>
      <c r="J605" s="31">
        <v>1400</v>
      </c>
      <c r="K605" s="69">
        <f t="shared" si="41"/>
        <v>0</v>
      </c>
      <c r="L605" s="50"/>
      <c r="M605" s="109"/>
      <c r="N605" s="110"/>
    </row>
    <row r="606" spans="1:14" ht="15" hidden="1" thickBot="1" x14ac:dyDescent="0.35">
      <c r="A606" s="14">
        <v>120</v>
      </c>
      <c r="B606" s="14" t="s">
        <v>725</v>
      </c>
      <c r="C606" s="14" t="s">
        <v>1034</v>
      </c>
      <c r="D606" s="14" t="s">
        <v>510</v>
      </c>
      <c r="E606" s="15" t="s">
        <v>504</v>
      </c>
      <c r="F606" s="15">
        <v>1</v>
      </c>
      <c r="G606" s="16">
        <f t="shared" si="40"/>
        <v>3094</v>
      </c>
      <c r="H606" s="16">
        <v>3094</v>
      </c>
      <c r="I606" s="16">
        <f>J606-H606</f>
        <v>0</v>
      </c>
      <c r="J606" s="31">
        <v>3094</v>
      </c>
      <c r="K606" s="69">
        <f t="shared" si="41"/>
        <v>0</v>
      </c>
      <c r="L606" s="50"/>
      <c r="M606" s="109"/>
      <c r="N606" s="110"/>
    </row>
    <row r="607" spans="1:14" ht="15" hidden="1" thickBot="1" x14ac:dyDescent="0.35">
      <c r="A607" s="14">
        <v>120</v>
      </c>
      <c r="B607" s="14" t="s">
        <v>725</v>
      </c>
      <c r="C607" s="14" t="s">
        <v>940</v>
      </c>
      <c r="D607" s="14" t="s">
        <v>614</v>
      </c>
      <c r="E607" s="15" t="s">
        <v>504</v>
      </c>
      <c r="F607" s="15">
        <v>11</v>
      </c>
      <c r="G607" s="16">
        <f t="shared" si="40"/>
        <v>64567</v>
      </c>
      <c r="H607" s="16">
        <v>68387</v>
      </c>
      <c r="I607" s="16">
        <f t="shared" si="39"/>
        <v>0</v>
      </c>
      <c r="J607" s="31">
        <v>68387</v>
      </c>
      <c r="K607" s="69">
        <f t="shared" si="41"/>
        <v>0</v>
      </c>
      <c r="L607" s="50">
        <v>3820</v>
      </c>
      <c r="M607" s="109">
        <v>3820</v>
      </c>
      <c r="N607" s="110">
        <v>0.95</v>
      </c>
    </row>
    <row r="608" spans="1:14" ht="15" hidden="1" thickBot="1" x14ac:dyDescent="0.35">
      <c r="A608" s="14">
        <v>120</v>
      </c>
      <c r="B608" s="14" t="s">
        <v>725</v>
      </c>
      <c r="C608" s="14" t="s">
        <v>940</v>
      </c>
      <c r="D608" s="14" t="s">
        <v>510</v>
      </c>
      <c r="E608" s="15" t="s">
        <v>504</v>
      </c>
      <c r="F608" s="15">
        <v>8</v>
      </c>
      <c r="G608" s="16">
        <f t="shared" si="40"/>
        <v>26855</v>
      </c>
      <c r="H608" s="16">
        <v>28350</v>
      </c>
      <c r="I608" s="16">
        <f t="shared" si="39"/>
        <v>0</v>
      </c>
      <c r="J608" s="31">
        <v>28350</v>
      </c>
      <c r="K608" s="69">
        <f t="shared" si="41"/>
        <v>0</v>
      </c>
      <c r="L608" s="50">
        <v>1495</v>
      </c>
      <c r="M608" s="109">
        <v>1495</v>
      </c>
      <c r="N608" s="110" t="s">
        <v>1395</v>
      </c>
    </row>
    <row r="609" spans="1:14" ht="15" hidden="1" thickBot="1" x14ac:dyDescent="0.35">
      <c r="A609" s="14">
        <v>121</v>
      </c>
      <c r="B609" s="14" t="s">
        <v>727</v>
      </c>
      <c r="C609" s="14" t="s">
        <v>940</v>
      </c>
      <c r="D609" s="14" t="s">
        <v>757</v>
      </c>
      <c r="E609" s="15" t="s">
        <v>512</v>
      </c>
      <c r="F609" s="15"/>
      <c r="G609" s="16">
        <f t="shared" si="40"/>
        <v>900</v>
      </c>
      <c r="H609" s="16">
        <v>900</v>
      </c>
      <c r="I609" s="16">
        <f t="shared" si="39"/>
        <v>0</v>
      </c>
      <c r="J609" s="31">
        <v>900</v>
      </c>
      <c r="K609" s="69">
        <f t="shared" si="41"/>
        <v>0</v>
      </c>
      <c r="L609" s="50"/>
      <c r="M609" s="109"/>
      <c r="N609" s="110"/>
    </row>
    <row r="610" spans="1:14" ht="15" hidden="1" thickBot="1" x14ac:dyDescent="0.35">
      <c r="A610" s="14">
        <v>121</v>
      </c>
      <c r="B610" s="14" t="s">
        <v>727</v>
      </c>
      <c r="C610" s="14" t="s">
        <v>940</v>
      </c>
      <c r="D610" s="14" t="s">
        <v>510</v>
      </c>
      <c r="E610" s="15" t="s">
        <v>512</v>
      </c>
      <c r="F610" s="15"/>
      <c r="G610" s="16">
        <f t="shared" si="40"/>
        <v>2520</v>
      </c>
      <c r="H610" s="16">
        <v>2520</v>
      </c>
      <c r="I610" s="16">
        <f t="shared" si="39"/>
        <v>0</v>
      </c>
      <c r="J610" s="31">
        <v>2520</v>
      </c>
      <c r="K610" s="69">
        <f t="shared" si="41"/>
        <v>0</v>
      </c>
      <c r="L610" s="50"/>
      <c r="M610" s="109"/>
      <c r="N610" s="110"/>
    </row>
    <row r="611" spans="1:14" ht="15" hidden="1" thickBot="1" x14ac:dyDescent="0.35">
      <c r="A611" s="14">
        <v>122</v>
      </c>
      <c r="B611" s="14" t="s">
        <v>728</v>
      </c>
      <c r="C611" s="14" t="s">
        <v>940</v>
      </c>
      <c r="D611" s="14" t="s">
        <v>510</v>
      </c>
      <c r="E611" s="15" t="s">
        <v>508</v>
      </c>
      <c r="F611" s="15">
        <v>7</v>
      </c>
      <c r="G611" s="16">
        <f t="shared" si="40"/>
        <v>18030</v>
      </c>
      <c r="H611" s="16">
        <v>18210</v>
      </c>
      <c r="I611" s="16">
        <f t="shared" si="39"/>
        <v>0</v>
      </c>
      <c r="J611" s="31">
        <v>18210</v>
      </c>
      <c r="K611" s="69">
        <f t="shared" si="41"/>
        <v>0</v>
      </c>
      <c r="L611" s="50">
        <v>180</v>
      </c>
      <c r="M611" s="109">
        <v>180</v>
      </c>
      <c r="N611" s="110"/>
    </row>
    <row r="612" spans="1:14" ht="15" hidden="1" thickBot="1" x14ac:dyDescent="0.35">
      <c r="A612" s="14">
        <v>122</v>
      </c>
      <c r="B612" s="14" t="s">
        <v>728</v>
      </c>
      <c r="C612" s="15" t="s">
        <v>641</v>
      </c>
      <c r="D612" s="14" t="s">
        <v>614</v>
      </c>
      <c r="E612" s="15" t="s">
        <v>506</v>
      </c>
      <c r="F612" s="15">
        <v>9</v>
      </c>
      <c r="G612" s="16">
        <f t="shared" si="40"/>
        <v>73054</v>
      </c>
      <c r="H612" s="16">
        <v>73444</v>
      </c>
      <c r="I612" s="16">
        <f t="shared" ref="I612:I676" si="42">J612-H612</f>
        <v>0</v>
      </c>
      <c r="J612" s="31">
        <v>73444</v>
      </c>
      <c r="K612" s="69">
        <f t="shared" si="41"/>
        <v>0</v>
      </c>
      <c r="L612" s="50">
        <v>390</v>
      </c>
      <c r="M612" s="109">
        <v>390</v>
      </c>
      <c r="N612" s="110"/>
    </row>
    <row r="613" spans="1:14" ht="15" hidden="1" thickBot="1" x14ac:dyDescent="0.35">
      <c r="A613" s="14">
        <v>122</v>
      </c>
      <c r="B613" s="14" t="s">
        <v>728</v>
      </c>
      <c r="C613" s="15" t="s">
        <v>641</v>
      </c>
      <c r="D613" s="14" t="s">
        <v>510</v>
      </c>
      <c r="E613" s="15" t="s">
        <v>499</v>
      </c>
      <c r="F613" s="15">
        <v>6</v>
      </c>
      <c r="G613" s="16">
        <f t="shared" si="40"/>
        <v>36722</v>
      </c>
      <c r="H613" s="16">
        <v>36722</v>
      </c>
      <c r="I613" s="16">
        <f t="shared" si="42"/>
        <v>0</v>
      </c>
      <c r="J613" s="31">
        <v>36722</v>
      </c>
      <c r="K613" s="69">
        <f t="shared" si="41"/>
        <v>0</v>
      </c>
      <c r="L613" s="50"/>
      <c r="M613" s="109"/>
      <c r="N613" s="110"/>
    </row>
    <row r="614" spans="1:14" ht="15" hidden="1" thickBot="1" x14ac:dyDescent="0.35">
      <c r="A614" s="14">
        <v>122</v>
      </c>
      <c r="B614" s="14" t="s">
        <v>728</v>
      </c>
      <c r="C614" s="14" t="s">
        <v>602</v>
      </c>
      <c r="D614" s="14" t="s">
        <v>614</v>
      </c>
      <c r="E614" s="15" t="s">
        <v>506</v>
      </c>
      <c r="F614" s="15">
        <v>9</v>
      </c>
      <c r="G614" s="16">
        <f t="shared" si="40"/>
        <v>43456</v>
      </c>
      <c r="H614" s="16">
        <v>43456</v>
      </c>
      <c r="I614" s="16">
        <f t="shared" si="42"/>
        <v>0</v>
      </c>
      <c r="J614" s="31">
        <v>43456</v>
      </c>
      <c r="K614" s="69">
        <f t="shared" si="41"/>
        <v>0</v>
      </c>
      <c r="L614" s="50"/>
      <c r="M614" s="109"/>
      <c r="N614" s="110"/>
    </row>
    <row r="615" spans="1:14" ht="15" hidden="1" thickBot="1" x14ac:dyDescent="0.35">
      <c r="A615" s="14">
        <v>122</v>
      </c>
      <c r="B615" s="14" t="s">
        <v>728</v>
      </c>
      <c r="C615" s="14" t="s">
        <v>940</v>
      </c>
      <c r="D615" s="14" t="s">
        <v>510</v>
      </c>
      <c r="E615" s="15" t="s">
        <v>499</v>
      </c>
      <c r="F615" s="15">
        <v>5</v>
      </c>
      <c r="G615" s="16">
        <f t="shared" si="40"/>
        <v>21280</v>
      </c>
      <c r="H615" s="16">
        <v>24795</v>
      </c>
      <c r="I615" s="16">
        <f t="shared" si="42"/>
        <v>0</v>
      </c>
      <c r="J615" s="31">
        <v>24795</v>
      </c>
      <c r="K615" s="69">
        <f t="shared" si="41"/>
        <v>0</v>
      </c>
      <c r="L615" s="50">
        <v>3515</v>
      </c>
      <c r="M615" s="109">
        <v>3515</v>
      </c>
      <c r="N615" s="110">
        <v>0.99</v>
      </c>
    </row>
    <row r="616" spans="1:14" ht="15" hidden="1" thickBot="1" x14ac:dyDescent="0.35">
      <c r="A616" s="14">
        <v>122</v>
      </c>
      <c r="B616" s="14" t="s">
        <v>728</v>
      </c>
      <c r="C616" s="14" t="s">
        <v>729</v>
      </c>
      <c r="D616" s="14" t="s">
        <v>1832</v>
      </c>
      <c r="E616" s="15" t="s">
        <v>499</v>
      </c>
      <c r="F616" s="15">
        <v>2</v>
      </c>
      <c r="G616" s="16">
        <f t="shared" si="40"/>
        <v>2700</v>
      </c>
      <c r="H616" s="16">
        <v>2700</v>
      </c>
      <c r="I616" s="16">
        <f t="shared" si="42"/>
        <v>0</v>
      </c>
      <c r="J616" s="31">
        <v>2700</v>
      </c>
      <c r="K616" s="69">
        <f t="shared" si="41"/>
        <v>0</v>
      </c>
      <c r="L616" s="50"/>
      <c r="M616" s="109"/>
      <c r="N616" s="110"/>
    </row>
    <row r="617" spans="1:14" ht="15" hidden="1" thickBot="1" x14ac:dyDescent="0.35">
      <c r="A617" s="14">
        <v>122</v>
      </c>
      <c r="B617" s="14" t="s">
        <v>728</v>
      </c>
      <c r="C617" s="14" t="s">
        <v>730</v>
      </c>
      <c r="D617" s="14" t="s">
        <v>510</v>
      </c>
      <c r="E617" s="15" t="s">
        <v>506</v>
      </c>
      <c r="F617" s="15">
        <v>4</v>
      </c>
      <c r="G617" s="16">
        <f t="shared" si="40"/>
        <v>19880</v>
      </c>
      <c r="H617" s="16">
        <v>20610</v>
      </c>
      <c r="I617" s="16">
        <f t="shared" si="42"/>
        <v>0</v>
      </c>
      <c r="J617" s="31">
        <v>20610</v>
      </c>
      <c r="K617" s="69">
        <f t="shared" si="41"/>
        <v>0</v>
      </c>
      <c r="L617" s="50">
        <v>730</v>
      </c>
      <c r="M617" s="109">
        <v>730</v>
      </c>
      <c r="N617" s="110"/>
    </row>
    <row r="618" spans="1:14" ht="15" hidden="1" thickBot="1" x14ac:dyDescent="0.35">
      <c r="A618" s="14">
        <v>122</v>
      </c>
      <c r="B618" s="14" t="s">
        <v>728</v>
      </c>
      <c r="C618" s="14" t="s">
        <v>730</v>
      </c>
      <c r="D618" s="14" t="s">
        <v>614</v>
      </c>
      <c r="E618" s="15" t="s">
        <v>504</v>
      </c>
      <c r="F618" s="15">
        <v>10</v>
      </c>
      <c r="G618" s="16">
        <f t="shared" si="40"/>
        <v>21034.5</v>
      </c>
      <c r="H618" s="16">
        <v>26344.5</v>
      </c>
      <c r="I618" s="16">
        <f t="shared" si="42"/>
        <v>0</v>
      </c>
      <c r="J618" s="31">
        <v>26344.5</v>
      </c>
      <c r="K618" s="69">
        <f t="shared" si="41"/>
        <v>0</v>
      </c>
      <c r="L618" s="50">
        <v>5310</v>
      </c>
      <c r="M618" s="109">
        <v>5310</v>
      </c>
      <c r="N618" s="110">
        <v>0.96499999999999997</v>
      </c>
    </row>
    <row r="619" spans="1:14" ht="15" hidden="1" thickBot="1" x14ac:dyDescent="0.35">
      <c r="A619" s="14">
        <v>122</v>
      </c>
      <c r="B619" s="14" t="s">
        <v>728</v>
      </c>
      <c r="C619" s="14" t="s">
        <v>730</v>
      </c>
      <c r="D619" s="14" t="s">
        <v>510</v>
      </c>
      <c r="E619" s="15" t="s">
        <v>504</v>
      </c>
      <c r="F619" s="15">
        <v>6</v>
      </c>
      <c r="G619" s="16">
        <f t="shared" si="40"/>
        <v>13995.3</v>
      </c>
      <c r="H619" s="16">
        <v>15285.3</v>
      </c>
      <c r="I619" s="16">
        <f t="shared" si="42"/>
        <v>0</v>
      </c>
      <c r="J619" s="31">
        <v>15285.3</v>
      </c>
      <c r="K619" s="69">
        <f t="shared" si="41"/>
        <v>0</v>
      </c>
      <c r="L619" s="50">
        <v>1290</v>
      </c>
      <c r="M619" s="109">
        <v>1290</v>
      </c>
      <c r="N619" s="110"/>
    </row>
    <row r="620" spans="1:14" ht="15" hidden="1" thickBot="1" x14ac:dyDescent="0.35">
      <c r="A620" s="14">
        <v>122</v>
      </c>
      <c r="B620" s="14" t="s">
        <v>728</v>
      </c>
      <c r="C620" s="14" t="s">
        <v>730</v>
      </c>
      <c r="D620" s="14" t="s">
        <v>510</v>
      </c>
      <c r="E620" s="15" t="s">
        <v>508</v>
      </c>
      <c r="F620" s="15">
        <v>5</v>
      </c>
      <c r="G620" s="16">
        <f t="shared" si="40"/>
        <v>19807</v>
      </c>
      <c r="H620" s="16">
        <v>20677</v>
      </c>
      <c r="I620" s="16">
        <f t="shared" si="42"/>
        <v>0</v>
      </c>
      <c r="J620" s="31">
        <v>20677</v>
      </c>
      <c r="K620" s="69">
        <f t="shared" si="41"/>
        <v>0</v>
      </c>
      <c r="L620" s="50">
        <v>870</v>
      </c>
      <c r="M620" s="109">
        <v>870</v>
      </c>
      <c r="N620" s="110"/>
    </row>
    <row r="621" spans="1:14" ht="15" hidden="1" thickBot="1" x14ac:dyDescent="0.35">
      <c r="A621" s="14">
        <v>122</v>
      </c>
      <c r="B621" s="14" t="s">
        <v>728</v>
      </c>
      <c r="C621" s="14" t="s">
        <v>730</v>
      </c>
      <c r="D621" s="14" t="s">
        <v>614</v>
      </c>
      <c r="E621" s="15" t="s">
        <v>508</v>
      </c>
      <c r="F621" s="15">
        <v>7</v>
      </c>
      <c r="G621" s="16">
        <f t="shared" si="40"/>
        <v>33793</v>
      </c>
      <c r="H621" s="16">
        <v>33913</v>
      </c>
      <c r="I621" s="16">
        <f t="shared" si="42"/>
        <v>0</v>
      </c>
      <c r="J621" s="31">
        <v>33913</v>
      </c>
      <c r="K621" s="69">
        <f t="shared" si="41"/>
        <v>0</v>
      </c>
      <c r="L621" s="50">
        <v>120</v>
      </c>
      <c r="M621" s="109">
        <v>120</v>
      </c>
      <c r="N621" s="110"/>
    </row>
    <row r="622" spans="1:14" ht="15" hidden="1" thickBot="1" x14ac:dyDescent="0.35">
      <c r="A622" s="14">
        <v>122</v>
      </c>
      <c r="B622" s="14" t="s">
        <v>728</v>
      </c>
      <c r="C622" s="14" t="s">
        <v>730</v>
      </c>
      <c r="D622" s="14" t="s">
        <v>614</v>
      </c>
      <c r="E622" s="15" t="s">
        <v>506</v>
      </c>
      <c r="F622" s="15">
        <v>5</v>
      </c>
      <c r="G622" s="16">
        <f t="shared" si="40"/>
        <v>33617</v>
      </c>
      <c r="H622" s="16">
        <v>34757</v>
      </c>
      <c r="I622" s="16">
        <f t="shared" si="42"/>
        <v>0</v>
      </c>
      <c r="J622" s="31">
        <v>34757</v>
      </c>
      <c r="K622" s="69">
        <f t="shared" si="41"/>
        <v>0</v>
      </c>
      <c r="L622" s="50">
        <v>1140</v>
      </c>
      <c r="M622" s="109">
        <v>1140</v>
      </c>
      <c r="N622" s="110"/>
    </row>
    <row r="623" spans="1:14" ht="15" hidden="1" thickBot="1" x14ac:dyDescent="0.35">
      <c r="A623" s="14">
        <v>122</v>
      </c>
      <c r="B623" s="14" t="s">
        <v>728</v>
      </c>
      <c r="C623" s="14" t="s">
        <v>604</v>
      </c>
      <c r="D623" s="14" t="s">
        <v>1570</v>
      </c>
      <c r="E623" s="15" t="s">
        <v>504</v>
      </c>
      <c r="F623" s="15">
        <v>3</v>
      </c>
      <c r="G623" s="16">
        <f t="shared" si="40"/>
        <v>568</v>
      </c>
      <c r="H623" s="16">
        <v>568</v>
      </c>
      <c r="I623" s="16">
        <f t="shared" si="42"/>
        <v>0</v>
      </c>
      <c r="J623" s="31">
        <v>568</v>
      </c>
      <c r="K623" s="69">
        <f t="shared" si="41"/>
        <v>0</v>
      </c>
      <c r="L623" s="50"/>
      <c r="M623" s="109"/>
      <c r="N623" s="110"/>
    </row>
    <row r="624" spans="1:14" ht="15" hidden="1" thickBot="1" x14ac:dyDescent="0.35">
      <c r="A624" s="14">
        <v>122</v>
      </c>
      <c r="B624" s="14" t="s">
        <v>728</v>
      </c>
      <c r="C624" s="14" t="s">
        <v>602</v>
      </c>
      <c r="D624" s="14" t="s">
        <v>614</v>
      </c>
      <c r="E624" s="15" t="s">
        <v>508</v>
      </c>
      <c r="F624" s="15">
        <v>11</v>
      </c>
      <c r="G624" s="16">
        <f t="shared" si="40"/>
        <v>43511</v>
      </c>
      <c r="H624" s="16">
        <v>47601</v>
      </c>
      <c r="I624" s="16">
        <f t="shared" si="42"/>
        <v>0</v>
      </c>
      <c r="J624" s="31">
        <v>47601</v>
      </c>
      <c r="K624" s="69">
        <f t="shared" si="41"/>
        <v>0</v>
      </c>
      <c r="L624" s="50">
        <v>4090</v>
      </c>
      <c r="M624" s="109">
        <v>4090</v>
      </c>
      <c r="N624" s="110" t="s">
        <v>1372</v>
      </c>
    </row>
    <row r="625" spans="1:14" ht="15" hidden="1" thickBot="1" x14ac:dyDescent="0.35">
      <c r="A625" s="14">
        <v>122</v>
      </c>
      <c r="B625" s="14" t="s">
        <v>728</v>
      </c>
      <c r="C625" s="14" t="s">
        <v>643</v>
      </c>
      <c r="D625" s="14" t="s">
        <v>614</v>
      </c>
      <c r="E625" s="15" t="s">
        <v>506</v>
      </c>
      <c r="F625" s="15">
        <v>6</v>
      </c>
      <c r="G625" s="16">
        <f t="shared" si="40"/>
        <v>24626.400000000001</v>
      </c>
      <c r="H625" s="16">
        <v>24626.400000000001</v>
      </c>
      <c r="I625" s="16">
        <f t="shared" si="42"/>
        <v>0</v>
      </c>
      <c r="J625" s="31">
        <v>24626.400000000001</v>
      </c>
      <c r="K625" s="69">
        <f t="shared" si="41"/>
        <v>0</v>
      </c>
      <c r="L625" s="50"/>
      <c r="M625" s="109"/>
      <c r="N625" s="110"/>
    </row>
    <row r="626" spans="1:14" ht="15" hidden="1" thickBot="1" x14ac:dyDescent="0.35">
      <c r="A626" s="14">
        <v>122</v>
      </c>
      <c r="B626" s="14" t="s">
        <v>728</v>
      </c>
      <c r="C626" s="14" t="s">
        <v>602</v>
      </c>
      <c r="D626" s="14" t="s">
        <v>614</v>
      </c>
      <c r="E626" s="15" t="s">
        <v>509</v>
      </c>
      <c r="F626" s="15">
        <v>1</v>
      </c>
      <c r="G626" s="16">
        <f t="shared" si="40"/>
        <v>4426</v>
      </c>
      <c r="H626" s="16">
        <v>4426</v>
      </c>
      <c r="I626" s="16">
        <f t="shared" si="42"/>
        <v>0</v>
      </c>
      <c r="J626" s="31">
        <v>4426</v>
      </c>
      <c r="K626" s="69">
        <f t="shared" si="41"/>
        <v>0</v>
      </c>
      <c r="L626" s="50"/>
      <c r="M626" s="109"/>
      <c r="N626" s="110"/>
    </row>
    <row r="627" spans="1:14" ht="15" hidden="1" thickBot="1" x14ac:dyDescent="0.35">
      <c r="A627" s="14">
        <v>122</v>
      </c>
      <c r="B627" s="14" t="s">
        <v>728</v>
      </c>
      <c r="C627" s="14" t="s">
        <v>602</v>
      </c>
      <c r="D627" s="14" t="s">
        <v>510</v>
      </c>
      <c r="E627" s="15" t="s">
        <v>499</v>
      </c>
      <c r="F627" s="15">
        <v>8</v>
      </c>
      <c r="G627" s="16">
        <f t="shared" si="40"/>
        <v>15503</v>
      </c>
      <c r="H627" s="16">
        <v>18993</v>
      </c>
      <c r="I627" s="16">
        <f t="shared" si="42"/>
        <v>0</v>
      </c>
      <c r="J627" s="31">
        <v>18993</v>
      </c>
      <c r="K627" s="69">
        <f t="shared" si="41"/>
        <v>0</v>
      </c>
      <c r="L627" s="50">
        <v>3490</v>
      </c>
      <c r="M627" s="109">
        <v>3490</v>
      </c>
      <c r="N627" s="110">
        <v>1</v>
      </c>
    </row>
    <row r="628" spans="1:14" ht="15" hidden="1" thickBot="1" x14ac:dyDescent="0.35">
      <c r="A628" s="14">
        <v>122</v>
      </c>
      <c r="B628" s="14" t="s">
        <v>728</v>
      </c>
      <c r="C628" s="14" t="s">
        <v>602</v>
      </c>
      <c r="D628" s="14" t="s">
        <v>510</v>
      </c>
      <c r="E628" s="15" t="s">
        <v>506</v>
      </c>
      <c r="F628" s="15">
        <v>9</v>
      </c>
      <c r="G628" s="16">
        <f t="shared" si="40"/>
        <v>17094</v>
      </c>
      <c r="H628" s="16">
        <v>17094</v>
      </c>
      <c r="I628" s="16">
        <f t="shared" si="42"/>
        <v>0</v>
      </c>
      <c r="J628" s="31">
        <v>17094</v>
      </c>
      <c r="K628" s="69">
        <f t="shared" si="41"/>
        <v>0</v>
      </c>
      <c r="L628" s="50"/>
      <c r="M628" s="109"/>
      <c r="N628" s="110"/>
    </row>
    <row r="629" spans="1:14" ht="15" hidden="1" thickBot="1" x14ac:dyDescent="0.35">
      <c r="A629" s="14">
        <v>122</v>
      </c>
      <c r="B629" s="14" t="s">
        <v>728</v>
      </c>
      <c r="C629" s="14" t="s">
        <v>602</v>
      </c>
      <c r="D629" s="14" t="s">
        <v>614</v>
      </c>
      <c r="E629" s="15" t="s">
        <v>504</v>
      </c>
      <c r="F629" s="15">
        <v>11</v>
      </c>
      <c r="G629" s="16">
        <f t="shared" si="40"/>
        <v>43247</v>
      </c>
      <c r="H629" s="16">
        <v>48087</v>
      </c>
      <c r="I629" s="16">
        <f t="shared" si="42"/>
        <v>0</v>
      </c>
      <c r="J629" s="31">
        <v>48087</v>
      </c>
      <c r="K629" s="69">
        <f t="shared" si="41"/>
        <v>0</v>
      </c>
      <c r="L629" s="50">
        <v>4840</v>
      </c>
      <c r="M629" s="109">
        <v>4840</v>
      </c>
      <c r="N629" s="110">
        <v>1</v>
      </c>
    </row>
    <row r="630" spans="1:14" ht="15" hidden="1" thickBot="1" x14ac:dyDescent="0.35">
      <c r="A630" s="14">
        <v>122</v>
      </c>
      <c r="B630" s="14" t="s">
        <v>728</v>
      </c>
      <c r="C630" s="14" t="s">
        <v>602</v>
      </c>
      <c r="D630" s="14" t="s">
        <v>510</v>
      </c>
      <c r="E630" s="15" t="s">
        <v>508</v>
      </c>
      <c r="F630" s="15">
        <v>9</v>
      </c>
      <c r="G630" s="16">
        <f t="shared" si="40"/>
        <v>16218</v>
      </c>
      <c r="H630" s="16">
        <v>18993</v>
      </c>
      <c r="I630" s="16">
        <f t="shared" si="42"/>
        <v>0</v>
      </c>
      <c r="J630" s="31">
        <v>18993</v>
      </c>
      <c r="K630" s="69">
        <f t="shared" si="41"/>
        <v>0</v>
      </c>
      <c r="L630" s="50">
        <v>2775</v>
      </c>
      <c r="M630" s="109">
        <v>2775</v>
      </c>
      <c r="N630" s="110">
        <v>1</v>
      </c>
    </row>
    <row r="631" spans="1:14" ht="15" hidden="1" thickBot="1" x14ac:dyDescent="0.35">
      <c r="A631" s="14">
        <v>122</v>
      </c>
      <c r="B631" s="14" t="s">
        <v>728</v>
      </c>
      <c r="C631" s="14" t="s">
        <v>940</v>
      </c>
      <c r="D631" s="14" t="s">
        <v>614</v>
      </c>
      <c r="E631" s="15" t="s">
        <v>508</v>
      </c>
      <c r="F631" s="15">
        <v>6</v>
      </c>
      <c r="G631" s="16">
        <f t="shared" si="40"/>
        <v>44893</v>
      </c>
      <c r="H631" s="16">
        <v>45473</v>
      </c>
      <c r="I631" s="16">
        <f t="shared" si="42"/>
        <v>0</v>
      </c>
      <c r="J631" s="31">
        <v>45473</v>
      </c>
      <c r="K631" s="69">
        <f t="shared" si="41"/>
        <v>0</v>
      </c>
      <c r="L631" s="50">
        <v>580</v>
      </c>
      <c r="M631" s="109">
        <v>580</v>
      </c>
      <c r="N631" s="110"/>
    </row>
    <row r="632" spans="1:14" ht="15" hidden="1" thickBot="1" x14ac:dyDescent="0.35">
      <c r="A632" s="14">
        <v>123</v>
      </c>
      <c r="B632" s="14" t="s">
        <v>731</v>
      </c>
      <c r="C632" s="20" t="s">
        <v>668</v>
      </c>
      <c r="D632" s="14" t="s">
        <v>510</v>
      </c>
      <c r="E632" s="15" t="s">
        <v>512</v>
      </c>
      <c r="F632" s="15">
        <v>1</v>
      </c>
      <c r="G632" s="16">
        <f t="shared" si="40"/>
        <v>900</v>
      </c>
      <c r="H632" s="16">
        <v>900</v>
      </c>
      <c r="I632" s="16">
        <f t="shared" si="42"/>
        <v>0</v>
      </c>
      <c r="J632" s="31">
        <v>900</v>
      </c>
      <c r="K632" s="69">
        <f t="shared" si="41"/>
        <v>0</v>
      </c>
      <c r="L632" s="50"/>
      <c r="M632" s="109"/>
      <c r="N632" s="110"/>
    </row>
    <row r="633" spans="1:14" ht="15" hidden="1" thickBot="1" x14ac:dyDescent="0.35">
      <c r="A633" s="14">
        <v>123</v>
      </c>
      <c r="B633" s="14" t="s">
        <v>731</v>
      </c>
      <c r="C633" s="20" t="s">
        <v>668</v>
      </c>
      <c r="D633" s="14" t="s">
        <v>513</v>
      </c>
      <c r="E633" s="15" t="s">
        <v>512</v>
      </c>
      <c r="F633" s="15">
        <v>1</v>
      </c>
      <c r="G633" s="16">
        <f t="shared" si="40"/>
        <v>360</v>
      </c>
      <c r="H633" s="16">
        <v>360</v>
      </c>
      <c r="I633" s="16">
        <f t="shared" si="42"/>
        <v>0</v>
      </c>
      <c r="J633" s="31">
        <v>360</v>
      </c>
      <c r="K633" s="69">
        <f t="shared" si="41"/>
        <v>0</v>
      </c>
      <c r="L633" s="50"/>
      <c r="M633" s="109"/>
      <c r="N633" s="110"/>
    </row>
    <row r="634" spans="1:14" ht="15" hidden="1" thickBot="1" x14ac:dyDescent="0.35">
      <c r="A634" s="14">
        <v>123</v>
      </c>
      <c r="B634" s="14" t="s">
        <v>731</v>
      </c>
      <c r="C634" s="20" t="s">
        <v>668</v>
      </c>
      <c r="D634" s="14" t="s">
        <v>614</v>
      </c>
      <c r="E634" s="15" t="s">
        <v>512</v>
      </c>
      <c r="F634" s="15">
        <v>1</v>
      </c>
      <c r="G634" s="16">
        <f t="shared" si="40"/>
        <v>1080</v>
      </c>
      <c r="H634" s="16">
        <v>1080</v>
      </c>
      <c r="I634" s="16">
        <f t="shared" si="42"/>
        <v>0</v>
      </c>
      <c r="J634" s="31">
        <v>1080</v>
      </c>
      <c r="K634" s="69">
        <f t="shared" si="41"/>
        <v>0</v>
      </c>
      <c r="L634" s="50"/>
      <c r="M634" s="109"/>
      <c r="N634" s="110"/>
    </row>
    <row r="635" spans="1:14" ht="15" hidden="1" thickBot="1" x14ac:dyDescent="0.35">
      <c r="A635" s="14">
        <v>123</v>
      </c>
      <c r="B635" s="14" t="s">
        <v>731</v>
      </c>
      <c r="C635" s="20" t="s">
        <v>940</v>
      </c>
      <c r="D635" s="14" t="s">
        <v>614</v>
      </c>
      <c r="E635" s="15" t="s">
        <v>512</v>
      </c>
      <c r="F635" s="15">
        <v>11</v>
      </c>
      <c r="G635" s="16">
        <f t="shared" si="40"/>
        <v>62757</v>
      </c>
      <c r="H635" s="16">
        <v>63387</v>
      </c>
      <c r="I635" s="16">
        <f t="shared" si="42"/>
        <v>0</v>
      </c>
      <c r="J635" s="31">
        <v>63387</v>
      </c>
      <c r="K635" s="69">
        <f t="shared" si="41"/>
        <v>0</v>
      </c>
      <c r="L635" s="50">
        <v>630</v>
      </c>
      <c r="M635" s="109">
        <v>630</v>
      </c>
      <c r="N635" s="110"/>
    </row>
    <row r="636" spans="1:14" ht="15" hidden="1" thickBot="1" x14ac:dyDescent="0.35">
      <c r="A636" s="14">
        <v>123</v>
      </c>
      <c r="B636" s="14" t="s">
        <v>731</v>
      </c>
      <c r="C636" s="20" t="s">
        <v>940</v>
      </c>
      <c r="D636" s="14" t="s">
        <v>757</v>
      </c>
      <c r="E636" s="15" t="s">
        <v>512</v>
      </c>
      <c r="F636" s="15">
        <v>4</v>
      </c>
      <c r="G636" s="16">
        <f t="shared" si="40"/>
        <v>18517</v>
      </c>
      <c r="H636" s="16">
        <v>18817</v>
      </c>
      <c r="I636" s="16">
        <f t="shared" si="42"/>
        <v>0</v>
      </c>
      <c r="J636" s="31">
        <v>18817</v>
      </c>
      <c r="K636" s="69">
        <f t="shared" si="41"/>
        <v>0</v>
      </c>
      <c r="L636" s="50">
        <v>300</v>
      </c>
      <c r="M636" s="109">
        <v>300</v>
      </c>
      <c r="N636" s="110"/>
    </row>
    <row r="637" spans="1:14" ht="15" hidden="1" thickBot="1" x14ac:dyDescent="0.35">
      <c r="A637" s="14">
        <v>123</v>
      </c>
      <c r="B637" s="14" t="s">
        <v>731</v>
      </c>
      <c r="C637" s="20" t="s">
        <v>940</v>
      </c>
      <c r="D637" s="14" t="s">
        <v>694</v>
      </c>
      <c r="E637" s="15" t="s">
        <v>509</v>
      </c>
      <c r="F637" s="15">
        <v>5</v>
      </c>
      <c r="G637" s="16">
        <f t="shared" si="40"/>
        <v>51378</v>
      </c>
      <c r="H637" s="16">
        <v>52278</v>
      </c>
      <c r="I637" s="16">
        <f t="shared" si="42"/>
        <v>0</v>
      </c>
      <c r="J637" s="31">
        <v>52278</v>
      </c>
      <c r="K637" s="69">
        <f t="shared" si="41"/>
        <v>0</v>
      </c>
      <c r="L637" s="50">
        <v>900</v>
      </c>
      <c r="M637" s="109">
        <v>900</v>
      </c>
      <c r="N637" s="110">
        <v>0.95</v>
      </c>
    </row>
    <row r="638" spans="1:14" ht="15" hidden="1" thickBot="1" x14ac:dyDescent="0.35">
      <c r="A638" s="14">
        <v>123</v>
      </c>
      <c r="B638" s="14" t="s">
        <v>731</v>
      </c>
      <c r="C638" s="20" t="s">
        <v>940</v>
      </c>
      <c r="D638" s="14" t="s">
        <v>507</v>
      </c>
      <c r="E638" s="15" t="s">
        <v>504</v>
      </c>
      <c r="F638" s="15">
        <v>1</v>
      </c>
      <c r="G638" s="16">
        <f t="shared" si="40"/>
        <v>1318</v>
      </c>
      <c r="H638" s="16">
        <v>1318</v>
      </c>
      <c r="I638" s="16">
        <f>J638-H638</f>
        <v>0</v>
      </c>
      <c r="J638" s="31">
        <v>1318</v>
      </c>
      <c r="K638" s="69">
        <f t="shared" si="41"/>
        <v>0</v>
      </c>
      <c r="L638" s="50"/>
      <c r="M638" s="109"/>
      <c r="N638" s="110"/>
    </row>
    <row r="639" spans="1:14" ht="15" hidden="1" thickBot="1" x14ac:dyDescent="0.35">
      <c r="A639" s="14">
        <v>123</v>
      </c>
      <c r="B639" s="14" t="s">
        <v>731</v>
      </c>
      <c r="C639" s="20" t="s">
        <v>940</v>
      </c>
      <c r="D639" s="14" t="s">
        <v>513</v>
      </c>
      <c r="E639" s="15" t="s">
        <v>512</v>
      </c>
      <c r="F639" s="15">
        <v>8</v>
      </c>
      <c r="G639" s="16">
        <f t="shared" si="40"/>
        <v>15426</v>
      </c>
      <c r="H639" s="16">
        <v>16266</v>
      </c>
      <c r="I639" s="16">
        <f t="shared" si="42"/>
        <v>0</v>
      </c>
      <c r="J639" s="31">
        <v>16266</v>
      </c>
      <c r="K639" s="69">
        <f t="shared" si="41"/>
        <v>0</v>
      </c>
      <c r="L639" s="50">
        <v>840</v>
      </c>
      <c r="M639" s="109">
        <v>840</v>
      </c>
      <c r="N639" s="110"/>
    </row>
    <row r="640" spans="1:14" ht="15" hidden="1" thickBot="1" x14ac:dyDescent="0.35">
      <c r="A640" s="14">
        <v>123</v>
      </c>
      <c r="B640" s="14" t="s">
        <v>731</v>
      </c>
      <c r="C640" s="20" t="s">
        <v>940</v>
      </c>
      <c r="D640" s="14" t="s">
        <v>510</v>
      </c>
      <c r="E640" s="15" t="s">
        <v>512</v>
      </c>
      <c r="F640" s="15">
        <v>9</v>
      </c>
      <c r="G640" s="16">
        <f t="shared" si="40"/>
        <v>26785</v>
      </c>
      <c r="H640" s="16">
        <v>27525</v>
      </c>
      <c r="I640" s="16">
        <f t="shared" si="42"/>
        <v>0</v>
      </c>
      <c r="J640" s="31">
        <v>27525</v>
      </c>
      <c r="K640" s="69">
        <f t="shared" si="41"/>
        <v>0</v>
      </c>
      <c r="L640" s="50">
        <v>740</v>
      </c>
      <c r="M640" s="109">
        <v>740</v>
      </c>
      <c r="N640" s="110" t="s">
        <v>1396</v>
      </c>
    </row>
    <row r="641" spans="1:14" ht="15" hidden="1" thickBot="1" x14ac:dyDescent="0.35">
      <c r="A641" s="14">
        <v>124</v>
      </c>
      <c r="B641" s="14" t="s">
        <v>732</v>
      </c>
      <c r="C641" s="14" t="s">
        <v>718</v>
      </c>
      <c r="D641" s="14" t="s">
        <v>733</v>
      </c>
      <c r="E641" s="15" t="s">
        <v>500</v>
      </c>
      <c r="F641" s="15">
        <v>2</v>
      </c>
      <c r="G641" s="16">
        <f t="shared" si="40"/>
        <v>2633</v>
      </c>
      <c r="H641" s="16">
        <v>2633</v>
      </c>
      <c r="I641" s="16">
        <f t="shared" si="42"/>
        <v>0</v>
      </c>
      <c r="J641" s="31">
        <v>2633</v>
      </c>
      <c r="K641" s="69">
        <f t="shared" si="41"/>
        <v>0</v>
      </c>
      <c r="L641" s="50"/>
      <c r="M641" s="109"/>
      <c r="N641" s="110"/>
    </row>
    <row r="642" spans="1:14" ht="15" hidden="1" thickBot="1" x14ac:dyDescent="0.35">
      <c r="A642" s="14">
        <v>124</v>
      </c>
      <c r="B642" s="14" t="s">
        <v>732</v>
      </c>
      <c r="C642" s="14" t="s">
        <v>603</v>
      </c>
      <c r="D642" s="14" t="s">
        <v>527</v>
      </c>
      <c r="E642" s="15" t="s">
        <v>500</v>
      </c>
      <c r="F642" s="15">
        <v>2</v>
      </c>
      <c r="G642" s="16">
        <f t="shared" si="40"/>
        <v>7326</v>
      </c>
      <c r="H642" s="16">
        <v>7326</v>
      </c>
      <c r="I642" s="16">
        <f t="shared" si="42"/>
        <v>0</v>
      </c>
      <c r="J642" s="31">
        <v>7326</v>
      </c>
      <c r="K642" s="69">
        <f t="shared" si="41"/>
        <v>0</v>
      </c>
      <c r="L642" s="50"/>
      <c r="M642" s="109"/>
      <c r="N642" s="110"/>
    </row>
    <row r="643" spans="1:14" ht="15" hidden="1" thickBot="1" x14ac:dyDescent="0.35">
      <c r="A643" s="14">
        <v>124</v>
      </c>
      <c r="B643" s="14" t="s">
        <v>732</v>
      </c>
      <c r="C643" s="14" t="s">
        <v>940</v>
      </c>
      <c r="D643" s="14" t="s">
        <v>733</v>
      </c>
      <c r="E643" s="15" t="s">
        <v>500</v>
      </c>
      <c r="F643" s="15">
        <v>2</v>
      </c>
      <c r="G643" s="16">
        <f t="shared" si="40"/>
        <v>3510</v>
      </c>
      <c r="H643" s="16">
        <v>3510</v>
      </c>
      <c r="I643" s="16">
        <f t="shared" si="42"/>
        <v>0</v>
      </c>
      <c r="J643" s="31">
        <v>3510</v>
      </c>
      <c r="K643" s="69">
        <f t="shared" si="41"/>
        <v>0</v>
      </c>
      <c r="L643" s="50"/>
      <c r="M643" s="109"/>
      <c r="N643" s="110"/>
    </row>
    <row r="644" spans="1:14" ht="15" hidden="1" thickBot="1" x14ac:dyDescent="0.35">
      <c r="A644" s="14">
        <v>124</v>
      </c>
      <c r="B644" s="14" t="s">
        <v>732</v>
      </c>
      <c r="C644" s="14" t="s">
        <v>940</v>
      </c>
      <c r="D644" s="14" t="s">
        <v>532</v>
      </c>
      <c r="E644" s="15" t="s">
        <v>500</v>
      </c>
      <c r="F644" s="15">
        <v>3</v>
      </c>
      <c r="G644" s="16">
        <f t="shared" si="40"/>
        <v>12300</v>
      </c>
      <c r="H644" s="16">
        <v>12300</v>
      </c>
      <c r="I644" s="16">
        <f t="shared" si="42"/>
        <v>0</v>
      </c>
      <c r="J644" s="31">
        <v>12300</v>
      </c>
      <c r="K644" s="69">
        <f t="shared" si="41"/>
        <v>0</v>
      </c>
      <c r="L644" s="50"/>
      <c r="M644" s="109"/>
      <c r="N644" s="110"/>
    </row>
    <row r="645" spans="1:14" ht="15" hidden="1" thickBot="1" x14ac:dyDescent="0.35">
      <c r="A645" s="14">
        <v>124</v>
      </c>
      <c r="B645" s="14" t="s">
        <v>732</v>
      </c>
      <c r="C645" s="14" t="s">
        <v>940</v>
      </c>
      <c r="D645" s="14" t="s">
        <v>513</v>
      </c>
      <c r="E645" s="15" t="s">
        <v>512</v>
      </c>
      <c r="F645" s="15"/>
      <c r="G645" s="16">
        <f t="shared" si="40"/>
        <v>1638</v>
      </c>
      <c r="H645" s="16">
        <v>1638</v>
      </c>
      <c r="I645" s="16">
        <f t="shared" si="42"/>
        <v>0</v>
      </c>
      <c r="J645" s="31">
        <v>1638</v>
      </c>
      <c r="K645" s="69">
        <f t="shared" si="41"/>
        <v>0</v>
      </c>
      <c r="L645" s="50"/>
      <c r="M645" s="109"/>
      <c r="N645" s="110"/>
    </row>
    <row r="646" spans="1:14" ht="15" hidden="1" thickBot="1" x14ac:dyDescent="0.35">
      <c r="A646" s="14">
        <v>124</v>
      </c>
      <c r="B646" s="14" t="s">
        <v>732</v>
      </c>
      <c r="C646" s="14" t="s">
        <v>664</v>
      </c>
      <c r="D646" s="14" t="s">
        <v>510</v>
      </c>
      <c r="E646" s="15" t="s">
        <v>512</v>
      </c>
      <c r="F646" s="15"/>
      <c r="G646" s="16">
        <f t="shared" si="40"/>
        <v>2090</v>
      </c>
      <c r="H646" s="16">
        <v>2090</v>
      </c>
      <c r="I646" s="16">
        <f t="shared" si="42"/>
        <v>0</v>
      </c>
      <c r="J646" s="31">
        <v>2090</v>
      </c>
      <c r="K646" s="69">
        <f t="shared" si="41"/>
        <v>0</v>
      </c>
      <c r="L646" s="50"/>
      <c r="M646" s="109"/>
      <c r="N646" s="110"/>
    </row>
    <row r="647" spans="1:14" ht="15" hidden="1" thickBot="1" x14ac:dyDescent="0.35">
      <c r="A647" s="14">
        <v>124</v>
      </c>
      <c r="B647" s="14" t="s">
        <v>732</v>
      </c>
      <c r="C647" s="14" t="s">
        <v>719</v>
      </c>
      <c r="D647" s="14" t="s">
        <v>527</v>
      </c>
      <c r="E647" s="15" t="s">
        <v>500</v>
      </c>
      <c r="F647" s="15">
        <v>1</v>
      </c>
      <c r="G647" s="16">
        <f t="shared" si="40"/>
        <v>5286</v>
      </c>
      <c r="H647" s="16">
        <v>5286</v>
      </c>
      <c r="I647" s="16">
        <f t="shared" si="42"/>
        <v>0</v>
      </c>
      <c r="J647" s="31">
        <v>5286</v>
      </c>
      <c r="K647" s="69">
        <f t="shared" si="41"/>
        <v>0</v>
      </c>
      <c r="L647" s="50"/>
      <c r="M647" s="109"/>
      <c r="N647" s="110"/>
    </row>
    <row r="648" spans="1:14" ht="15" hidden="1" thickBot="1" x14ac:dyDescent="0.35">
      <c r="A648" s="14">
        <v>124</v>
      </c>
      <c r="B648" s="14" t="s">
        <v>732</v>
      </c>
      <c r="C648" s="14" t="s">
        <v>734</v>
      </c>
      <c r="D648" s="14"/>
      <c r="E648" s="15"/>
      <c r="F648" s="15"/>
      <c r="G648" s="16">
        <f t="shared" si="40"/>
        <v>3167</v>
      </c>
      <c r="H648" s="16">
        <v>3167</v>
      </c>
      <c r="I648" s="16">
        <f t="shared" si="42"/>
        <v>0</v>
      </c>
      <c r="J648" s="31">
        <v>3167</v>
      </c>
      <c r="K648" s="69">
        <f t="shared" si="41"/>
        <v>0</v>
      </c>
      <c r="L648" s="50"/>
      <c r="M648" s="109"/>
      <c r="N648" s="110"/>
    </row>
    <row r="649" spans="1:14" ht="15" hidden="1" thickBot="1" x14ac:dyDescent="0.35">
      <c r="A649" s="14">
        <v>125</v>
      </c>
      <c r="B649" s="14" t="s">
        <v>735</v>
      </c>
      <c r="C649" s="14" t="s">
        <v>940</v>
      </c>
      <c r="D649" s="14" t="s">
        <v>614</v>
      </c>
      <c r="E649" s="15" t="s">
        <v>500</v>
      </c>
      <c r="F649" s="15">
        <v>6</v>
      </c>
      <c r="G649" s="16">
        <f t="shared" si="40"/>
        <v>44217</v>
      </c>
      <c r="H649" s="16">
        <v>44987</v>
      </c>
      <c r="I649" s="16">
        <f t="shared" si="42"/>
        <v>0</v>
      </c>
      <c r="J649" s="31">
        <v>44987</v>
      </c>
      <c r="K649" s="69">
        <f t="shared" si="41"/>
        <v>0</v>
      </c>
      <c r="L649" s="50">
        <v>770</v>
      </c>
      <c r="M649" s="109">
        <v>770</v>
      </c>
      <c r="N649" s="110"/>
    </row>
    <row r="650" spans="1:14" ht="15" hidden="1" thickBot="1" x14ac:dyDescent="0.35">
      <c r="A650" s="14">
        <v>125</v>
      </c>
      <c r="B650" s="14" t="s">
        <v>735</v>
      </c>
      <c r="C650" s="14" t="s">
        <v>940</v>
      </c>
      <c r="D650" s="14" t="s">
        <v>614</v>
      </c>
      <c r="E650" s="15" t="s">
        <v>509</v>
      </c>
      <c r="F650" s="15">
        <v>5</v>
      </c>
      <c r="G650" s="16">
        <f t="shared" si="40"/>
        <v>44987</v>
      </c>
      <c r="H650" s="16">
        <v>44987</v>
      </c>
      <c r="I650" s="16">
        <f t="shared" si="42"/>
        <v>0</v>
      </c>
      <c r="J650" s="31">
        <v>44987</v>
      </c>
      <c r="K650" s="69">
        <f t="shared" si="41"/>
        <v>0</v>
      </c>
      <c r="L650" s="50"/>
      <c r="M650" s="109"/>
      <c r="N650" s="110"/>
    </row>
    <row r="651" spans="1:14" ht="15" hidden="1" thickBot="1" x14ac:dyDescent="0.35">
      <c r="A651" s="14">
        <v>125</v>
      </c>
      <c r="B651" s="14" t="s">
        <v>735</v>
      </c>
      <c r="C651" s="14" t="s">
        <v>940</v>
      </c>
      <c r="D651" s="14" t="s">
        <v>510</v>
      </c>
      <c r="E651" s="15" t="s">
        <v>509</v>
      </c>
      <c r="F651" s="15">
        <v>6</v>
      </c>
      <c r="G651" s="16">
        <f t="shared" si="40"/>
        <v>17136</v>
      </c>
      <c r="H651" s="16">
        <v>17456</v>
      </c>
      <c r="I651" s="16">
        <f t="shared" si="42"/>
        <v>0</v>
      </c>
      <c r="J651" s="31">
        <v>17456</v>
      </c>
      <c r="K651" s="69">
        <f t="shared" si="41"/>
        <v>0</v>
      </c>
      <c r="L651" s="50">
        <v>320</v>
      </c>
      <c r="M651" s="109">
        <v>320</v>
      </c>
      <c r="N651" s="110"/>
    </row>
    <row r="652" spans="1:14" ht="15" hidden="1" thickBot="1" x14ac:dyDescent="0.35">
      <c r="A652" s="14">
        <v>125</v>
      </c>
      <c r="B652" s="14" t="s">
        <v>735</v>
      </c>
      <c r="C652" s="14" t="s">
        <v>940</v>
      </c>
      <c r="D652" s="14" t="s">
        <v>510</v>
      </c>
      <c r="E652" s="15" t="s">
        <v>500</v>
      </c>
      <c r="F652" s="15">
        <v>4</v>
      </c>
      <c r="G652" s="16">
        <f t="shared" si="40"/>
        <v>15225</v>
      </c>
      <c r="H652" s="16">
        <v>17075</v>
      </c>
      <c r="I652" s="16">
        <f t="shared" si="42"/>
        <v>0</v>
      </c>
      <c r="J652" s="31">
        <v>17075</v>
      </c>
      <c r="K652" s="69">
        <f t="shared" si="41"/>
        <v>0</v>
      </c>
      <c r="L652" s="50">
        <v>1850</v>
      </c>
      <c r="M652" s="109">
        <v>1850</v>
      </c>
      <c r="N652" s="110"/>
    </row>
    <row r="653" spans="1:14" ht="15" hidden="1" thickBot="1" x14ac:dyDescent="0.35">
      <c r="A653" s="14">
        <v>125</v>
      </c>
      <c r="B653" s="14" t="s">
        <v>735</v>
      </c>
      <c r="C653" s="14" t="s">
        <v>940</v>
      </c>
      <c r="D653" s="14" t="s">
        <v>760</v>
      </c>
      <c r="E653" s="15" t="s">
        <v>500</v>
      </c>
      <c r="F653" s="15">
        <v>6</v>
      </c>
      <c r="G653" s="16">
        <f t="shared" si="40"/>
        <v>47848</v>
      </c>
      <c r="H653" s="16">
        <v>48398</v>
      </c>
      <c r="I653" s="16">
        <f t="shared" si="42"/>
        <v>0</v>
      </c>
      <c r="J653" s="31">
        <v>48398</v>
      </c>
      <c r="K653" s="69">
        <f t="shared" si="41"/>
        <v>0</v>
      </c>
      <c r="L653" s="50">
        <v>550</v>
      </c>
      <c r="M653" s="109">
        <v>550</v>
      </c>
      <c r="N653" s="110"/>
    </row>
    <row r="654" spans="1:14" ht="15" hidden="1" thickBot="1" x14ac:dyDescent="0.35">
      <c r="A654" s="14">
        <v>126</v>
      </c>
      <c r="B654" s="14" t="s">
        <v>736</v>
      </c>
      <c r="C654" s="14" t="s">
        <v>940</v>
      </c>
      <c r="D654" s="14" t="s">
        <v>510</v>
      </c>
      <c r="E654" s="15" t="s">
        <v>503</v>
      </c>
      <c r="F654" s="15">
        <v>6</v>
      </c>
      <c r="G654" s="16">
        <f t="shared" si="40"/>
        <v>23720</v>
      </c>
      <c r="H654" s="16">
        <v>24060</v>
      </c>
      <c r="I654" s="16">
        <f t="shared" si="42"/>
        <v>0</v>
      </c>
      <c r="J654" s="31">
        <v>24060</v>
      </c>
      <c r="K654" s="69">
        <f t="shared" si="41"/>
        <v>0</v>
      </c>
      <c r="L654" s="50">
        <v>340</v>
      </c>
      <c r="M654" s="109">
        <v>340</v>
      </c>
      <c r="N654" s="110"/>
    </row>
    <row r="655" spans="1:14" ht="15" hidden="1" thickBot="1" x14ac:dyDescent="0.35">
      <c r="A655" s="14">
        <v>126</v>
      </c>
      <c r="B655" s="14" t="s">
        <v>736</v>
      </c>
      <c r="C655" s="14" t="s">
        <v>940</v>
      </c>
      <c r="D655" s="14" t="s">
        <v>614</v>
      </c>
      <c r="E655" s="15" t="s">
        <v>503</v>
      </c>
      <c r="F655" s="15">
        <v>5</v>
      </c>
      <c r="G655" s="16">
        <f t="shared" si="40"/>
        <v>17540</v>
      </c>
      <c r="H655" s="16">
        <v>18000</v>
      </c>
      <c r="I655" s="16">
        <f t="shared" si="42"/>
        <v>0</v>
      </c>
      <c r="J655" s="31">
        <v>18000</v>
      </c>
      <c r="K655" s="69">
        <f t="shared" si="41"/>
        <v>0</v>
      </c>
      <c r="L655" s="50">
        <v>460</v>
      </c>
      <c r="M655" s="109">
        <v>460</v>
      </c>
      <c r="N655" s="110"/>
    </row>
    <row r="656" spans="1:14" ht="15" hidden="1" thickBot="1" x14ac:dyDescent="0.35">
      <c r="A656" s="14">
        <v>126</v>
      </c>
      <c r="B656" s="14" t="s">
        <v>736</v>
      </c>
      <c r="C656" s="14" t="s">
        <v>940</v>
      </c>
      <c r="D656" s="14" t="s">
        <v>524</v>
      </c>
      <c r="E656" s="15" t="s">
        <v>503</v>
      </c>
      <c r="F656" s="15">
        <v>4</v>
      </c>
      <c r="G656" s="16">
        <f t="shared" si="40"/>
        <v>14895</v>
      </c>
      <c r="H656" s="16">
        <v>14895</v>
      </c>
      <c r="I656" s="16">
        <f t="shared" si="42"/>
        <v>0</v>
      </c>
      <c r="J656" s="31">
        <v>14895</v>
      </c>
      <c r="K656" s="69">
        <f t="shared" si="41"/>
        <v>0</v>
      </c>
      <c r="L656" s="50"/>
      <c r="M656" s="109"/>
      <c r="N656" s="110"/>
    </row>
    <row r="657" spans="1:14" ht="15" hidden="1" thickBot="1" x14ac:dyDescent="0.35">
      <c r="A657" s="14">
        <v>126</v>
      </c>
      <c r="B657" s="14" t="s">
        <v>736</v>
      </c>
      <c r="C657" s="14" t="s">
        <v>940</v>
      </c>
      <c r="D657" s="14" t="s">
        <v>1829</v>
      </c>
      <c r="E657" s="15" t="s">
        <v>506</v>
      </c>
      <c r="F657" s="15">
        <v>0</v>
      </c>
      <c r="G657" s="16">
        <f t="shared" si="40"/>
        <v>6840</v>
      </c>
      <c r="H657" s="16">
        <v>6840</v>
      </c>
      <c r="I657" s="16">
        <f t="shared" si="42"/>
        <v>0</v>
      </c>
      <c r="J657" s="31">
        <v>6840</v>
      </c>
      <c r="K657" s="69">
        <f t="shared" si="41"/>
        <v>0</v>
      </c>
      <c r="L657" s="50"/>
      <c r="M657" s="109"/>
      <c r="N657" s="110"/>
    </row>
    <row r="658" spans="1:14" ht="15" hidden="1" thickBot="1" x14ac:dyDescent="0.35">
      <c r="A658" s="14">
        <v>127</v>
      </c>
      <c r="B658" s="14" t="s">
        <v>737</v>
      </c>
      <c r="C658" s="14" t="s">
        <v>940</v>
      </c>
      <c r="D658" s="14" t="s">
        <v>614</v>
      </c>
      <c r="E658" s="15" t="s">
        <v>506</v>
      </c>
      <c r="F658" s="15">
        <v>7</v>
      </c>
      <c r="G658" s="16">
        <f t="shared" si="40"/>
        <v>62123</v>
      </c>
      <c r="H658" s="16">
        <v>63648</v>
      </c>
      <c r="I658" s="16">
        <f t="shared" si="42"/>
        <v>0</v>
      </c>
      <c r="J658" s="31">
        <v>63648</v>
      </c>
      <c r="K658" s="69">
        <f t="shared" si="41"/>
        <v>0</v>
      </c>
      <c r="L658" s="50">
        <v>1525</v>
      </c>
      <c r="M658" s="109">
        <v>1525</v>
      </c>
      <c r="N658" s="110"/>
    </row>
    <row r="659" spans="1:14" ht="15" hidden="1" thickBot="1" x14ac:dyDescent="0.35">
      <c r="A659" s="14">
        <v>127</v>
      </c>
      <c r="B659" s="14" t="s">
        <v>737</v>
      </c>
      <c r="C659" s="14" t="s">
        <v>940</v>
      </c>
      <c r="D659" s="14" t="s">
        <v>510</v>
      </c>
      <c r="E659" s="15" t="s">
        <v>506</v>
      </c>
      <c r="F659" s="15">
        <v>10</v>
      </c>
      <c r="G659" s="16">
        <f t="shared" si="40"/>
        <v>26186</v>
      </c>
      <c r="H659" s="16">
        <v>28366</v>
      </c>
      <c r="I659" s="16">
        <f t="shared" si="42"/>
        <v>0</v>
      </c>
      <c r="J659" s="31">
        <v>28366</v>
      </c>
      <c r="K659" s="69">
        <f t="shared" si="41"/>
        <v>0</v>
      </c>
      <c r="L659" s="50">
        <v>2180</v>
      </c>
      <c r="M659" s="109">
        <v>2180</v>
      </c>
      <c r="N659" s="110"/>
    </row>
    <row r="660" spans="1:14" ht="15" hidden="1" thickBot="1" x14ac:dyDescent="0.35">
      <c r="A660" s="14">
        <v>128</v>
      </c>
      <c r="B660" s="14" t="s">
        <v>738</v>
      </c>
      <c r="C660" s="14" t="s">
        <v>940</v>
      </c>
      <c r="D660" s="14" t="s">
        <v>513</v>
      </c>
      <c r="E660" s="15" t="s">
        <v>512</v>
      </c>
      <c r="F660" s="15">
        <v>5</v>
      </c>
      <c r="G660" s="16">
        <f t="shared" si="40"/>
        <v>13797</v>
      </c>
      <c r="H660" s="16">
        <v>13797</v>
      </c>
      <c r="I660" s="16">
        <f t="shared" si="42"/>
        <v>0</v>
      </c>
      <c r="J660" s="31">
        <v>13797</v>
      </c>
      <c r="K660" s="69">
        <f t="shared" si="41"/>
        <v>0</v>
      </c>
      <c r="L660" s="50"/>
      <c r="M660" s="109"/>
      <c r="N660" s="110"/>
    </row>
    <row r="661" spans="1:14" ht="15" hidden="1" thickBot="1" x14ac:dyDescent="0.35">
      <c r="A661" s="14">
        <v>129</v>
      </c>
      <c r="B661" s="14" t="s">
        <v>739</v>
      </c>
      <c r="C661" s="14" t="s">
        <v>940</v>
      </c>
      <c r="D661" s="14" t="s">
        <v>507</v>
      </c>
      <c r="E661" s="15" t="s">
        <v>504</v>
      </c>
      <c r="F661" s="15">
        <v>8</v>
      </c>
      <c r="G661" s="16">
        <f t="shared" ref="G661:G724" si="43">H661-M661</f>
        <v>23981</v>
      </c>
      <c r="H661" s="16">
        <v>26921</v>
      </c>
      <c r="I661" s="16">
        <f t="shared" si="42"/>
        <v>0</v>
      </c>
      <c r="J661" s="31">
        <v>26921</v>
      </c>
      <c r="K661" s="69">
        <f t="shared" si="41"/>
        <v>0</v>
      </c>
      <c r="L661" s="50">
        <v>2940</v>
      </c>
      <c r="M661" s="109">
        <v>2940</v>
      </c>
      <c r="N661" s="110"/>
    </row>
    <row r="662" spans="1:14" ht="15" hidden="1" thickBot="1" x14ac:dyDescent="0.35">
      <c r="A662" s="14">
        <v>129</v>
      </c>
      <c r="B662" s="14" t="s">
        <v>739</v>
      </c>
      <c r="C662" s="14" t="s">
        <v>940</v>
      </c>
      <c r="D662" s="14" t="s">
        <v>548</v>
      </c>
      <c r="E662" s="15" t="s">
        <v>504</v>
      </c>
      <c r="F662" s="15"/>
      <c r="G662" s="16">
        <f t="shared" si="43"/>
        <v>2160</v>
      </c>
      <c r="H662" s="16">
        <v>2160</v>
      </c>
      <c r="I662" s="16">
        <f t="shared" si="42"/>
        <v>0</v>
      </c>
      <c r="J662" s="31">
        <v>2160</v>
      </c>
      <c r="K662" s="69">
        <f t="shared" si="41"/>
        <v>0</v>
      </c>
      <c r="L662" s="50"/>
      <c r="M662" s="109"/>
      <c r="N662" s="110"/>
    </row>
    <row r="663" spans="1:14" ht="15" hidden="1" thickBot="1" x14ac:dyDescent="0.35">
      <c r="A663" s="14">
        <v>129</v>
      </c>
      <c r="B663" s="14" t="s">
        <v>739</v>
      </c>
      <c r="C663" s="14" t="s">
        <v>940</v>
      </c>
      <c r="D663" s="14" t="s">
        <v>505</v>
      </c>
      <c r="E663" s="15" t="s">
        <v>504</v>
      </c>
      <c r="F663" s="15">
        <v>6</v>
      </c>
      <c r="G663" s="16">
        <f t="shared" si="43"/>
        <v>13744</v>
      </c>
      <c r="H663" s="16">
        <v>14644</v>
      </c>
      <c r="I663" s="16">
        <f t="shared" si="42"/>
        <v>0</v>
      </c>
      <c r="J663" s="31">
        <v>14644</v>
      </c>
      <c r="K663" s="69">
        <f t="shared" ref="K663:K726" si="44">M663-L663</f>
        <v>0</v>
      </c>
      <c r="L663" s="50">
        <v>900</v>
      </c>
      <c r="M663" s="109">
        <v>900</v>
      </c>
      <c r="N663" s="110"/>
    </row>
    <row r="664" spans="1:14" ht="15" hidden="1" thickBot="1" x14ac:dyDescent="0.35">
      <c r="A664" s="14">
        <v>130</v>
      </c>
      <c r="B664" s="14" t="s">
        <v>740</v>
      </c>
      <c r="C664" s="14" t="s">
        <v>602</v>
      </c>
      <c r="D664" s="14" t="s">
        <v>532</v>
      </c>
      <c r="E664" s="15" t="s">
        <v>500</v>
      </c>
      <c r="F664" s="15">
        <v>6</v>
      </c>
      <c r="G664" s="16">
        <f t="shared" si="43"/>
        <v>7349</v>
      </c>
      <c r="H664" s="16">
        <v>7349</v>
      </c>
      <c r="I664" s="16">
        <f t="shared" si="42"/>
        <v>0</v>
      </c>
      <c r="J664" s="31">
        <v>7349</v>
      </c>
      <c r="K664" s="69">
        <f t="shared" si="44"/>
        <v>0</v>
      </c>
      <c r="L664" s="50"/>
      <c r="M664" s="109"/>
      <c r="N664" s="110"/>
    </row>
    <row r="665" spans="1:14" ht="15" hidden="1" thickBot="1" x14ac:dyDescent="0.35">
      <c r="A665" s="14">
        <v>130</v>
      </c>
      <c r="B665" s="14" t="s">
        <v>740</v>
      </c>
      <c r="C665" s="14" t="s">
        <v>602</v>
      </c>
      <c r="D665" s="14" t="s">
        <v>527</v>
      </c>
      <c r="E665" s="15" t="s">
        <v>500</v>
      </c>
      <c r="F665" s="15">
        <v>7</v>
      </c>
      <c r="G665" s="16">
        <f t="shared" si="43"/>
        <v>9389</v>
      </c>
      <c r="H665" s="16">
        <v>9989</v>
      </c>
      <c r="I665" s="16">
        <f t="shared" si="42"/>
        <v>0</v>
      </c>
      <c r="J665" s="31">
        <v>9989</v>
      </c>
      <c r="K665" s="69">
        <f t="shared" si="44"/>
        <v>0</v>
      </c>
      <c r="L665" s="50">
        <v>600</v>
      </c>
      <c r="M665" s="109">
        <v>600</v>
      </c>
      <c r="N665" s="110"/>
    </row>
    <row r="666" spans="1:14" ht="15" hidden="1" thickBot="1" x14ac:dyDescent="0.35">
      <c r="A666" s="14">
        <v>130</v>
      </c>
      <c r="B666" s="14" t="s">
        <v>740</v>
      </c>
      <c r="C666" s="14" t="s">
        <v>602</v>
      </c>
      <c r="D666" s="14" t="s">
        <v>761</v>
      </c>
      <c r="E666" s="15" t="s">
        <v>500</v>
      </c>
      <c r="F666" s="15">
        <v>1</v>
      </c>
      <c r="G666" s="16">
        <f t="shared" si="43"/>
        <v>1203</v>
      </c>
      <c r="H666" s="16">
        <v>1203</v>
      </c>
      <c r="I666" s="16">
        <f t="shared" si="42"/>
        <v>0</v>
      </c>
      <c r="J666" s="31">
        <v>1203</v>
      </c>
      <c r="K666" s="69">
        <f t="shared" si="44"/>
        <v>0</v>
      </c>
      <c r="L666" s="50"/>
      <c r="M666" s="109"/>
      <c r="N666" s="110"/>
    </row>
    <row r="667" spans="1:14" ht="15" hidden="1" thickBot="1" x14ac:dyDescent="0.35">
      <c r="A667" s="14">
        <v>131</v>
      </c>
      <c r="B667" s="14" t="s">
        <v>741</v>
      </c>
      <c r="C667" s="14" t="s">
        <v>603</v>
      </c>
      <c r="D667" s="14" t="s">
        <v>519</v>
      </c>
      <c r="E667" s="15" t="s">
        <v>503</v>
      </c>
      <c r="F667" s="15">
        <v>2</v>
      </c>
      <c r="G667" s="16">
        <f t="shared" si="43"/>
        <v>12212</v>
      </c>
      <c r="H667" s="16">
        <v>12332</v>
      </c>
      <c r="I667" s="16">
        <f t="shared" si="42"/>
        <v>0</v>
      </c>
      <c r="J667" s="31">
        <v>12332</v>
      </c>
      <c r="K667" s="69">
        <f t="shared" si="44"/>
        <v>0</v>
      </c>
      <c r="L667" s="50">
        <v>120</v>
      </c>
      <c r="M667" s="109">
        <v>120</v>
      </c>
      <c r="N667" s="110"/>
    </row>
    <row r="668" spans="1:14" ht="15" hidden="1" thickBot="1" x14ac:dyDescent="0.35">
      <c r="A668" s="14">
        <v>131</v>
      </c>
      <c r="B668" s="14" t="s">
        <v>741</v>
      </c>
      <c r="C668" s="14" t="s">
        <v>602</v>
      </c>
      <c r="D668" s="14" t="s">
        <v>519</v>
      </c>
      <c r="E668" s="15" t="s">
        <v>503</v>
      </c>
      <c r="F668" s="15">
        <v>6</v>
      </c>
      <c r="G668" s="16">
        <f t="shared" si="43"/>
        <v>6413</v>
      </c>
      <c r="H668" s="16">
        <v>6413</v>
      </c>
      <c r="I668" s="16">
        <f t="shared" si="42"/>
        <v>0</v>
      </c>
      <c r="J668" s="31">
        <v>6413</v>
      </c>
      <c r="K668" s="69">
        <f t="shared" si="44"/>
        <v>0</v>
      </c>
      <c r="L668" s="50"/>
      <c r="M668" s="109"/>
      <c r="N668" s="110"/>
    </row>
    <row r="669" spans="1:14" ht="15" hidden="1" thickBot="1" x14ac:dyDescent="0.35">
      <c r="A669" s="14">
        <v>131</v>
      </c>
      <c r="B669" s="14" t="s">
        <v>741</v>
      </c>
      <c r="C669" s="14" t="s">
        <v>602</v>
      </c>
      <c r="D669" s="14" t="s">
        <v>614</v>
      </c>
      <c r="E669" s="15" t="s">
        <v>499</v>
      </c>
      <c r="F669" s="15"/>
      <c r="G669" s="16">
        <f t="shared" si="43"/>
        <v>3960</v>
      </c>
      <c r="H669" s="16">
        <v>3960</v>
      </c>
      <c r="I669" s="16">
        <f t="shared" si="42"/>
        <v>0</v>
      </c>
      <c r="J669" s="31">
        <v>3960</v>
      </c>
      <c r="K669" s="69">
        <f t="shared" si="44"/>
        <v>0</v>
      </c>
      <c r="L669" s="50"/>
      <c r="M669" s="109"/>
      <c r="N669" s="110"/>
    </row>
    <row r="670" spans="1:14" ht="15" hidden="1" thickBot="1" x14ac:dyDescent="0.35">
      <c r="A670" s="14">
        <v>132</v>
      </c>
      <c r="B670" s="14" t="s">
        <v>742</v>
      </c>
      <c r="C670" s="14" t="s">
        <v>602</v>
      </c>
      <c r="D670" s="14" t="s">
        <v>517</v>
      </c>
      <c r="E670" s="15" t="s">
        <v>502</v>
      </c>
      <c r="F670" s="15">
        <v>6</v>
      </c>
      <c r="G670" s="16">
        <f t="shared" si="43"/>
        <v>7300</v>
      </c>
      <c r="H670" s="16">
        <v>7450</v>
      </c>
      <c r="I670" s="16">
        <f t="shared" si="42"/>
        <v>0</v>
      </c>
      <c r="J670" s="31">
        <v>7450</v>
      </c>
      <c r="K670" s="69">
        <f t="shared" si="44"/>
        <v>0</v>
      </c>
      <c r="L670" s="50">
        <v>150</v>
      </c>
      <c r="M670" s="109">
        <v>150</v>
      </c>
      <c r="N670" s="110"/>
    </row>
    <row r="671" spans="1:14" ht="15" hidden="1" thickBot="1" x14ac:dyDescent="0.35">
      <c r="A671" s="14">
        <v>133</v>
      </c>
      <c r="B671" s="14" t="s">
        <v>743</v>
      </c>
      <c r="C671" s="14" t="s">
        <v>602</v>
      </c>
      <c r="D671" s="14" t="s">
        <v>511</v>
      </c>
      <c r="E671" s="15" t="s">
        <v>503</v>
      </c>
      <c r="F671" s="15">
        <v>5</v>
      </c>
      <c r="G671" s="16">
        <f t="shared" si="43"/>
        <v>3818.5</v>
      </c>
      <c r="H671" s="16">
        <v>5318.5</v>
      </c>
      <c r="I671" s="16">
        <f t="shared" si="42"/>
        <v>0</v>
      </c>
      <c r="J671" s="31">
        <v>5318.5</v>
      </c>
      <c r="K671" s="69">
        <f t="shared" si="44"/>
        <v>0</v>
      </c>
      <c r="L671" s="50">
        <v>1500</v>
      </c>
      <c r="M671" s="109">
        <v>1500</v>
      </c>
      <c r="N671" s="110"/>
    </row>
    <row r="672" spans="1:14" ht="15" hidden="1" thickBot="1" x14ac:dyDescent="0.35">
      <c r="A672" s="14">
        <v>133</v>
      </c>
      <c r="B672" s="14" t="s">
        <v>743</v>
      </c>
      <c r="C672" s="14" t="s">
        <v>602</v>
      </c>
      <c r="D672" s="14" t="s">
        <v>720</v>
      </c>
      <c r="E672" s="15" t="s">
        <v>508</v>
      </c>
      <c r="F672" s="15">
        <v>2</v>
      </c>
      <c r="G672" s="16">
        <f t="shared" si="43"/>
        <v>2535</v>
      </c>
      <c r="H672" s="16">
        <v>4515</v>
      </c>
      <c r="I672" s="16">
        <f t="shared" si="42"/>
        <v>0</v>
      </c>
      <c r="J672" s="31">
        <v>4515</v>
      </c>
      <c r="K672" s="69">
        <f t="shared" si="44"/>
        <v>0</v>
      </c>
      <c r="L672" s="50">
        <v>1980</v>
      </c>
      <c r="M672" s="109">
        <v>1980</v>
      </c>
      <c r="N672" s="110"/>
    </row>
    <row r="673" spans="1:14" ht="15" hidden="1" thickBot="1" x14ac:dyDescent="0.35">
      <c r="A673" s="14">
        <v>133</v>
      </c>
      <c r="B673" s="14" t="s">
        <v>743</v>
      </c>
      <c r="C673" s="14" t="s">
        <v>602</v>
      </c>
      <c r="D673" s="14" t="s">
        <v>614</v>
      </c>
      <c r="E673" s="15" t="s">
        <v>502</v>
      </c>
      <c r="F673" s="15"/>
      <c r="G673" s="16">
        <f t="shared" si="43"/>
        <v>2520</v>
      </c>
      <c r="H673" s="16">
        <v>2520</v>
      </c>
      <c r="I673" s="16">
        <f t="shared" si="42"/>
        <v>0</v>
      </c>
      <c r="J673" s="31">
        <v>2520</v>
      </c>
      <c r="K673" s="69">
        <f t="shared" si="44"/>
        <v>0</v>
      </c>
      <c r="L673" s="50"/>
      <c r="M673" s="109"/>
      <c r="N673" s="110"/>
    </row>
    <row r="674" spans="1:14" ht="15" hidden="1" thickBot="1" x14ac:dyDescent="0.35">
      <c r="A674" s="14">
        <v>134</v>
      </c>
      <c r="B674" s="14" t="s">
        <v>744</v>
      </c>
      <c r="C674" s="20" t="s">
        <v>602</v>
      </c>
      <c r="D674" s="14" t="s">
        <v>513</v>
      </c>
      <c r="E674" s="15" t="s">
        <v>546</v>
      </c>
      <c r="F674" s="15">
        <v>6</v>
      </c>
      <c r="G674" s="16">
        <f t="shared" si="43"/>
        <v>12663</v>
      </c>
      <c r="H674" s="16">
        <v>16893</v>
      </c>
      <c r="I674" s="16">
        <f t="shared" si="42"/>
        <v>0</v>
      </c>
      <c r="J674" s="31">
        <v>16893</v>
      </c>
      <c r="K674" s="69">
        <f t="shared" si="44"/>
        <v>0</v>
      </c>
      <c r="L674" s="50">
        <v>4230</v>
      </c>
      <c r="M674" s="109">
        <v>4230</v>
      </c>
      <c r="N674" s="110">
        <v>1</v>
      </c>
    </row>
    <row r="675" spans="1:14" ht="15" hidden="1" thickBot="1" x14ac:dyDescent="0.35">
      <c r="A675" s="14">
        <v>134</v>
      </c>
      <c r="B675" s="14" t="s">
        <v>744</v>
      </c>
      <c r="C675" s="20" t="s">
        <v>602</v>
      </c>
      <c r="D675" s="14" t="s">
        <v>614</v>
      </c>
      <c r="E675" s="15" t="s">
        <v>502</v>
      </c>
      <c r="F675" s="15">
        <v>6</v>
      </c>
      <c r="G675" s="16">
        <f t="shared" si="43"/>
        <v>25390</v>
      </c>
      <c r="H675" s="16">
        <v>39060</v>
      </c>
      <c r="I675" s="16">
        <f t="shared" si="42"/>
        <v>0</v>
      </c>
      <c r="J675" s="31">
        <v>39060</v>
      </c>
      <c r="K675" s="69">
        <f t="shared" si="44"/>
        <v>0</v>
      </c>
      <c r="L675" s="50">
        <v>13670</v>
      </c>
      <c r="M675" s="109">
        <v>13670</v>
      </c>
      <c r="N675" s="110">
        <v>0.9</v>
      </c>
    </row>
    <row r="676" spans="1:14" ht="15" hidden="1" thickBot="1" x14ac:dyDescent="0.35">
      <c r="A676" s="14">
        <v>134</v>
      </c>
      <c r="B676" s="14" t="s">
        <v>744</v>
      </c>
      <c r="C676" s="20" t="s">
        <v>602</v>
      </c>
      <c r="D676" s="14" t="s">
        <v>614</v>
      </c>
      <c r="E676" s="15" t="s">
        <v>499</v>
      </c>
      <c r="F676" s="15">
        <v>8</v>
      </c>
      <c r="G676" s="16">
        <f t="shared" si="43"/>
        <v>21359</v>
      </c>
      <c r="H676" s="16">
        <v>38419</v>
      </c>
      <c r="I676" s="16">
        <f t="shared" si="42"/>
        <v>0</v>
      </c>
      <c r="J676" s="31">
        <v>38419</v>
      </c>
      <c r="K676" s="69">
        <f t="shared" si="44"/>
        <v>0</v>
      </c>
      <c r="L676" s="50">
        <v>17060</v>
      </c>
      <c r="M676" s="109">
        <v>17060</v>
      </c>
      <c r="N676" s="110" t="s">
        <v>1325</v>
      </c>
    </row>
    <row r="677" spans="1:14" ht="15" hidden="1" thickBot="1" x14ac:dyDescent="0.35">
      <c r="A677" s="14">
        <v>134</v>
      </c>
      <c r="B677" s="14" t="s">
        <v>744</v>
      </c>
      <c r="C677" s="20" t="s">
        <v>602</v>
      </c>
      <c r="D677" s="14" t="s">
        <v>522</v>
      </c>
      <c r="E677" s="15" t="s">
        <v>502</v>
      </c>
      <c r="F677" s="15">
        <v>7</v>
      </c>
      <c r="G677" s="16">
        <f t="shared" si="43"/>
        <v>12584</v>
      </c>
      <c r="H677" s="16">
        <v>15204</v>
      </c>
      <c r="I677" s="16">
        <f t="shared" ref="I677:I745" si="45">J677-H677</f>
        <v>0</v>
      </c>
      <c r="J677" s="31">
        <v>15204</v>
      </c>
      <c r="K677" s="69">
        <f t="shared" si="44"/>
        <v>0</v>
      </c>
      <c r="L677" s="50">
        <v>2620</v>
      </c>
      <c r="M677" s="109">
        <v>2620</v>
      </c>
      <c r="N677" s="110">
        <v>0.9</v>
      </c>
    </row>
    <row r="678" spans="1:14" ht="15" hidden="1" thickBot="1" x14ac:dyDescent="0.35">
      <c r="A678" s="14">
        <v>134</v>
      </c>
      <c r="B678" s="14" t="s">
        <v>744</v>
      </c>
      <c r="C678" s="20" t="s">
        <v>602</v>
      </c>
      <c r="D678" s="14" t="s">
        <v>507</v>
      </c>
      <c r="E678" s="15" t="s">
        <v>504</v>
      </c>
      <c r="F678" s="15">
        <v>6</v>
      </c>
      <c r="G678" s="16">
        <f t="shared" si="43"/>
        <v>14003</v>
      </c>
      <c r="H678" s="16">
        <v>16893</v>
      </c>
      <c r="I678" s="16">
        <f t="shared" si="45"/>
        <v>0</v>
      </c>
      <c r="J678" s="31">
        <v>16893</v>
      </c>
      <c r="K678" s="69">
        <f t="shared" si="44"/>
        <v>0</v>
      </c>
      <c r="L678" s="50">
        <v>2890</v>
      </c>
      <c r="M678" s="109">
        <v>2890</v>
      </c>
      <c r="N678" s="110">
        <v>1</v>
      </c>
    </row>
    <row r="679" spans="1:14" ht="15" hidden="1" thickBot="1" x14ac:dyDescent="0.35">
      <c r="A679" s="14">
        <v>134</v>
      </c>
      <c r="B679" s="14" t="s">
        <v>744</v>
      </c>
      <c r="C679" s="20" t="s">
        <v>602</v>
      </c>
      <c r="D679" s="14" t="s">
        <v>614</v>
      </c>
      <c r="E679" s="15" t="s">
        <v>509</v>
      </c>
      <c r="F679" s="15">
        <v>9</v>
      </c>
      <c r="G679" s="16">
        <f t="shared" si="43"/>
        <v>43489</v>
      </c>
      <c r="H679" s="16">
        <v>44899</v>
      </c>
      <c r="I679" s="16">
        <f t="shared" si="45"/>
        <v>0</v>
      </c>
      <c r="J679" s="31">
        <v>44899</v>
      </c>
      <c r="K679" s="69">
        <f t="shared" si="44"/>
        <v>0</v>
      </c>
      <c r="L679" s="50">
        <v>1410</v>
      </c>
      <c r="M679" s="109">
        <v>1410</v>
      </c>
      <c r="N679" s="110">
        <v>0.93</v>
      </c>
    </row>
    <row r="680" spans="1:14" ht="15" hidden="1" thickBot="1" x14ac:dyDescent="0.35">
      <c r="A680" s="14">
        <v>134</v>
      </c>
      <c r="B680" s="14" t="s">
        <v>744</v>
      </c>
      <c r="C680" s="20" t="s">
        <v>602</v>
      </c>
      <c r="D680" s="14" t="s">
        <v>614</v>
      </c>
      <c r="E680" s="15" t="s">
        <v>512</v>
      </c>
      <c r="F680" s="15">
        <v>8</v>
      </c>
      <c r="G680" s="16">
        <f t="shared" si="43"/>
        <v>43553</v>
      </c>
      <c r="H680" s="16">
        <v>46353</v>
      </c>
      <c r="I680" s="16">
        <f t="shared" si="45"/>
        <v>0</v>
      </c>
      <c r="J680" s="31">
        <v>46353</v>
      </c>
      <c r="K680" s="69">
        <f t="shared" si="44"/>
        <v>0</v>
      </c>
      <c r="L680" s="50">
        <v>2800</v>
      </c>
      <c r="M680" s="109">
        <v>2800</v>
      </c>
      <c r="N680" s="110">
        <v>0.96</v>
      </c>
    </row>
    <row r="681" spans="1:14" ht="15" hidden="1" thickBot="1" x14ac:dyDescent="0.35">
      <c r="A681" s="14">
        <v>134</v>
      </c>
      <c r="B681" s="14" t="s">
        <v>744</v>
      </c>
      <c r="C681" s="20" t="s">
        <v>602</v>
      </c>
      <c r="D681" s="14" t="s">
        <v>524</v>
      </c>
      <c r="E681" s="15" t="s">
        <v>503</v>
      </c>
      <c r="F681" s="15">
        <v>8</v>
      </c>
      <c r="G681" s="16">
        <f t="shared" si="43"/>
        <v>13234</v>
      </c>
      <c r="H681" s="16">
        <v>15204</v>
      </c>
      <c r="I681" s="16">
        <f t="shared" si="45"/>
        <v>0</v>
      </c>
      <c r="J681" s="31">
        <v>15204</v>
      </c>
      <c r="K681" s="69">
        <f t="shared" si="44"/>
        <v>0</v>
      </c>
      <c r="L681" s="50">
        <v>1970</v>
      </c>
      <c r="M681" s="109">
        <v>1970</v>
      </c>
      <c r="N681" s="110">
        <v>0.9</v>
      </c>
    </row>
    <row r="682" spans="1:14" ht="15" hidden="1" thickBot="1" x14ac:dyDescent="0.35">
      <c r="A682" s="14">
        <v>134</v>
      </c>
      <c r="B682" s="14" t="s">
        <v>744</v>
      </c>
      <c r="C682" s="20" t="s">
        <v>602</v>
      </c>
      <c r="D682" s="14" t="s">
        <v>614</v>
      </c>
      <c r="E682" s="15" t="s">
        <v>503</v>
      </c>
      <c r="F682" s="15">
        <v>8</v>
      </c>
      <c r="G682" s="16">
        <f t="shared" si="43"/>
        <v>31650</v>
      </c>
      <c r="H682" s="16">
        <v>39060</v>
      </c>
      <c r="I682" s="16">
        <f t="shared" si="45"/>
        <v>0</v>
      </c>
      <c r="J682" s="31">
        <v>39060</v>
      </c>
      <c r="K682" s="69">
        <f t="shared" si="44"/>
        <v>0</v>
      </c>
      <c r="L682" s="50">
        <v>7410</v>
      </c>
      <c r="M682" s="109">
        <v>7410</v>
      </c>
      <c r="N682" s="110">
        <v>0.9</v>
      </c>
    </row>
    <row r="683" spans="1:14" ht="15" hidden="1" thickBot="1" x14ac:dyDescent="0.35">
      <c r="A683" s="14">
        <v>134</v>
      </c>
      <c r="B683" s="14" t="s">
        <v>744</v>
      </c>
      <c r="C683" s="20" t="s">
        <v>602</v>
      </c>
      <c r="D683" s="14" t="s">
        <v>614</v>
      </c>
      <c r="E683" s="15" t="s">
        <v>500</v>
      </c>
      <c r="F683" s="15">
        <v>13</v>
      </c>
      <c r="G683" s="16">
        <f t="shared" si="43"/>
        <v>43074</v>
      </c>
      <c r="H683" s="16">
        <v>48284</v>
      </c>
      <c r="I683" s="16">
        <f t="shared" si="45"/>
        <v>0</v>
      </c>
      <c r="J683" s="31">
        <v>48284</v>
      </c>
      <c r="K683" s="69">
        <f t="shared" si="44"/>
        <v>0</v>
      </c>
      <c r="L683" s="50">
        <v>5210</v>
      </c>
      <c r="M683" s="109">
        <v>5210</v>
      </c>
      <c r="N683" s="110">
        <v>1</v>
      </c>
    </row>
    <row r="684" spans="1:14" ht="15" hidden="1" thickBot="1" x14ac:dyDescent="0.35">
      <c r="A684" s="14">
        <v>134</v>
      </c>
      <c r="B684" s="14" t="s">
        <v>744</v>
      </c>
      <c r="C684" s="20" t="s">
        <v>602</v>
      </c>
      <c r="D684" s="14" t="s">
        <v>505</v>
      </c>
      <c r="E684" s="15" t="s">
        <v>504</v>
      </c>
      <c r="F684" s="15">
        <v>6</v>
      </c>
      <c r="G684" s="16">
        <f t="shared" si="43"/>
        <v>12893</v>
      </c>
      <c r="H684" s="16">
        <v>16893</v>
      </c>
      <c r="I684" s="16">
        <f t="shared" si="45"/>
        <v>0</v>
      </c>
      <c r="J684" s="31">
        <v>16893</v>
      </c>
      <c r="K684" s="69">
        <f t="shared" si="44"/>
        <v>0</v>
      </c>
      <c r="L684" s="50">
        <v>4000</v>
      </c>
      <c r="M684" s="109">
        <v>4000</v>
      </c>
      <c r="N684" s="110">
        <v>1</v>
      </c>
    </row>
    <row r="685" spans="1:14" ht="15" hidden="1" thickBot="1" x14ac:dyDescent="0.35">
      <c r="A685" s="14">
        <v>134</v>
      </c>
      <c r="B685" s="14" t="s">
        <v>744</v>
      </c>
      <c r="C685" s="20" t="s">
        <v>602</v>
      </c>
      <c r="D685" s="14" t="s">
        <v>510</v>
      </c>
      <c r="E685" s="15" t="s">
        <v>502</v>
      </c>
      <c r="F685" s="15">
        <v>8</v>
      </c>
      <c r="G685" s="16">
        <f t="shared" si="43"/>
        <v>11915</v>
      </c>
      <c r="H685" s="16">
        <v>17715</v>
      </c>
      <c r="I685" s="16">
        <f t="shared" si="45"/>
        <v>0</v>
      </c>
      <c r="J685" s="31">
        <v>17715</v>
      </c>
      <c r="K685" s="69">
        <f t="shared" si="44"/>
        <v>0</v>
      </c>
      <c r="L685" s="50">
        <v>5800</v>
      </c>
      <c r="M685" s="109">
        <v>5800</v>
      </c>
      <c r="N685" s="110">
        <v>0.9</v>
      </c>
    </row>
    <row r="686" spans="1:14" ht="15" hidden="1" thickBot="1" x14ac:dyDescent="0.35">
      <c r="A686" s="14">
        <v>134</v>
      </c>
      <c r="B686" s="14" t="s">
        <v>744</v>
      </c>
      <c r="C686" s="20" t="s">
        <v>602</v>
      </c>
      <c r="D686" s="14" t="s">
        <v>510</v>
      </c>
      <c r="E686" s="15" t="s">
        <v>509</v>
      </c>
      <c r="F686" s="15">
        <v>5</v>
      </c>
      <c r="G686" s="16">
        <f t="shared" si="43"/>
        <v>17006</v>
      </c>
      <c r="H686" s="16">
        <v>18716</v>
      </c>
      <c r="I686" s="16">
        <f t="shared" si="45"/>
        <v>0</v>
      </c>
      <c r="J686" s="31">
        <v>18716</v>
      </c>
      <c r="K686" s="69">
        <f t="shared" si="44"/>
        <v>0</v>
      </c>
      <c r="L686" s="50">
        <v>1710</v>
      </c>
      <c r="M686" s="109">
        <v>1710</v>
      </c>
      <c r="N686" s="110">
        <v>0.98499999999999999</v>
      </c>
    </row>
    <row r="687" spans="1:14" ht="15" hidden="1" thickBot="1" x14ac:dyDescent="0.35">
      <c r="A687" s="14">
        <v>134</v>
      </c>
      <c r="B687" s="14" t="s">
        <v>744</v>
      </c>
      <c r="C687" s="20" t="s">
        <v>602</v>
      </c>
      <c r="D687" s="14" t="s">
        <v>510</v>
      </c>
      <c r="E687" s="15" t="s">
        <v>504</v>
      </c>
      <c r="F687" s="15">
        <v>2</v>
      </c>
      <c r="G687" s="16">
        <f t="shared" si="43"/>
        <v>0</v>
      </c>
      <c r="H687" s="16">
        <v>0</v>
      </c>
      <c r="I687" s="16">
        <f t="shared" si="45"/>
        <v>0</v>
      </c>
      <c r="J687" s="31">
        <v>0</v>
      </c>
      <c r="K687" s="69">
        <f t="shared" si="44"/>
        <v>0</v>
      </c>
      <c r="L687" s="50"/>
      <c r="M687" s="109"/>
      <c r="N687" s="110"/>
    </row>
    <row r="688" spans="1:14" ht="15" hidden="1" thickBot="1" x14ac:dyDescent="0.35">
      <c r="A688" s="14">
        <v>134</v>
      </c>
      <c r="B688" s="14" t="s">
        <v>744</v>
      </c>
      <c r="C688" s="20" t="s">
        <v>602</v>
      </c>
      <c r="D688" s="14" t="s">
        <v>510</v>
      </c>
      <c r="E688" s="15" t="s">
        <v>503</v>
      </c>
      <c r="F688" s="15">
        <v>7</v>
      </c>
      <c r="G688" s="16">
        <f t="shared" si="43"/>
        <v>14670</v>
      </c>
      <c r="H688" s="16">
        <v>17130</v>
      </c>
      <c r="I688" s="16">
        <f t="shared" si="45"/>
        <v>0</v>
      </c>
      <c r="J688" s="31">
        <v>17130</v>
      </c>
      <c r="K688" s="69">
        <f t="shared" si="44"/>
        <v>0</v>
      </c>
      <c r="L688" s="50">
        <v>2460</v>
      </c>
      <c r="M688" s="109">
        <v>2460</v>
      </c>
      <c r="N688" s="110">
        <v>0.9</v>
      </c>
    </row>
    <row r="689" spans="1:14" ht="15" hidden="1" thickBot="1" x14ac:dyDescent="0.35">
      <c r="A689" s="14">
        <v>134</v>
      </c>
      <c r="B689" s="14" t="s">
        <v>744</v>
      </c>
      <c r="C689" s="20" t="s">
        <v>602</v>
      </c>
      <c r="D689" s="14" t="s">
        <v>510</v>
      </c>
      <c r="E689" s="15" t="s">
        <v>500</v>
      </c>
      <c r="F689" s="15">
        <v>7</v>
      </c>
      <c r="G689" s="16">
        <f t="shared" si="43"/>
        <v>7228</v>
      </c>
      <c r="H689" s="16">
        <v>8768</v>
      </c>
      <c r="I689" s="16">
        <f t="shared" si="45"/>
        <v>0</v>
      </c>
      <c r="J689" s="31">
        <v>8768</v>
      </c>
      <c r="K689" s="69">
        <f t="shared" si="44"/>
        <v>0</v>
      </c>
      <c r="L689" s="50">
        <v>1540</v>
      </c>
      <c r="M689" s="109">
        <v>1540</v>
      </c>
      <c r="N689" s="110" t="s">
        <v>1329</v>
      </c>
    </row>
    <row r="690" spans="1:14" ht="15" hidden="1" thickBot="1" x14ac:dyDescent="0.35">
      <c r="A690" s="14">
        <v>134</v>
      </c>
      <c r="B690" s="14" t="s">
        <v>744</v>
      </c>
      <c r="C690" s="20" t="s">
        <v>602</v>
      </c>
      <c r="D690" s="14" t="s">
        <v>510</v>
      </c>
      <c r="E690" s="15" t="s">
        <v>512</v>
      </c>
      <c r="F690" s="15">
        <v>9</v>
      </c>
      <c r="G690" s="16">
        <f t="shared" si="43"/>
        <v>17123.3</v>
      </c>
      <c r="H690" s="16">
        <v>18233.3</v>
      </c>
      <c r="I690" s="16">
        <f t="shared" si="45"/>
        <v>0</v>
      </c>
      <c r="J690" s="31">
        <v>18233.3</v>
      </c>
      <c r="K690" s="69">
        <f t="shared" si="44"/>
        <v>0</v>
      </c>
      <c r="L690" s="50">
        <v>1110</v>
      </c>
      <c r="M690" s="109">
        <v>1110</v>
      </c>
      <c r="N690" s="110">
        <v>0.96</v>
      </c>
    </row>
    <row r="691" spans="1:14" ht="15" hidden="1" thickBot="1" x14ac:dyDescent="0.35">
      <c r="A691" s="14">
        <v>134</v>
      </c>
      <c r="B691" s="14" t="s">
        <v>744</v>
      </c>
      <c r="C691" s="20" t="s">
        <v>602</v>
      </c>
      <c r="D691" s="14" t="s">
        <v>547</v>
      </c>
      <c r="E691" s="15" t="s">
        <v>502</v>
      </c>
      <c r="F691" s="15">
        <v>6</v>
      </c>
      <c r="G691" s="16">
        <f t="shared" si="43"/>
        <v>13704</v>
      </c>
      <c r="H691" s="16">
        <v>15204</v>
      </c>
      <c r="I691" s="16">
        <f t="shared" si="45"/>
        <v>0</v>
      </c>
      <c r="J691" s="31">
        <v>15204</v>
      </c>
      <c r="K691" s="69">
        <f t="shared" si="44"/>
        <v>0</v>
      </c>
      <c r="L691" s="50">
        <v>1500</v>
      </c>
      <c r="M691" s="109">
        <v>1500</v>
      </c>
      <c r="N691" s="110">
        <v>0.9</v>
      </c>
    </row>
    <row r="692" spans="1:14" ht="15" hidden="1" thickBot="1" x14ac:dyDescent="0.35">
      <c r="A692" s="14">
        <v>135</v>
      </c>
      <c r="B692" s="14" t="s">
        <v>745</v>
      </c>
      <c r="C692" s="14" t="s">
        <v>940</v>
      </c>
      <c r="D692" s="14" t="s">
        <v>614</v>
      </c>
      <c r="E692" s="15" t="s">
        <v>503</v>
      </c>
      <c r="F692" s="15"/>
      <c r="G692" s="16">
        <f t="shared" si="43"/>
        <v>9349</v>
      </c>
      <c r="H692" s="16">
        <v>9349</v>
      </c>
      <c r="I692" s="16">
        <f t="shared" si="45"/>
        <v>0</v>
      </c>
      <c r="J692" s="31">
        <v>9349</v>
      </c>
      <c r="K692" s="69">
        <f t="shared" si="44"/>
        <v>0</v>
      </c>
      <c r="L692" s="50"/>
      <c r="M692" s="109"/>
      <c r="N692" s="110"/>
    </row>
    <row r="693" spans="1:14" ht="15" hidden="1" thickBot="1" x14ac:dyDescent="0.35">
      <c r="A693" s="14">
        <v>135</v>
      </c>
      <c r="B693" s="14" t="s">
        <v>745</v>
      </c>
      <c r="C693" s="14" t="s">
        <v>940</v>
      </c>
      <c r="D693" s="14" t="s">
        <v>614</v>
      </c>
      <c r="E693" s="15" t="s">
        <v>506</v>
      </c>
      <c r="F693" s="15"/>
      <c r="G693" s="16">
        <f t="shared" si="43"/>
        <v>2079</v>
      </c>
      <c r="H693" s="16">
        <v>2079</v>
      </c>
      <c r="I693" s="16">
        <f t="shared" si="45"/>
        <v>0</v>
      </c>
      <c r="J693" s="31">
        <v>2079</v>
      </c>
      <c r="K693" s="69">
        <f t="shared" si="44"/>
        <v>0</v>
      </c>
      <c r="L693" s="50"/>
      <c r="M693" s="109"/>
      <c r="N693" s="110"/>
    </row>
    <row r="694" spans="1:14" ht="15" hidden="1" thickBot="1" x14ac:dyDescent="0.35">
      <c r="A694" s="14">
        <v>136</v>
      </c>
      <c r="B694" s="14" t="s">
        <v>746</v>
      </c>
      <c r="C694" s="14" t="s">
        <v>602</v>
      </c>
      <c r="D694" s="14" t="s">
        <v>518</v>
      </c>
      <c r="E694" s="15" t="s">
        <v>503</v>
      </c>
      <c r="F694" s="15">
        <v>5</v>
      </c>
      <c r="G694" s="16">
        <f t="shared" si="43"/>
        <v>13727</v>
      </c>
      <c r="H694" s="16">
        <v>13727</v>
      </c>
      <c r="I694" s="16">
        <f t="shared" si="45"/>
        <v>0</v>
      </c>
      <c r="J694" s="31">
        <v>13727</v>
      </c>
      <c r="K694" s="69">
        <f t="shared" si="44"/>
        <v>0</v>
      </c>
      <c r="L694" s="50"/>
      <c r="M694" s="109"/>
      <c r="N694" s="110"/>
    </row>
    <row r="695" spans="1:14" ht="15" hidden="1" thickBot="1" x14ac:dyDescent="0.35">
      <c r="A695" s="14">
        <v>137</v>
      </c>
      <c r="B695" s="14" t="s">
        <v>747</v>
      </c>
      <c r="C695" s="14" t="s">
        <v>748</v>
      </c>
      <c r="D695" s="14" t="s">
        <v>614</v>
      </c>
      <c r="E695" s="15" t="s">
        <v>509</v>
      </c>
      <c r="F695" s="15"/>
      <c r="G695" s="16">
        <f t="shared" si="43"/>
        <v>16108</v>
      </c>
      <c r="H695" s="16">
        <v>37706</v>
      </c>
      <c r="I695" s="16">
        <f t="shared" si="45"/>
        <v>0</v>
      </c>
      <c r="J695" s="31">
        <v>37706</v>
      </c>
      <c r="K695" s="69">
        <f t="shared" si="44"/>
        <v>0</v>
      </c>
      <c r="L695" s="50">
        <v>21598</v>
      </c>
      <c r="M695" s="109">
        <v>21598</v>
      </c>
      <c r="N695" s="110"/>
    </row>
    <row r="696" spans="1:14" ht="15" hidden="1" thickBot="1" x14ac:dyDescent="0.35">
      <c r="A696" s="14">
        <v>137</v>
      </c>
      <c r="B696" s="14" t="s">
        <v>747</v>
      </c>
      <c r="C696" s="14" t="s">
        <v>748</v>
      </c>
      <c r="D696" s="14" t="s">
        <v>510</v>
      </c>
      <c r="E696" s="15" t="s">
        <v>509</v>
      </c>
      <c r="F696" s="15"/>
      <c r="G696" s="16">
        <f t="shared" si="43"/>
        <v>1</v>
      </c>
      <c r="H696" s="16">
        <v>16403</v>
      </c>
      <c r="I696" s="16">
        <f t="shared" si="45"/>
        <v>0</v>
      </c>
      <c r="J696" s="31">
        <v>16403</v>
      </c>
      <c r="K696" s="69">
        <f t="shared" si="44"/>
        <v>0</v>
      </c>
      <c r="L696" s="50">
        <v>16402</v>
      </c>
      <c r="M696" s="109">
        <v>16402</v>
      </c>
      <c r="N696" s="110"/>
    </row>
    <row r="697" spans="1:14" ht="15" hidden="1" thickBot="1" x14ac:dyDescent="0.35">
      <c r="A697" s="14">
        <v>138</v>
      </c>
      <c r="B697" s="14" t="s">
        <v>749</v>
      </c>
      <c r="C697" s="20" t="s">
        <v>748</v>
      </c>
      <c r="D697" s="14" t="s">
        <v>614</v>
      </c>
      <c r="E697" s="15" t="s">
        <v>503</v>
      </c>
      <c r="F697" s="15">
        <v>5</v>
      </c>
      <c r="G697" s="16">
        <f t="shared" si="43"/>
        <v>13114</v>
      </c>
      <c r="H697" s="16">
        <v>13264</v>
      </c>
      <c r="I697" s="16">
        <f t="shared" si="45"/>
        <v>0</v>
      </c>
      <c r="J697" s="31">
        <v>13264</v>
      </c>
      <c r="K697" s="69">
        <f t="shared" si="44"/>
        <v>0</v>
      </c>
      <c r="L697" s="50">
        <v>150</v>
      </c>
      <c r="M697" s="109">
        <v>150</v>
      </c>
      <c r="N697" s="110"/>
    </row>
    <row r="698" spans="1:14" ht="15" hidden="1" thickBot="1" x14ac:dyDescent="0.35">
      <c r="A698" s="14">
        <v>138</v>
      </c>
      <c r="B698" s="14" t="s">
        <v>749</v>
      </c>
      <c r="C698" s="20" t="s">
        <v>748</v>
      </c>
      <c r="D698" s="14" t="s">
        <v>510</v>
      </c>
      <c r="E698" s="15" t="s">
        <v>503</v>
      </c>
      <c r="F698" s="15">
        <v>8</v>
      </c>
      <c r="G698" s="16">
        <f t="shared" si="43"/>
        <v>22685</v>
      </c>
      <c r="H698" s="16">
        <v>22685</v>
      </c>
      <c r="I698" s="16">
        <f t="shared" si="45"/>
        <v>0</v>
      </c>
      <c r="J698" s="31">
        <v>22685</v>
      </c>
      <c r="K698" s="69">
        <f t="shared" si="44"/>
        <v>0</v>
      </c>
      <c r="L698" s="50"/>
      <c r="M698" s="109"/>
      <c r="N698" s="110"/>
    </row>
    <row r="699" spans="1:14" ht="15" hidden="1" thickBot="1" x14ac:dyDescent="0.35">
      <c r="A699" s="14">
        <v>139</v>
      </c>
      <c r="B699" s="14" t="s">
        <v>750</v>
      </c>
      <c r="C699" s="14" t="s">
        <v>748</v>
      </c>
      <c r="D699" s="14" t="s">
        <v>510</v>
      </c>
      <c r="E699" s="15" t="s">
        <v>500</v>
      </c>
      <c r="F699" s="15">
        <v>5</v>
      </c>
      <c r="G699" s="16">
        <f t="shared" si="43"/>
        <v>49180</v>
      </c>
      <c r="H699" s="16">
        <v>54180</v>
      </c>
      <c r="I699" s="16">
        <f t="shared" si="45"/>
        <v>0</v>
      </c>
      <c r="J699" s="31">
        <v>54180</v>
      </c>
      <c r="K699" s="69">
        <f t="shared" si="44"/>
        <v>0</v>
      </c>
      <c r="L699" s="50">
        <v>5000</v>
      </c>
      <c r="M699" s="109">
        <v>5000</v>
      </c>
      <c r="N699" s="110"/>
    </row>
    <row r="700" spans="1:14" ht="15" hidden="1" thickBot="1" x14ac:dyDescent="0.35">
      <c r="A700" s="14">
        <v>140</v>
      </c>
      <c r="B700" s="14" t="s">
        <v>751</v>
      </c>
      <c r="C700" s="14" t="s">
        <v>748</v>
      </c>
      <c r="D700" s="14" t="s">
        <v>752</v>
      </c>
      <c r="E700" s="15" t="s">
        <v>504</v>
      </c>
      <c r="F700" s="15"/>
      <c r="G700" s="16">
        <f t="shared" si="43"/>
        <v>47700</v>
      </c>
      <c r="H700" s="16">
        <v>47700</v>
      </c>
      <c r="I700" s="16">
        <f t="shared" si="45"/>
        <v>0</v>
      </c>
      <c r="J700" s="31">
        <v>47700</v>
      </c>
      <c r="K700" s="69">
        <f t="shared" si="44"/>
        <v>0</v>
      </c>
      <c r="L700" s="50"/>
      <c r="M700" s="109"/>
      <c r="N700" s="110"/>
    </row>
    <row r="701" spans="1:14" ht="15" hidden="1" thickBot="1" x14ac:dyDescent="0.35">
      <c r="A701" s="14">
        <v>141</v>
      </c>
      <c r="B701" s="14" t="s">
        <v>753</v>
      </c>
      <c r="C701" s="20" t="s">
        <v>754</v>
      </c>
      <c r="D701" s="14" t="s">
        <v>614</v>
      </c>
      <c r="E701" s="15" t="s">
        <v>512</v>
      </c>
      <c r="F701" s="15">
        <v>1</v>
      </c>
      <c r="G701" s="16">
        <f t="shared" si="43"/>
        <v>3800</v>
      </c>
      <c r="H701" s="16">
        <v>3800</v>
      </c>
      <c r="I701" s="16">
        <f t="shared" si="45"/>
        <v>0</v>
      </c>
      <c r="J701" s="31">
        <v>3800</v>
      </c>
      <c r="K701" s="69">
        <f t="shared" si="44"/>
        <v>0</v>
      </c>
      <c r="L701" s="50"/>
      <c r="M701" s="109"/>
      <c r="N701" s="110"/>
    </row>
    <row r="702" spans="1:14" ht="15" hidden="1" thickBot="1" x14ac:dyDescent="0.35">
      <c r="A702" s="14">
        <v>141</v>
      </c>
      <c r="B702" s="14" t="s">
        <v>753</v>
      </c>
      <c r="C702" s="20" t="s">
        <v>754</v>
      </c>
      <c r="D702" s="14" t="s">
        <v>510</v>
      </c>
      <c r="E702" s="15" t="s">
        <v>512</v>
      </c>
      <c r="F702" s="15">
        <v>1</v>
      </c>
      <c r="G702" s="16">
        <f t="shared" si="43"/>
        <v>2280</v>
      </c>
      <c r="H702" s="16">
        <v>2280</v>
      </c>
      <c r="I702" s="16">
        <f t="shared" si="45"/>
        <v>0</v>
      </c>
      <c r="J702" s="31">
        <v>2280</v>
      </c>
      <c r="K702" s="69">
        <f t="shared" si="44"/>
        <v>0</v>
      </c>
      <c r="L702" s="50"/>
      <c r="M702" s="109"/>
      <c r="N702" s="110"/>
    </row>
    <row r="703" spans="1:14" ht="15" hidden="1" thickBot="1" x14ac:dyDescent="0.35">
      <c r="A703" s="14">
        <v>142</v>
      </c>
      <c r="B703" s="14" t="s">
        <v>755</v>
      </c>
      <c r="C703" s="14" t="s">
        <v>718</v>
      </c>
      <c r="D703" s="14" t="s">
        <v>633</v>
      </c>
      <c r="E703" s="15" t="s">
        <v>499</v>
      </c>
      <c r="F703" s="15"/>
      <c r="G703" s="16">
        <f t="shared" si="43"/>
        <v>51730</v>
      </c>
      <c r="H703" s="16">
        <v>51730</v>
      </c>
      <c r="I703" s="16">
        <f t="shared" si="45"/>
        <v>0</v>
      </c>
      <c r="J703" s="31">
        <v>51730</v>
      </c>
      <c r="K703" s="69">
        <f t="shared" si="44"/>
        <v>0</v>
      </c>
      <c r="L703" s="50"/>
      <c r="M703" s="109"/>
      <c r="N703" s="110"/>
    </row>
    <row r="704" spans="1:14" ht="15" hidden="1" thickBot="1" x14ac:dyDescent="0.35">
      <c r="A704" s="14">
        <v>143</v>
      </c>
      <c r="B704" s="14" t="s">
        <v>756</v>
      </c>
      <c r="C704" s="14" t="s">
        <v>718</v>
      </c>
      <c r="D704" s="14" t="s">
        <v>757</v>
      </c>
      <c r="E704" s="15" t="s">
        <v>512</v>
      </c>
      <c r="F704" s="15"/>
      <c r="G704" s="16">
        <f t="shared" si="43"/>
        <v>828</v>
      </c>
      <c r="H704" s="16">
        <v>828</v>
      </c>
      <c r="I704" s="16">
        <f t="shared" si="45"/>
        <v>0</v>
      </c>
      <c r="J704" s="31">
        <v>828</v>
      </c>
      <c r="K704" s="69">
        <f t="shared" si="44"/>
        <v>0</v>
      </c>
      <c r="L704" s="50"/>
      <c r="M704" s="109"/>
      <c r="N704" s="110"/>
    </row>
    <row r="705" spans="1:14" ht="15" hidden="1" thickBot="1" x14ac:dyDescent="0.35">
      <c r="A705" s="14">
        <v>143</v>
      </c>
      <c r="B705" s="14" t="s">
        <v>756</v>
      </c>
      <c r="C705" s="14" t="s">
        <v>718</v>
      </c>
      <c r="D705" s="14" t="s">
        <v>761</v>
      </c>
      <c r="E705" s="15" t="s">
        <v>500</v>
      </c>
      <c r="F705" s="15"/>
      <c r="G705" s="16">
        <f t="shared" si="43"/>
        <v>1820</v>
      </c>
      <c r="H705" s="16">
        <v>1820</v>
      </c>
      <c r="I705" s="16">
        <f t="shared" si="45"/>
        <v>0</v>
      </c>
      <c r="J705" s="31">
        <v>1820</v>
      </c>
      <c r="K705" s="69">
        <f t="shared" si="44"/>
        <v>0</v>
      </c>
      <c r="L705" s="50">
        <v>0</v>
      </c>
      <c r="M705" s="109">
        <v>0</v>
      </c>
      <c r="N705" s="110"/>
    </row>
    <row r="706" spans="1:14" ht="15" hidden="1" thickBot="1" x14ac:dyDescent="0.35">
      <c r="A706" s="14">
        <v>144</v>
      </c>
      <c r="B706" s="14" t="s">
        <v>758</v>
      </c>
      <c r="C706" s="14" t="s">
        <v>718</v>
      </c>
      <c r="D706" s="14" t="s">
        <v>1831</v>
      </c>
      <c r="E706" s="15" t="s">
        <v>504</v>
      </c>
      <c r="F706" s="15">
        <v>4</v>
      </c>
      <c r="G706" s="16">
        <f t="shared" si="43"/>
        <v>6571</v>
      </c>
      <c r="H706" s="16">
        <v>6571</v>
      </c>
      <c r="I706" s="16">
        <f t="shared" si="45"/>
        <v>0</v>
      </c>
      <c r="J706" s="31">
        <v>6571</v>
      </c>
      <c r="K706" s="69">
        <f t="shared" si="44"/>
        <v>0</v>
      </c>
      <c r="L706" s="50"/>
      <c r="M706" s="109"/>
      <c r="N706" s="110"/>
    </row>
    <row r="707" spans="1:14" ht="15" hidden="1" thickBot="1" x14ac:dyDescent="0.35">
      <c r="A707" s="14">
        <v>144</v>
      </c>
      <c r="B707" s="14" t="s">
        <v>758</v>
      </c>
      <c r="C707" s="14" t="s">
        <v>718</v>
      </c>
      <c r="D707" s="14" t="s">
        <v>717</v>
      </c>
      <c r="E707" s="15" t="s">
        <v>504</v>
      </c>
      <c r="F707" s="15">
        <v>4</v>
      </c>
      <c r="G707" s="16">
        <f t="shared" si="43"/>
        <v>24715</v>
      </c>
      <c r="H707" s="16">
        <v>25075</v>
      </c>
      <c r="I707" s="16">
        <f t="shared" si="45"/>
        <v>0</v>
      </c>
      <c r="J707" s="31">
        <v>25075</v>
      </c>
      <c r="K707" s="69">
        <f t="shared" si="44"/>
        <v>0</v>
      </c>
      <c r="L707" s="50">
        <v>360</v>
      </c>
      <c r="M707" s="109">
        <v>360</v>
      </c>
      <c r="N707" s="110"/>
    </row>
    <row r="708" spans="1:14" ht="15" hidden="1" thickBot="1" x14ac:dyDescent="0.35">
      <c r="A708" s="14">
        <v>144</v>
      </c>
      <c r="B708" s="14" t="s">
        <v>758</v>
      </c>
      <c r="C708" s="14" t="s">
        <v>718</v>
      </c>
      <c r="D708" s="14" t="s">
        <v>521</v>
      </c>
      <c r="E708" s="15" t="s">
        <v>500</v>
      </c>
      <c r="F708" s="15">
        <v>2</v>
      </c>
      <c r="G708" s="16">
        <f t="shared" si="43"/>
        <v>5300</v>
      </c>
      <c r="H708" s="16">
        <v>5300</v>
      </c>
      <c r="I708" s="16">
        <f t="shared" si="45"/>
        <v>0</v>
      </c>
      <c r="J708" s="31">
        <v>5300</v>
      </c>
      <c r="K708" s="69">
        <f t="shared" si="44"/>
        <v>0</v>
      </c>
      <c r="L708" s="50"/>
      <c r="M708" s="109"/>
      <c r="N708" s="110"/>
    </row>
    <row r="709" spans="1:14" ht="15" hidden="1" thickBot="1" x14ac:dyDescent="0.35">
      <c r="A709" s="14">
        <v>144</v>
      </c>
      <c r="B709" s="14" t="s">
        <v>758</v>
      </c>
      <c r="C709" s="14" t="s">
        <v>718</v>
      </c>
      <c r="D709" s="14" t="s">
        <v>527</v>
      </c>
      <c r="E709" s="15" t="s">
        <v>500</v>
      </c>
      <c r="F709" s="15">
        <v>2</v>
      </c>
      <c r="G709" s="16">
        <f t="shared" si="43"/>
        <v>5530</v>
      </c>
      <c r="H709" s="16">
        <v>5530</v>
      </c>
      <c r="I709" s="16">
        <f t="shared" si="45"/>
        <v>0</v>
      </c>
      <c r="J709" s="31">
        <v>5530</v>
      </c>
      <c r="K709" s="69">
        <f t="shared" si="44"/>
        <v>0</v>
      </c>
      <c r="L709" s="50"/>
      <c r="M709" s="109"/>
      <c r="N709" s="110"/>
    </row>
    <row r="710" spans="1:14" ht="15" hidden="1" thickBot="1" x14ac:dyDescent="0.35">
      <c r="A710" s="14">
        <v>144</v>
      </c>
      <c r="B710" s="14" t="s">
        <v>758</v>
      </c>
      <c r="C710" s="14" t="s">
        <v>718</v>
      </c>
      <c r="D710" s="14" t="s">
        <v>532</v>
      </c>
      <c r="E710" s="15" t="s">
        <v>500</v>
      </c>
      <c r="F710" s="15">
        <v>6</v>
      </c>
      <c r="G710" s="16">
        <f t="shared" si="43"/>
        <v>23955</v>
      </c>
      <c r="H710" s="16">
        <v>25610</v>
      </c>
      <c r="I710" s="16">
        <f t="shared" si="45"/>
        <v>0</v>
      </c>
      <c r="J710" s="31">
        <v>25610</v>
      </c>
      <c r="K710" s="69">
        <f t="shared" si="44"/>
        <v>0</v>
      </c>
      <c r="L710" s="50">
        <v>1655</v>
      </c>
      <c r="M710" s="109">
        <v>1655</v>
      </c>
      <c r="N710" s="110"/>
    </row>
    <row r="711" spans="1:14" ht="15" hidden="1" thickBot="1" x14ac:dyDescent="0.35">
      <c r="A711" s="14">
        <v>144</v>
      </c>
      <c r="B711" s="14" t="s">
        <v>758</v>
      </c>
      <c r="C711" s="14" t="s">
        <v>718</v>
      </c>
      <c r="D711" s="14" t="s">
        <v>757</v>
      </c>
      <c r="E711" s="15" t="s">
        <v>512</v>
      </c>
      <c r="F711" s="15">
        <v>3</v>
      </c>
      <c r="G711" s="16">
        <f t="shared" si="43"/>
        <v>7133</v>
      </c>
      <c r="H711" s="16">
        <v>7373</v>
      </c>
      <c r="I711" s="16">
        <f t="shared" si="45"/>
        <v>0</v>
      </c>
      <c r="J711" s="31">
        <v>7373</v>
      </c>
      <c r="K711" s="69">
        <f t="shared" si="44"/>
        <v>0</v>
      </c>
      <c r="L711" s="50">
        <v>240</v>
      </c>
      <c r="M711" s="109">
        <v>240</v>
      </c>
      <c r="N711" s="110"/>
    </row>
    <row r="712" spans="1:14" ht="15" hidden="1" thickBot="1" x14ac:dyDescent="0.35">
      <c r="A712" s="14">
        <v>144</v>
      </c>
      <c r="B712" s="14" t="s">
        <v>758</v>
      </c>
      <c r="C712" s="14" t="s">
        <v>718</v>
      </c>
      <c r="D712" s="14" t="s">
        <v>760</v>
      </c>
      <c r="E712" s="15" t="s">
        <v>500</v>
      </c>
      <c r="F712" s="15">
        <v>4</v>
      </c>
      <c r="G712" s="16">
        <f t="shared" si="43"/>
        <v>19226</v>
      </c>
      <c r="H712" s="16">
        <v>19946</v>
      </c>
      <c r="I712" s="16">
        <f t="shared" si="45"/>
        <v>0</v>
      </c>
      <c r="J712" s="31">
        <v>19946</v>
      </c>
      <c r="K712" s="69">
        <f t="shared" si="44"/>
        <v>0</v>
      </c>
      <c r="L712" s="50">
        <v>720</v>
      </c>
      <c r="M712" s="109">
        <v>720</v>
      </c>
      <c r="N712" s="110"/>
    </row>
    <row r="713" spans="1:14" ht="15" hidden="1" thickBot="1" x14ac:dyDescent="0.35">
      <c r="A713" s="14">
        <v>144</v>
      </c>
      <c r="B713" s="14" t="s">
        <v>758</v>
      </c>
      <c r="C713" s="14" t="s">
        <v>718</v>
      </c>
      <c r="D713" s="14" t="s">
        <v>761</v>
      </c>
      <c r="E713" s="15" t="s">
        <v>500</v>
      </c>
      <c r="F713" s="15">
        <v>3</v>
      </c>
      <c r="G713" s="16">
        <f t="shared" si="43"/>
        <v>2880</v>
      </c>
      <c r="H713" s="16">
        <v>3000</v>
      </c>
      <c r="I713" s="16">
        <f t="shared" si="45"/>
        <v>0</v>
      </c>
      <c r="J713" s="31">
        <v>3000</v>
      </c>
      <c r="K713" s="69">
        <f t="shared" si="44"/>
        <v>0</v>
      </c>
      <c r="L713" s="50">
        <v>120</v>
      </c>
      <c r="M713" s="109">
        <v>120</v>
      </c>
      <c r="N713" s="110"/>
    </row>
    <row r="714" spans="1:14" ht="15" hidden="1" thickBot="1" x14ac:dyDescent="0.35">
      <c r="A714" s="14">
        <v>144</v>
      </c>
      <c r="B714" s="14" t="s">
        <v>758</v>
      </c>
      <c r="C714" s="15" t="s">
        <v>762</v>
      </c>
      <c r="D714" s="14" t="s">
        <v>530</v>
      </c>
      <c r="E714" s="15" t="s">
        <v>500</v>
      </c>
      <c r="F714" s="15">
        <v>2</v>
      </c>
      <c r="G714" s="16">
        <f t="shared" si="43"/>
        <v>3000</v>
      </c>
      <c r="H714" s="16">
        <v>3000</v>
      </c>
      <c r="I714" s="16">
        <f t="shared" si="45"/>
        <v>0</v>
      </c>
      <c r="J714" s="31">
        <v>3000</v>
      </c>
      <c r="K714" s="69">
        <f t="shared" si="44"/>
        <v>0</v>
      </c>
      <c r="L714" s="50"/>
      <c r="M714" s="109"/>
      <c r="N714" s="110"/>
    </row>
    <row r="715" spans="1:14" ht="15" hidden="1" thickBot="1" x14ac:dyDescent="0.35">
      <c r="A715" s="14">
        <v>144</v>
      </c>
      <c r="B715" s="14" t="s">
        <v>758</v>
      </c>
      <c r="C715" s="15" t="s">
        <v>762</v>
      </c>
      <c r="D715" s="14" t="s">
        <v>529</v>
      </c>
      <c r="E715" s="15" t="s">
        <v>500</v>
      </c>
      <c r="F715" s="15">
        <v>2</v>
      </c>
      <c r="G715" s="16">
        <f t="shared" si="43"/>
        <v>3000</v>
      </c>
      <c r="H715" s="16">
        <v>3000</v>
      </c>
      <c r="I715" s="16">
        <f t="shared" si="45"/>
        <v>0</v>
      </c>
      <c r="J715" s="31">
        <v>3000</v>
      </c>
      <c r="K715" s="69">
        <f t="shared" si="44"/>
        <v>0</v>
      </c>
      <c r="L715" s="50"/>
      <c r="M715" s="109"/>
      <c r="N715" s="110"/>
    </row>
    <row r="716" spans="1:14" ht="15" hidden="1" thickBot="1" x14ac:dyDescent="0.35">
      <c r="A716" s="14">
        <v>144</v>
      </c>
      <c r="B716" s="14" t="s">
        <v>758</v>
      </c>
      <c r="C716" s="46" t="s">
        <v>718</v>
      </c>
      <c r="D716" s="14" t="s">
        <v>530</v>
      </c>
      <c r="E716" s="15" t="s">
        <v>500</v>
      </c>
      <c r="F716" s="15">
        <v>2</v>
      </c>
      <c r="G716" s="16">
        <f t="shared" si="43"/>
        <v>1200</v>
      </c>
      <c r="H716" s="16">
        <v>1200</v>
      </c>
      <c r="I716" s="16">
        <f t="shared" si="45"/>
        <v>0</v>
      </c>
      <c r="J716" s="31">
        <v>1200</v>
      </c>
      <c r="K716" s="69">
        <f t="shared" si="44"/>
        <v>0</v>
      </c>
      <c r="L716" s="50"/>
      <c r="M716" s="109"/>
      <c r="N716" s="110"/>
    </row>
    <row r="717" spans="1:14" ht="15" hidden="1" thickBot="1" x14ac:dyDescent="0.35">
      <c r="A717" s="14">
        <v>144</v>
      </c>
      <c r="B717" s="14" t="s">
        <v>758</v>
      </c>
      <c r="C717" s="46" t="s">
        <v>718</v>
      </c>
      <c r="D717" s="14" t="s">
        <v>528</v>
      </c>
      <c r="E717" s="15" t="s">
        <v>504</v>
      </c>
      <c r="F717" s="15">
        <v>4</v>
      </c>
      <c r="G717" s="16">
        <f t="shared" si="43"/>
        <v>6289</v>
      </c>
      <c r="H717" s="16">
        <v>7369</v>
      </c>
      <c r="I717" s="16">
        <f t="shared" si="45"/>
        <v>0</v>
      </c>
      <c r="J717" s="31">
        <v>7369</v>
      </c>
      <c r="K717" s="69">
        <f t="shared" si="44"/>
        <v>0</v>
      </c>
      <c r="L717" s="50">
        <v>1080</v>
      </c>
      <c r="M717" s="109">
        <v>1080</v>
      </c>
      <c r="N717" s="110"/>
    </row>
    <row r="718" spans="1:14" ht="15" hidden="1" thickBot="1" x14ac:dyDescent="0.35">
      <c r="A718" s="14">
        <v>144</v>
      </c>
      <c r="B718" s="14" t="s">
        <v>758</v>
      </c>
      <c r="C718" s="46" t="s">
        <v>718</v>
      </c>
      <c r="D718" s="14" t="s">
        <v>529</v>
      </c>
      <c r="E718" s="15" t="s">
        <v>500</v>
      </c>
      <c r="F718" s="15">
        <v>2</v>
      </c>
      <c r="G718" s="16">
        <f t="shared" si="43"/>
        <v>840</v>
      </c>
      <c r="H718" s="16">
        <v>1200</v>
      </c>
      <c r="I718" s="16">
        <f t="shared" si="45"/>
        <v>0</v>
      </c>
      <c r="J718" s="31">
        <v>1200</v>
      </c>
      <c r="K718" s="69">
        <f t="shared" si="44"/>
        <v>0</v>
      </c>
      <c r="L718" s="50">
        <v>360</v>
      </c>
      <c r="M718" s="109">
        <v>360</v>
      </c>
      <c r="N718" s="110"/>
    </row>
    <row r="719" spans="1:14" ht="15" hidden="1" thickBot="1" x14ac:dyDescent="0.35">
      <c r="A719" s="14">
        <v>144</v>
      </c>
      <c r="B719" s="14" t="s">
        <v>758</v>
      </c>
      <c r="C719" s="46" t="s">
        <v>718</v>
      </c>
      <c r="D719" s="15" t="s">
        <v>806</v>
      </c>
      <c r="E719" s="14" t="s">
        <v>506</v>
      </c>
      <c r="F719" s="14"/>
      <c r="G719" s="16">
        <f t="shared" si="43"/>
        <v>1600</v>
      </c>
      <c r="H719" s="16">
        <v>1600</v>
      </c>
      <c r="I719" s="16">
        <f t="shared" si="45"/>
        <v>0</v>
      </c>
      <c r="J719" s="31">
        <v>1600</v>
      </c>
      <c r="K719" s="69">
        <f t="shared" si="44"/>
        <v>0</v>
      </c>
      <c r="L719" s="50"/>
      <c r="M719" s="109"/>
      <c r="N719" s="110"/>
    </row>
    <row r="720" spans="1:14" ht="15" hidden="1" thickBot="1" x14ac:dyDescent="0.35">
      <c r="A720" s="14">
        <v>144</v>
      </c>
      <c r="B720" s="14" t="s">
        <v>758</v>
      </c>
      <c r="C720" s="46" t="s">
        <v>718</v>
      </c>
      <c r="D720" s="15" t="s">
        <v>1570</v>
      </c>
      <c r="E720" s="14" t="s">
        <v>504</v>
      </c>
      <c r="F720" s="14">
        <v>2</v>
      </c>
      <c r="G720" s="16">
        <f t="shared" si="43"/>
        <v>9764</v>
      </c>
      <c r="H720" s="16">
        <v>9764</v>
      </c>
      <c r="I720" s="16">
        <f t="shared" si="45"/>
        <v>0</v>
      </c>
      <c r="J720" s="31">
        <v>9764</v>
      </c>
      <c r="K720" s="69">
        <f t="shared" si="44"/>
        <v>0</v>
      </c>
      <c r="L720" s="50"/>
      <c r="M720" s="109"/>
      <c r="N720" s="110"/>
    </row>
    <row r="721" spans="1:14" ht="15" hidden="1" thickBot="1" x14ac:dyDescent="0.35">
      <c r="A721" s="14">
        <v>144</v>
      </c>
      <c r="B721" s="14" t="s">
        <v>758</v>
      </c>
      <c r="C721" s="46" t="s">
        <v>718</v>
      </c>
      <c r="D721" s="15" t="s">
        <v>515</v>
      </c>
      <c r="E721" s="14" t="s">
        <v>512</v>
      </c>
      <c r="F721" s="14">
        <v>2</v>
      </c>
      <c r="G721" s="16">
        <f t="shared" si="43"/>
        <v>5200</v>
      </c>
      <c r="H721" s="16">
        <v>5200</v>
      </c>
      <c r="I721" s="16">
        <f t="shared" si="45"/>
        <v>0</v>
      </c>
      <c r="J721" s="31">
        <v>5200</v>
      </c>
      <c r="K721" s="69">
        <f t="shared" si="44"/>
        <v>0</v>
      </c>
      <c r="L721" s="50"/>
      <c r="M721" s="109"/>
      <c r="N721" s="110"/>
    </row>
    <row r="722" spans="1:14" ht="15" hidden="1" thickBot="1" x14ac:dyDescent="0.35">
      <c r="A722" s="14">
        <v>144</v>
      </c>
      <c r="B722" s="14" t="s">
        <v>758</v>
      </c>
      <c r="C722" s="15" t="s">
        <v>734</v>
      </c>
      <c r="D722" s="15" t="s">
        <v>517</v>
      </c>
      <c r="E722" s="14" t="s">
        <v>502</v>
      </c>
      <c r="F722" s="14"/>
      <c r="G722" s="16">
        <f t="shared" si="43"/>
        <v>0</v>
      </c>
      <c r="H722" s="16">
        <v>0</v>
      </c>
      <c r="I722" s="16">
        <f t="shared" si="45"/>
        <v>0</v>
      </c>
      <c r="J722" s="31">
        <v>0</v>
      </c>
      <c r="K722" s="69">
        <f t="shared" si="44"/>
        <v>0</v>
      </c>
      <c r="L722" s="50"/>
      <c r="M722" s="109"/>
      <c r="N722" s="110"/>
    </row>
    <row r="723" spans="1:14" ht="15" hidden="1" thickBot="1" x14ac:dyDescent="0.35">
      <c r="A723" s="14">
        <v>144</v>
      </c>
      <c r="B723" s="14" t="s">
        <v>758</v>
      </c>
      <c r="C723" s="15" t="s">
        <v>734</v>
      </c>
      <c r="D723" s="15" t="s">
        <v>757</v>
      </c>
      <c r="E723" s="14" t="s">
        <v>512</v>
      </c>
      <c r="F723" s="14"/>
      <c r="G723" s="16">
        <f t="shared" si="43"/>
        <v>4680</v>
      </c>
      <c r="H723" s="16">
        <v>4680</v>
      </c>
      <c r="I723" s="16">
        <f t="shared" si="45"/>
        <v>0</v>
      </c>
      <c r="J723" s="31">
        <v>4680</v>
      </c>
      <c r="K723" s="69">
        <f t="shared" si="44"/>
        <v>0</v>
      </c>
      <c r="L723" s="50"/>
      <c r="M723" s="109"/>
      <c r="N723" s="110"/>
    </row>
    <row r="724" spans="1:14" ht="15" hidden="1" thickBot="1" x14ac:dyDescent="0.35">
      <c r="A724" s="14">
        <v>144</v>
      </c>
      <c r="B724" s="14" t="s">
        <v>758</v>
      </c>
      <c r="C724" s="15" t="s">
        <v>734</v>
      </c>
      <c r="D724" s="15">
        <v>0</v>
      </c>
      <c r="E724" s="14">
        <v>0</v>
      </c>
      <c r="F724" s="14"/>
      <c r="G724" s="16">
        <f t="shared" si="43"/>
        <v>4000</v>
      </c>
      <c r="H724" s="16">
        <v>4000</v>
      </c>
      <c r="I724" s="16">
        <f t="shared" si="45"/>
        <v>0</v>
      </c>
      <c r="J724" s="31">
        <v>4000</v>
      </c>
      <c r="K724" s="69">
        <f t="shared" si="44"/>
        <v>0</v>
      </c>
      <c r="L724" s="50"/>
      <c r="M724" s="109"/>
      <c r="N724" s="110"/>
    </row>
    <row r="725" spans="1:14" ht="15" hidden="1" thickBot="1" x14ac:dyDescent="0.35">
      <c r="A725" s="14">
        <v>145</v>
      </c>
      <c r="B725" s="14" t="s">
        <v>763</v>
      </c>
      <c r="C725" s="14" t="s">
        <v>604</v>
      </c>
      <c r="D725" s="14" t="s">
        <v>516</v>
      </c>
      <c r="E725" s="15" t="s">
        <v>509</v>
      </c>
      <c r="F725" s="15">
        <v>4</v>
      </c>
      <c r="G725" s="16">
        <f t="shared" ref="G725:G790" si="46">H725-M725</f>
        <v>5700</v>
      </c>
      <c r="H725" s="16">
        <v>5700</v>
      </c>
      <c r="I725" s="16">
        <f t="shared" si="45"/>
        <v>0</v>
      </c>
      <c r="J725" s="31">
        <v>5700</v>
      </c>
      <c r="K725" s="69">
        <f t="shared" si="44"/>
        <v>0</v>
      </c>
      <c r="L725" s="50"/>
      <c r="M725" s="109"/>
      <c r="N725" s="110"/>
    </row>
    <row r="726" spans="1:14" ht="15" hidden="1" thickBot="1" x14ac:dyDescent="0.35">
      <c r="A726" s="14">
        <v>145</v>
      </c>
      <c r="B726" s="14" t="s">
        <v>763</v>
      </c>
      <c r="C726" s="14" t="s">
        <v>604</v>
      </c>
      <c r="D726" s="14" t="s">
        <v>527</v>
      </c>
      <c r="E726" s="15" t="s">
        <v>500</v>
      </c>
      <c r="F726" s="15">
        <v>4</v>
      </c>
      <c r="G726" s="16">
        <f t="shared" si="46"/>
        <v>5700</v>
      </c>
      <c r="H726" s="16">
        <v>5700</v>
      </c>
      <c r="I726" s="16">
        <f t="shared" si="45"/>
        <v>0</v>
      </c>
      <c r="J726" s="31">
        <v>5700</v>
      </c>
      <c r="K726" s="69">
        <f t="shared" si="44"/>
        <v>0</v>
      </c>
      <c r="L726" s="50"/>
      <c r="M726" s="109"/>
      <c r="N726" s="110"/>
    </row>
    <row r="727" spans="1:14" ht="15" hidden="1" thickBot="1" x14ac:dyDescent="0.35">
      <c r="A727" s="14">
        <v>145</v>
      </c>
      <c r="B727" s="14" t="s">
        <v>763</v>
      </c>
      <c r="C727" s="14" t="s">
        <v>604</v>
      </c>
      <c r="D727" s="14" t="s">
        <v>521</v>
      </c>
      <c r="E727" s="15" t="s">
        <v>500</v>
      </c>
      <c r="F727" s="15">
        <v>4</v>
      </c>
      <c r="G727" s="16">
        <f t="shared" si="46"/>
        <v>5700</v>
      </c>
      <c r="H727" s="16">
        <v>5700</v>
      </c>
      <c r="I727" s="16">
        <f t="shared" si="45"/>
        <v>0</v>
      </c>
      <c r="J727" s="31">
        <v>5700</v>
      </c>
      <c r="K727" s="69">
        <f t="shared" ref="K727:K792" si="47">M727-L727</f>
        <v>0</v>
      </c>
      <c r="L727" s="50"/>
      <c r="M727" s="109"/>
      <c r="N727" s="110"/>
    </row>
    <row r="728" spans="1:14" ht="15" hidden="1" thickBot="1" x14ac:dyDescent="0.35">
      <c r="A728" s="14">
        <v>145</v>
      </c>
      <c r="B728" s="14" t="s">
        <v>763</v>
      </c>
      <c r="C728" s="14" t="s">
        <v>604</v>
      </c>
      <c r="D728" s="14" t="s">
        <v>525</v>
      </c>
      <c r="E728" s="15" t="s">
        <v>509</v>
      </c>
      <c r="F728" s="15">
        <v>4</v>
      </c>
      <c r="G728" s="16">
        <f t="shared" si="46"/>
        <v>5700</v>
      </c>
      <c r="H728" s="16">
        <v>5700</v>
      </c>
      <c r="I728" s="16">
        <f t="shared" si="45"/>
        <v>0</v>
      </c>
      <c r="J728" s="31">
        <v>5700</v>
      </c>
      <c r="K728" s="69">
        <f t="shared" si="47"/>
        <v>0</v>
      </c>
      <c r="L728" s="50"/>
      <c r="M728" s="109"/>
      <c r="N728" s="110"/>
    </row>
    <row r="729" spans="1:14" ht="15" hidden="1" thickBot="1" x14ac:dyDescent="0.35">
      <c r="A729" s="14">
        <v>145</v>
      </c>
      <c r="B729" s="14" t="s">
        <v>763</v>
      </c>
      <c r="C729" s="14" t="s">
        <v>604</v>
      </c>
      <c r="D729" s="14" t="s">
        <v>526</v>
      </c>
      <c r="E729" s="15" t="s">
        <v>509</v>
      </c>
      <c r="F729" s="15">
        <v>4</v>
      </c>
      <c r="G729" s="16">
        <f t="shared" si="46"/>
        <v>5700</v>
      </c>
      <c r="H729" s="16">
        <v>5700</v>
      </c>
      <c r="I729" s="16">
        <f t="shared" si="45"/>
        <v>0</v>
      </c>
      <c r="J729" s="31">
        <v>5700</v>
      </c>
      <c r="K729" s="69">
        <f t="shared" si="47"/>
        <v>0</v>
      </c>
      <c r="L729" s="50"/>
      <c r="M729" s="109"/>
      <c r="N729" s="110"/>
    </row>
    <row r="730" spans="1:14" ht="15" hidden="1" thickBot="1" x14ac:dyDescent="0.35">
      <c r="A730" s="14">
        <v>145</v>
      </c>
      <c r="B730" s="14" t="s">
        <v>763</v>
      </c>
      <c r="C730" s="14" t="s">
        <v>604</v>
      </c>
      <c r="D730" s="14" t="s">
        <v>515</v>
      </c>
      <c r="E730" s="15" t="s">
        <v>512</v>
      </c>
      <c r="F730" s="15">
        <v>4</v>
      </c>
      <c r="G730" s="16">
        <f t="shared" si="46"/>
        <v>5700</v>
      </c>
      <c r="H730" s="16">
        <v>5700</v>
      </c>
      <c r="I730" s="16">
        <f t="shared" si="45"/>
        <v>0</v>
      </c>
      <c r="J730" s="31">
        <v>5700</v>
      </c>
      <c r="K730" s="69">
        <f t="shared" si="47"/>
        <v>0</v>
      </c>
      <c r="L730" s="50"/>
      <c r="M730" s="109"/>
      <c r="N730" s="110"/>
    </row>
    <row r="731" spans="1:14" ht="15" hidden="1" thickBot="1" x14ac:dyDescent="0.35">
      <c r="A731" s="14">
        <v>145</v>
      </c>
      <c r="B731" s="14" t="s">
        <v>763</v>
      </c>
      <c r="C731" s="14" t="s">
        <v>604</v>
      </c>
      <c r="D731" s="14" t="s">
        <v>528</v>
      </c>
      <c r="E731" s="15" t="s">
        <v>504</v>
      </c>
      <c r="F731" s="15">
        <v>3</v>
      </c>
      <c r="G731" s="16">
        <f t="shared" si="46"/>
        <v>5700</v>
      </c>
      <c r="H731" s="16">
        <v>5700</v>
      </c>
      <c r="I731" s="16">
        <f t="shared" si="45"/>
        <v>0</v>
      </c>
      <c r="J731" s="31">
        <v>5700</v>
      </c>
      <c r="K731" s="69">
        <f t="shared" si="47"/>
        <v>0</v>
      </c>
      <c r="L731" s="50"/>
      <c r="M731" s="109"/>
      <c r="N731" s="110"/>
    </row>
    <row r="732" spans="1:14" ht="15" hidden="1" thickBot="1" x14ac:dyDescent="0.35">
      <c r="A732" s="14">
        <v>146</v>
      </c>
      <c r="B732" s="14" t="s">
        <v>764</v>
      </c>
      <c r="C732" s="14" t="s">
        <v>604</v>
      </c>
      <c r="D732" s="14" t="s">
        <v>614</v>
      </c>
      <c r="E732" s="15" t="s">
        <v>504</v>
      </c>
      <c r="F732" s="15">
        <v>14</v>
      </c>
      <c r="G732" s="16">
        <f t="shared" si="46"/>
        <v>55044</v>
      </c>
      <c r="H732" s="16">
        <v>58619</v>
      </c>
      <c r="I732" s="16">
        <f t="shared" si="45"/>
        <v>0</v>
      </c>
      <c r="J732" s="31">
        <v>58619</v>
      </c>
      <c r="K732" s="69">
        <f t="shared" si="47"/>
        <v>0</v>
      </c>
      <c r="L732" s="50">
        <v>3575</v>
      </c>
      <c r="M732" s="109">
        <v>3575</v>
      </c>
      <c r="N732" s="110">
        <v>1</v>
      </c>
    </row>
    <row r="733" spans="1:14" ht="15" hidden="1" thickBot="1" x14ac:dyDescent="0.35">
      <c r="A733" s="14">
        <v>146</v>
      </c>
      <c r="B733" s="14" t="s">
        <v>764</v>
      </c>
      <c r="C733" s="14" t="s">
        <v>604</v>
      </c>
      <c r="D733" s="14" t="s">
        <v>510</v>
      </c>
      <c r="E733" s="15" t="s">
        <v>504</v>
      </c>
      <c r="F733" s="15">
        <v>10</v>
      </c>
      <c r="G733" s="16">
        <f t="shared" si="46"/>
        <v>17217</v>
      </c>
      <c r="H733" s="16">
        <v>18617</v>
      </c>
      <c r="I733" s="16">
        <f t="shared" si="45"/>
        <v>0</v>
      </c>
      <c r="J733" s="31">
        <v>18617</v>
      </c>
      <c r="K733" s="69">
        <f t="shared" si="47"/>
        <v>0</v>
      </c>
      <c r="L733" s="50">
        <v>1400</v>
      </c>
      <c r="M733" s="109">
        <v>1400</v>
      </c>
      <c r="N733" s="110">
        <v>1</v>
      </c>
    </row>
    <row r="734" spans="1:14" ht="15" hidden="1" thickBot="1" x14ac:dyDescent="0.35">
      <c r="A734" s="14">
        <v>146</v>
      </c>
      <c r="B734" s="14" t="s">
        <v>764</v>
      </c>
      <c r="C734" s="14" t="s">
        <v>604</v>
      </c>
      <c r="D734" s="14" t="s">
        <v>670</v>
      </c>
      <c r="E734" s="15" t="s">
        <v>506</v>
      </c>
      <c r="F734" s="15">
        <v>20</v>
      </c>
      <c r="G734" s="16">
        <f t="shared" si="46"/>
        <v>172896</v>
      </c>
      <c r="H734" s="16">
        <v>172896</v>
      </c>
      <c r="I734" s="16">
        <f>J734-H734</f>
        <v>0</v>
      </c>
      <c r="J734" s="31">
        <v>172896</v>
      </c>
      <c r="K734" s="69">
        <f t="shared" si="47"/>
        <v>0</v>
      </c>
      <c r="L734" s="50"/>
      <c r="M734" s="109"/>
      <c r="N734" s="110">
        <v>0.85</v>
      </c>
    </row>
    <row r="735" spans="1:14" ht="15" hidden="1" thickBot="1" x14ac:dyDescent="0.35">
      <c r="A735" s="14">
        <v>146</v>
      </c>
      <c r="B735" s="14" t="s">
        <v>764</v>
      </c>
      <c r="C735" s="14" t="s">
        <v>604</v>
      </c>
      <c r="D735" s="14" t="s">
        <v>1467</v>
      </c>
      <c r="E735" s="15" t="s">
        <v>506</v>
      </c>
      <c r="F735" s="15">
        <v>2</v>
      </c>
      <c r="G735" s="16">
        <f t="shared" si="46"/>
        <v>585</v>
      </c>
      <c r="H735" s="16">
        <v>585</v>
      </c>
      <c r="I735" s="16">
        <f>J735-H735</f>
        <v>0</v>
      </c>
      <c r="J735" s="31">
        <v>585</v>
      </c>
      <c r="K735" s="69">
        <f t="shared" si="47"/>
        <v>0</v>
      </c>
      <c r="L735" s="50"/>
      <c r="M735" s="109"/>
      <c r="N735" s="110">
        <v>0.9</v>
      </c>
    </row>
    <row r="736" spans="1:14" ht="15" hidden="1" thickBot="1" x14ac:dyDescent="0.35">
      <c r="A736" s="14">
        <v>146</v>
      </c>
      <c r="B736" s="14" t="s">
        <v>764</v>
      </c>
      <c r="C736" s="14" t="s">
        <v>604</v>
      </c>
      <c r="D736" s="14" t="s">
        <v>665</v>
      </c>
      <c r="E736" s="15" t="s">
        <v>504</v>
      </c>
      <c r="F736" s="15">
        <v>3</v>
      </c>
      <c r="G736" s="16">
        <f t="shared" si="46"/>
        <v>1650</v>
      </c>
      <c r="H736" s="16">
        <v>1800</v>
      </c>
      <c r="I736" s="16">
        <f>J736-H736</f>
        <v>0</v>
      </c>
      <c r="J736" s="31">
        <v>1800</v>
      </c>
      <c r="K736" s="69">
        <f t="shared" si="47"/>
        <v>0</v>
      </c>
      <c r="L736" s="50">
        <v>150</v>
      </c>
      <c r="M736" s="109">
        <v>150</v>
      </c>
      <c r="N736" s="110" t="s">
        <v>571</v>
      </c>
    </row>
    <row r="737" spans="1:14" ht="15" hidden="1" thickBot="1" x14ac:dyDescent="0.35">
      <c r="A737" s="14">
        <v>146</v>
      </c>
      <c r="B737" s="14" t="s">
        <v>764</v>
      </c>
      <c r="C737" s="14" t="s">
        <v>604</v>
      </c>
      <c r="D737" s="14" t="s">
        <v>1061</v>
      </c>
      <c r="E737" s="15" t="s">
        <v>508</v>
      </c>
      <c r="F737" s="15">
        <v>19</v>
      </c>
      <c r="G737" s="16">
        <f t="shared" si="46"/>
        <v>156347</v>
      </c>
      <c r="H737" s="16">
        <v>156962</v>
      </c>
      <c r="I737" s="16">
        <f>J737-H737</f>
        <v>0</v>
      </c>
      <c r="J737" s="31">
        <v>156962</v>
      </c>
      <c r="K737" s="69">
        <f t="shared" si="47"/>
        <v>0</v>
      </c>
      <c r="L737" s="50">
        <v>615</v>
      </c>
      <c r="M737" s="109">
        <v>615</v>
      </c>
      <c r="N737" s="110">
        <v>0.85</v>
      </c>
    </row>
    <row r="738" spans="1:14" ht="15" hidden="1" thickBot="1" x14ac:dyDescent="0.35">
      <c r="A738" s="14">
        <v>146</v>
      </c>
      <c r="B738" s="14" t="s">
        <v>764</v>
      </c>
      <c r="C738" s="14" t="s">
        <v>604</v>
      </c>
      <c r="D738" s="14" t="s">
        <v>1534</v>
      </c>
      <c r="E738" s="15" t="s">
        <v>508</v>
      </c>
      <c r="F738" s="15">
        <v>2</v>
      </c>
      <c r="G738" s="16">
        <f t="shared" si="46"/>
        <v>3240</v>
      </c>
      <c r="H738" s="16">
        <v>3240</v>
      </c>
      <c r="I738" s="16">
        <f>J738-H738</f>
        <v>0</v>
      </c>
      <c r="J738" s="31">
        <v>3240</v>
      </c>
      <c r="K738" s="69">
        <f t="shared" si="47"/>
        <v>0</v>
      </c>
      <c r="L738" s="50">
        <v>0</v>
      </c>
      <c r="M738" s="109">
        <v>0</v>
      </c>
      <c r="N738" s="110">
        <v>0.72</v>
      </c>
    </row>
    <row r="739" spans="1:14" ht="15" hidden="1" customHeight="1" thickBot="1" x14ac:dyDescent="0.35">
      <c r="A739" s="14">
        <v>146</v>
      </c>
      <c r="B739" s="14" t="s">
        <v>764</v>
      </c>
      <c r="C739" s="14" t="s">
        <v>604</v>
      </c>
      <c r="D739" s="14" t="s">
        <v>548</v>
      </c>
      <c r="E739" s="15" t="s">
        <v>504</v>
      </c>
      <c r="F739" s="15">
        <v>10</v>
      </c>
      <c r="G739" s="16">
        <f t="shared" si="46"/>
        <v>12457</v>
      </c>
      <c r="H739" s="16">
        <v>13397</v>
      </c>
      <c r="I739" s="16">
        <f t="shared" si="45"/>
        <v>0</v>
      </c>
      <c r="J739" s="31">
        <v>13397</v>
      </c>
      <c r="K739" s="69">
        <f t="shared" si="47"/>
        <v>0</v>
      </c>
      <c r="L739" s="50">
        <v>940</v>
      </c>
      <c r="M739" s="109">
        <v>940</v>
      </c>
      <c r="N739" s="110">
        <v>0.91</v>
      </c>
    </row>
    <row r="740" spans="1:14" ht="15" hidden="1" thickBot="1" x14ac:dyDescent="0.35">
      <c r="A740" s="14">
        <v>147</v>
      </c>
      <c r="B740" s="14" t="s">
        <v>765</v>
      </c>
      <c r="C740" s="14" t="s">
        <v>604</v>
      </c>
      <c r="D740" s="14" t="s">
        <v>759</v>
      </c>
      <c r="E740" s="15" t="s">
        <v>500</v>
      </c>
      <c r="F740" s="15"/>
      <c r="G740" s="16">
        <f t="shared" si="46"/>
        <v>3064</v>
      </c>
      <c r="H740" s="16">
        <v>3064</v>
      </c>
      <c r="I740" s="16">
        <f t="shared" si="45"/>
        <v>0</v>
      </c>
      <c r="J740" s="31">
        <v>3064</v>
      </c>
      <c r="K740" s="69">
        <f t="shared" si="47"/>
        <v>0</v>
      </c>
      <c r="L740" s="50"/>
      <c r="M740" s="109"/>
      <c r="N740" s="110"/>
    </row>
    <row r="741" spans="1:14" ht="15" hidden="1" customHeight="1" thickBot="1" x14ac:dyDescent="0.35">
      <c r="A741" s="14">
        <v>148</v>
      </c>
      <c r="B741" s="15" t="s">
        <v>1812</v>
      </c>
      <c r="C741" s="14" t="s">
        <v>604</v>
      </c>
      <c r="D741" s="14" t="s">
        <v>806</v>
      </c>
      <c r="E741" s="15" t="s">
        <v>506</v>
      </c>
      <c r="F741" s="15">
        <v>2</v>
      </c>
      <c r="G741" s="16">
        <f t="shared" si="46"/>
        <v>4570</v>
      </c>
      <c r="H741" s="16">
        <v>4950</v>
      </c>
      <c r="I741" s="16">
        <f t="shared" si="45"/>
        <v>0</v>
      </c>
      <c r="J741" s="31">
        <v>4950</v>
      </c>
      <c r="K741" s="69">
        <f t="shared" si="47"/>
        <v>0</v>
      </c>
      <c r="L741" s="50">
        <v>380</v>
      </c>
      <c r="M741" s="109">
        <v>380</v>
      </c>
      <c r="N741" s="110"/>
    </row>
    <row r="742" spans="1:14" ht="15" hidden="1" customHeight="1" thickBot="1" x14ac:dyDescent="0.35">
      <c r="A742" s="14">
        <v>148</v>
      </c>
      <c r="B742" s="15" t="s">
        <v>1812</v>
      </c>
      <c r="C742" s="14" t="s">
        <v>604</v>
      </c>
      <c r="D742" s="14" t="s">
        <v>614</v>
      </c>
      <c r="E742" s="15" t="s">
        <v>508</v>
      </c>
      <c r="F742" s="15">
        <v>7</v>
      </c>
      <c r="G742" s="16">
        <f t="shared" si="46"/>
        <v>18580</v>
      </c>
      <c r="H742" s="16">
        <v>22000</v>
      </c>
      <c r="I742" s="16">
        <f t="shared" si="45"/>
        <v>0</v>
      </c>
      <c r="J742" s="31">
        <v>22000</v>
      </c>
      <c r="K742" s="69">
        <f t="shared" si="47"/>
        <v>0</v>
      </c>
      <c r="L742" s="50">
        <v>3420</v>
      </c>
      <c r="M742" s="109">
        <v>3420</v>
      </c>
      <c r="N742" s="110">
        <v>1</v>
      </c>
    </row>
    <row r="743" spans="1:14" ht="15" hidden="1" customHeight="1" thickBot="1" x14ac:dyDescent="0.35">
      <c r="A743" s="14">
        <v>148</v>
      </c>
      <c r="B743" s="15" t="s">
        <v>1812</v>
      </c>
      <c r="C743" s="14" t="s">
        <v>604</v>
      </c>
      <c r="D743" s="14" t="s">
        <v>614</v>
      </c>
      <c r="E743" s="15" t="s">
        <v>503</v>
      </c>
      <c r="F743" s="15">
        <v>10</v>
      </c>
      <c r="G743" s="16">
        <f t="shared" si="46"/>
        <v>30717</v>
      </c>
      <c r="H743" s="16">
        <v>31167</v>
      </c>
      <c r="I743" s="16">
        <f t="shared" si="45"/>
        <v>0</v>
      </c>
      <c r="J743" s="31">
        <v>31167</v>
      </c>
      <c r="K743" s="69">
        <f t="shared" si="47"/>
        <v>0</v>
      </c>
      <c r="L743" s="50">
        <v>450</v>
      </c>
      <c r="M743" s="109">
        <v>450</v>
      </c>
      <c r="N743" s="110"/>
    </row>
    <row r="744" spans="1:14" ht="15" hidden="1" customHeight="1" thickBot="1" x14ac:dyDescent="0.35">
      <c r="A744" s="14">
        <v>148</v>
      </c>
      <c r="B744" s="15" t="s">
        <v>1812</v>
      </c>
      <c r="C744" s="14" t="s">
        <v>604</v>
      </c>
      <c r="D744" s="14" t="s">
        <v>614</v>
      </c>
      <c r="E744" s="15" t="s">
        <v>502</v>
      </c>
      <c r="F744" s="15">
        <v>8</v>
      </c>
      <c r="G744" s="16">
        <f t="shared" si="46"/>
        <v>29877</v>
      </c>
      <c r="H744" s="16">
        <v>33187</v>
      </c>
      <c r="I744" s="16">
        <f t="shared" si="45"/>
        <v>0</v>
      </c>
      <c r="J744" s="31">
        <v>33187</v>
      </c>
      <c r="K744" s="69">
        <f t="shared" si="47"/>
        <v>0</v>
      </c>
      <c r="L744" s="50">
        <v>3310</v>
      </c>
      <c r="M744" s="109">
        <v>3310</v>
      </c>
      <c r="N744" s="110"/>
    </row>
    <row r="745" spans="1:14" ht="15" hidden="1" customHeight="1" thickBot="1" x14ac:dyDescent="0.35">
      <c r="A745" s="14">
        <v>148</v>
      </c>
      <c r="B745" s="15" t="s">
        <v>1812</v>
      </c>
      <c r="C745" s="14" t="s">
        <v>604</v>
      </c>
      <c r="D745" s="14" t="s">
        <v>510</v>
      </c>
      <c r="E745" s="15" t="s">
        <v>508</v>
      </c>
      <c r="F745" s="15">
        <v>3</v>
      </c>
      <c r="G745" s="16">
        <f t="shared" si="46"/>
        <v>8130</v>
      </c>
      <c r="H745" s="16">
        <v>8250</v>
      </c>
      <c r="I745" s="16">
        <f t="shared" si="45"/>
        <v>0</v>
      </c>
      <c r="J745" s="31">
        <v>8250</v>
      </c>
      <c r="K745" s="69">
        <f t="shared" si="47"/>
        <v>0</v>
      </c>
      <c r="L745" s="50">
        <v>120</v>
      </c>
      <c r="M745" s="109">
        <v>120</v>
      </c>
      <c r="N745" s="110"/>
    </row>
    <row r="746" spans="1:14" ht="15" hidden="1" customHeight="1" thickBot="1" x14ac:dyDescent="0.35">
      <c r="A746" s="14">
        <v>148</v>
      </c>
      <c r="B746" s="15" t="s">
        <v>1812</v>
      </c>
      <c r="C746" s="14" t="s">
        <v>604</v>
      </c>
      <c r="D746" s="14" t="s">
        <v>510</v>
      </c>
      <c r="E746" s="15" t="s">
        <v>503</v>
      </c>
      <c r="F746" s="15">
        <v>5</v>
      </c>
      <c r="G746" s="16">
        <f t="shared" si="46"/>
        <v>6039.5</v>
      </c>
      <c r="H746" s="16">
        <v>6089.5</v>
      </c>
      <c r="I746" s="16">
        <f t="shared" ref="I746:I809" si="48">J746-H746</f>
        <v>0</v>
      </c>
      <c r="J746" s="31">
        <v>6089.5</v>
      </c>
      <c r="K746" s="69">
        <f t="shared" si="47"/>
        <v>0</v>
      </c>
      <c r="L746" s="50">
        <v>50</v>
      </c>
      <c r="M746" s="109">
        <v>50</v>
      </c>
      <c r="N746" s="110"/>
    </row>
    <row r="747" spans="1:14" ht="15" hidden="1" customHeight="1" thickBot="1" x14ac:dyDescent="0.35">
      <c r="A747" s="14">
        <v>148</v>
      </c>
      <c r="B747" s="15" t="s">
        <v>1812</v>
      </c>
      <c r="C747" s="14" t="s">
        <v>604</v>
      </c>
      <c r="D747" s="14" t="s">
        <v>530</v>
      </c>
      <c r="E747" s="15" t="s">
        <v>500</v>
      </c>
      <c r="F747" s="15"/>
      <c r="G747" s="16">
        <f t="shared" si="46"/>
        <v>4775</v>
      </c>
      <c r="H747" s="16">
        <v>5225</v>
      </c>
      <c r="I747" s="16">
        <f t="shared" si="48"/>
        <v>0</v>
      </c>
      <c r="J747" s="31">
        <v>5225</v>
      </c>
      <c r="K747" s="69">
        <f t="shared" si="47"/>
        <v>0</v>
      </c>
      <c r="L747" s="50">
        <v>450</v>
      </c>
      <c r="M747" s="109">
        <v>450</v>
      </c>
      <c r="N747" s="110"/>
    </row>
    <row r="748" spans="1:14" ht="15" hidden="1" customHeight="1" thickBot="1" x14ac:dyDescent="0.35">
      <c r="A748" s="14">
        <v>148</v>
      </c>
      <c r="B748" s="15" t="s">
        <v>1812</v>
      </c>
      <c r="C748" s="14" t="s">
        <v>604</v>
      </c>
      <c r="D748" s="14" t="s">
        <v>529</v>
      </c>
      <c r="E748" s="15" t="s">
        <v>500</v>
      </c>
      <c r="F748" s="15">
        <v>5</v>
      </c>
      <c r="G748" s="16">
        <f t="shared" si="46"/>
        <v>4925</v>
      </c>
      <c r="H748" s="16">
        <v>5225</v>
      </c>
      <c r="I748" s="16">
        <f t="shared" si="48"/>
        <v>0</v>
      </c>
      <c r="J748" s="31">
        <v>5225</v>
      </c>
      <c r="K748" s="69">
        <f t="shared" si="47"/>
        <v>0</v>
      </c>
      <c r="L748" s="50">
        <v>300</v>
      </c>
      <c r="M748" s="109">
        <v>300</v>
      </c>
      <c r="N748" s="110"/>
    </row>
    <row r="749" spans="1:14" ht="15" hidden="1" customHeight="1" thickBot="1" x14ac:dyDescent="0.35">
      <c r="A749" s="14">
        <v>148</v>
      </c>
      <c r="B749" s="15" t="s">
        <v>1812</v>
      </c>
      <c r="C749" s="14" t="s">
        <v>604</v>
      </c>
      <c r="D749" s="14" t="s">
        <v>720</v>
      </c>
      <c r="E749" s="15" t="s">
        <v>508</v>
      </c>
      <c r="F749" s="15">
        <v>1</v>
      </c>
      <c r="G749" s="16">
        <f t="shared" si="46"/>
        <v>2466</v>
      </c>
      <c r="H749" s="16">
        <v>2466</v>
      </c>
      <c r="I749" s="16">
        <f t="shared" si="48"/>
        <v>0</v>
      </c>
      <c r="J749" s="31">
        <v>2466</v>
      </c>
      <c r="K749" s="69">
        <f t="shared" si="47"/>
        <v>0</v>
      </c>
      <c r="L749" s="50"/>
      <c r="M749" s="109"/>
      <c r="N749" s="110"/>
    </row>
    <row r="750" spans="1:14" ht="15" hidden="1" customHeight="1" thickBot="1" x14ac:dyDescent="0.35">
      <c r="A750" s="14">
        <v>148</v>
      </c>
      <c r="B750" s="15" t="s">
        <v>1812</v>
      </c>
      <c r="C750" s="14" t="s">
        <v>604</v>
      </c>
      <c r="D750" s="14" t="s">
        <v>524</v>
      </c>
      <c r="E750" s="15" t="s">
        <v>503</v>
      </c>
      <c r="F750" s="15">
        <v>4</v>
      </c>
      <c r="G750" s="16">
        <f t="shared" si="46"/>
        <v>4186</v>
      </c>
      <c r="H750" s="16">
        <v>4186</v>
      </c>
      <c r="I750" s="16">
        <f t="shared" si="48"/>
        <v>0</v>
      </c>
      <c r="J750" s="31">
        <v>4186</v>
      </c>
      <c r="K750" s="69">
        <f t="shared" si="47"/>
        <v>0</v>
      </c>
      <c r="L750" s="50"/>
      <c r="M750" s="109"/>
      <c r="N750" s="110"/>
    </row>
    <row r="751" spans="1:14" ht="15" hidden="1" customHeight="1" thickBot="1" x14ac:dyDescent="0.35">
      <c r="A751" s="14">
        <v>148</v>
      </c>
      <c r="B751" s="15" t="s">
        <v>1812</v>
      </c>
      <c r="C751" s="14" t="s">
        <v>605</v>
      </c>
      <c r="D751" s="14" t="s">
        <v>529</v>
      </c>
      <c r="E751" s="15" t="s">
        <v>500</v>
      </c>
      <c r="F751" s="15"/>
      <c r="G751" s="16">
        <f t="shared" si="46"/>
        <v>1875</v>
      </c>
      <c r="H751" s="16">
        <v>1875</v>
      </c>
      <c r="I751" s="16">
        <f t="shared" si="48"/>
        <v>0</v>
      </c>
      <c r="J751" s="31">
        <v>1875</v>
      </c>
      <c r="K751" s="69">
        <f t="shared" si="47"/>
        <v>0</v>
      </c>
      <c r="L751" s="50"/>
      <c r="M751" s="109"/>
      <c r="N751" s="110"/>
    </row>
    <row r="752" spans="1:14" ht="15" hidden="1" customHeight="1" thickBot="1" x14ac:dyDescent="0.35">
      <c r="A752" s="14">
        <v>148</v>
      </c>
      <c r="B752" s="15" t="s">
        <v>1812</v>
      </c>
      <c r="C752" s="14" t="s">
        <v>605</v>
      </c>
      <c r="D752" s="14" t="s">
        <v>614</v>
      </c>
      <c r="E752" s="15" t="s">
        <v>499</v>
      </c>
      <c r="F752" s="15">
        <v>9</v>
      </c>
      <c r="G752" s="16">
        <f t="shared" si="46"/>
        <v>17220</v>
      </c>
      <c r="H752" s="16">
        <v>21120</v>
      </c>
      <c r="I752" s="16">
        <f t="shared" si="48"/>
        <v>0</v>
      </c>
      <c r="J752" s="31">
        <v>21120</v>
      </c>
      <c r="K752" s="69">
        <f t="shared" si="47"/>
        <v>0</v>
      </c>
      <c r="L752" s="50">
        <v>3900</v>
      </c>
      <c r="M752" s="109">
        <v>3900</v>
      </c>
      <c r="N752" s="110">
        <v>0.95</v>
      </c>
    </row>
    <row r="753" spans="1:14" ht="15" hidden="1" customHeight="1" thickBot="1" x14ac:dyDescent="0.35">
      <c r="A753" s="14">
        <v>148</v>
      </c>
      <c r="B753" s="15" t="s">
        <v>1812</v>
      </c>
      <c r="C753" s="14" t="s">
        <v>605</v>
      </c>
      <c r="D753" s="14" t="s">
        <v>1832</v>
      </c>
      <c r="E753" s="15" t="s">
        <v>499</v>
      </c>
      <c r="F753" s="15">
        <v>2</v>
      </c>
      <c r="G753" s="16">
        <f t="shared" si="46"/>
        <v>7200</v>
      </c>
      <c r="H753" s="16">
        <v>7200</v>
      </c>
      <c r="I753" s="16">
        <f t="shared" si="48"/>
        <v>0</v>
      </c>
      <c r="J753" s="31">
        <v>7200</v>
      </c>
      <c r="K753" s="69">
        <f t="shared" si="47"/>
        <v>0</v>
      </c>
      <c r="L753" s="50"/>
      <c r="M753" s="109"/>
      <c r="N753" s="110"/>
    </row>
    <row r="754" spans="1:14" ht="15" hidden="1" customHeight="1" thickBot="1" x14ac:dyDescent="0.35">
      <c r="A754" s="14">
        <v>148</v>
      </c>
      <c r="B754" s="15" t="s">
        <v>1812</v>
      </c>
      <c r="C754" s="14" t="s">
        <v>605</v>
      </c>
      <c r="D754" s="14" t="s">
        <v>510</v>
      </c>
      <c r="E754" s="15" t="s">
        <v>499</v>
      </c>
      <c r="F754" s="15">
        <v>5</v>
      </c>
      <c r="G754" s="16">
        <f t="shared" si="46"/>
        <v>12060</v>
      </c>
      <c r="H754" s="16">
        <v>13500</v>
      </c>
      <c r="I754" s="16">
        <f t="shared" si="48"/>
        <v>0</v>
      </c>
      <c r="J754" s="31">
        <v>13500</v>
      </c>
      <c r="K754" s="69">
        <f t="shared" si="47"/>
        <v>0</v>
      </c>
      <c r="L754" s="50">
        <v>1440</v>
      </c>
      <c r="M754" s="109">
        <v>1440</v>
      </c>
      <c r="N754" s="110"/>
    </row>
    <row r="755" spans="1:14" ht="15" hidden="1" customHeight="1" thickBot="1" x14ac:dyDescent="0.35">
      <c r="A755" s="14">
        <v>148</v>
      </c>
      <c r="B755" s="15" t="s">
        <v>1812</v>
      </c>
      <c r="C755" s="14" t="s">
        <v>605</v>
      </c>
      <c r="D755" s="14" t="s">
        <v>614</v>
      </c>
      <c r="E755" s="15" t="s">
        <v>502</v>
      </c>
      <c r="F755" s="15"/>
      <c r="G755" s="16">
        <f t="shared" si="46"/>
        <v>6600</v>
      </c>
      <c r="H755" s="16">
        <v>6600</v>
      </c>
      <c r="I755" s="16">
        <f t="shared" si="48"/>
        <v>0</v>
      </c>
      <c r="J755" s="31">
        <v>6600</v>
      </c>
      <c r="K755" s="69">
        <f t="shared" si="47"/>
        <v>0</v>
      </c>
      <c r="L755" s="50"/>
      <c r="M755" s="109"/>
      <c r="N755" s="110"/>
    </row>
    <row r="756" spans="1:14" ht="15" hidden="1" customHeight="1" thickBot="1" x14ac:dyDescent="0.35">
      <c r="A756" s="14">
        <v>148</v>
      </c>
      <c r="B756" s="15" t="s">
        <v>1812</v>
      </c>
      <c r="C756" s="14" t="s">
        <v>605</v>
      </c>
      <c r="D756" s="14" t="s">
        <v>1830</v>
      </c>
      <c r="E756" s="15" t="s">
        <v>502</v>
      </c>
      <c r="F756" s="15">
        <v>3</v>
      </c>
      <c r="G756" s="16">
        <f t="shared" si="46"/>
        <v>4500</v>
      </c>
      <c r="H756" s="16">
        <v>4500</v>
      </c>
      <c r="I756" s="16">
        <f t="shared" si="48"/>
        <v>0</v>
      </c>
      <c r="J756" s="31">
        <v>4500</v>
      </c>
      <c r="K756" s="69">
        <f t="shared" si="47"/>
        <v>0</v>
      </c>
      <c r="L756" s="50"/>
      <c r="M756" s="109"/>
      <c r="N756" s="110"/>
    </row>
    <row r="757" spans="1:14" ht="15" hidden="1" customHeight="1" thickBot="1" x14ac:dyDescent="0.35">
      <c r="A757" s="14">
        <v>148</v>
      </c>
      <c r="B757" s="15" t="s">
        <v>1812</v>
      </c>
      <c r="C757" s="14" t="s">
        <v>605</v>
      </c>
      <c r="D757" s="14" t="s">
        <v>510</v>
      </c>
      <c r="E757" s="15" t="s">
        <v>502</v>
      </c>
      <c r="F757" s="15">
        <v>1</v>
      </c>
      <c r="G757" s="16">
        <f t="shared" si="46"/>
        <v>4500</v>
      </c>
      <c r="H757" s="16">
        <v>4500</v>
      </c>
      <c r="I757" s="16">
        <f t="shared" si="48"/>
        <v>0</v>
      </c>
      <c r="J757" s="31">
        <v>4500</v>
      </c>
      <c r="K757" s="69">
        <f t="shared" si="47"/>
        <v>0</v>
      </c>
      <c r="L757" s="50"/>
      <c r="M757" s="109"/>
      <c r="N757" s="110"/>
    </row>
    <row r="758" spans="1:14" ht="15" hidden="1" customHeight="1" thickBot="1" x14ac:dyDescent="0.35">
      <c r="A758" s="14">
        <v>148</v>
      </c>
      <c r="B758" s="15" t="s">
        <v>1812</v>
      </c>
      <c r="C758" s="14" t="s">
        <v>605</v>
      </c>
      <c r="D758" s="14" t="s">
        <v>524</v>
      </c>
      <c r="E758" s="15" t="s">
        <v>503</v>
      </c>
      <c r="F758" s="15">
        <v>3</v>
      </c>
      <c r="G758" s="16">
        <f t="shared" si="46"/>
        <v>12960</v>
      </c>
      <c r="H758" s="16">
        <v>13500</v>
      </c>
      <c r="I758" s="16">
        <f t="shared" si="48"/>
        <v>0</v>
      </c>
      <c r="J758" s="31">
        <v>13500</v>
      </c>
      <c r="K758" s="69">
        <f t="shared" si="47"/>
        <v>0</v>
      </c>
      <c r="L758" s="50">
        <v>540</v>
      </c>
      <c r="M758" s="109">
        <v>540</v>
      </c>
      <c r="N758" s="110"/>
    </row>
    <row r="759" spans="1:14" ht="15" hidden="1" customHeight="1" thickBot="1" x14ac:dyDescent="0.35">
      <c r="A759" s="14">
        <v>148</v>
      </c>
      <c r="B759" s="15" t="s">
        <v>1812</v>
      </c>
      <c r="C759" s="14" t="s">
        <v>605</v>
      </c>
      <c r="D759" s="14" t="s">
        <v>510</v>
      </c>
      <c r="E759" s="15" t="s">
        <v>503</v>
      </c>
      <c r="F759" s="15">
        <v>1</v>
      </c>
      <c r="G759" s="16">
        <f t="shared" si="46"/>
        <v>9060</v>
      </c>
      <c r="H759" s="16">
        <v>9300</v>
      </c>
      <c r="I759" s="16">
        <f t="shared" si="48"/>
        <v>0</v>
      </c>
      <c r="J759" s="31">
        <v>9300</v>
      </c>
      <c r="K759" s="69">
        <f t="shared" si="47"/>
        <v>0</v>
      </c>
      <c r="L759" s="50">
        <v>240</v>
      </c>
      <c r="M759" s="109">
        <v>240</v>
      </c>
      <c r="N759" s="110"/>
    </row>
    <row r="760" spans="1:14" ht="15" hidden="1" customHeight="1" thickBot="1" x14ac:dyDescent="0.35">
      <c r="A760" s="14">
        <v>148</v>
      </c>
      <c r="B760" s="15" t="s">
        <v>1812</v>
      </c>
      <c r="C760" s="14" t="s">
        <v>605</v>
      </c>
      <c r="D760" s="14" t="s">
        <v>614</v>
      </c>
      <c r="E760" s="15" t="s">
        <v>503</v>
      </c>
      <c r="F760" s="15">
        <v>8</v>
      </c>
      <c r="G760" s="16">
        <f t="shared" si="46"/>
        <v>18500</v>
      </c>
      <c r="H760" s="16">
        <v>19800</v>
      </c>
      <c r="I760" s="16">
        <f t="shared" si="48"/>
        <v>0</v>
      </c>
      <c r="J760" s="31">
        <v>19800</v>
      </c>
      <c r="K760" s="69">
        <f t="shared" si="47"/>
        <v>0</v>
      </c>
      <c r="L760" s="50">
        <v>1300</v>
      </c>
      <c r="M760" s="109">
        <v>1300</v>
      </c>
      <c r="N760" s="110"/>
    </row>
    <row r="761" spans="1:14" ht="15" hidden="1" customHeight="1" thickBot="1" x14ac:dyDescent="0.35">
      <c r="A761" s="14">
        <v>148</v>
      </c>
      <c r="B761" s="15" t="s">
        <v>1812</v>
      </c>
      <c r="C761" s="14" t="s">
        <v>605</v>
      </c>
      <c r="D761" s="14" t="s">
        <v>720</v>
      </c>
      <c r="E761" s="15" t="s">
        <v>508</v>
      </c>
      <c r="F761" s="15">
        <v>3</v>
      </c>
      <c r="G761" s="16">
        <f t="shared" si="46"/>
        <v>6500</v>
      </c>
      <c r="H761" s="16">
        <v>6650</v>
      </c>
      <c r="I761" s="16">
        <f t="shared" si="48"/>
        <v>0</v>
      </c>
      <c r="J761" s="31">
        <v>6650</v>
      </c>
      <c r="K761" s="69">
        <f t="shared" si="47"/>
        <v>0</v>
      </c>
      <c r="L761" s="50">
        <v>150</v>
      </c>
      <c r="M761" s="109">
        <v>150</v>
      </c>
      <c r="N761" s="110"/>
    </row>
    <row r="762" spans="1:14" ht="15" hidden="1" customHeight="1" thickBot="1" x14ac:dyDescent="0.35">
      <c r="A762" s="14">
        <v>148</v>
      </c>
      <c r="B762" s="15" t="s">
        <v>1812</v>
      </c>
      <c r="C762" s="14" t="s">
        <v>605</v>
      </c>
      <c r="D762" s="14" t="s">
        <v>530</v>
      </c>
      <c r="E762" s="15" t="s">
        <v>500</v>
      </c>
      <c r="F762" s="15">
        <v>5</v>
      </c>
      <c r="G762" s="16">
        <f t="shared" si="46"/>
        <v>6750</v>
      </c>
      <c r="H762" s="16">
        <v>6750</v>
      </c>
      <c r="I762" s="16">
        <f t="shared" si="48"/>
        <v>0</v>
      </c>
      <c r="J762" s="31">
        <v>6750</v>
      </c>
      <c r="K762" s="69">
        <f t="shared" si="47"/>
        <v>0</v>
      </c>
      <c r="L762" s="50"/>
      <c r="M762" s="109"/>
      <c r="N762" s="110"/>
    </row>
    <row r="763" spans="1:14" ht="15" hidden="1" customHeight="1" thickBot="1" x14ac:dyDescent="0.35">
      <c r="A763" s="14">
        <v>148</v>
      </c>
      <c r="B763" s="15" t="s">
        <v>1812</v>
      </c>
      <c r="C763" s="14" t="s">
        <v>605</v>
      </c>
      <c r="D763" s="14" t="s">
        <v>523</v>
      </c>
      <c r="E763" s="15" t="s">
        <v>508</v>
      </c>
      <c r="F763" s="15">
        <v>5</v>
      </c>
      <c r="G763" s="16">
        <f t="shared" si="46"/>
        <v>9120</v>
      </c>
      <c r="H763" s="16">
        <v>9360</v>
      </c>
      <c r="I763" s="16">
        <f t="shared" si="48"/>
        <v>0</v>
      </c>
      <c r="J763" s="31">
        <v>9360</v>
      </c>
      <c r="K763" s="69">
        <f t="shared" si="47"/>
        <v>0</v>
      </c>
      <c r="L763" s="50">
        <v>240</v>
      </c>
      <c r="M763" s="109">
        <v>240</v>
      </c>
      <c r="N763" s="110"/>
    </row>
    <row r="764" spans="1:14" ht="15" hidden="1" customHeight="1" thickBot="1" x14ac:dyDescent="0.35">
      <c r="A764" s="14">
        <v>148</v>
      </c>
      <c r="B764" s="15" t="s">
        <v>1812</v>
      </c>
      <c r="C764" s="14" t="s">
        <v>605</v>
      </c>
      <c r="D764" s="14" t="s">
        <v>614</v>
      </c>
      <c r="E764" s="15" t="s">
        <v>506</v>
      </c>
      <c r="F764" s="15">
        <v>1</v>
      </c>
      <c r="G764" s="16">
        <f t="shared" si="46"/>
        <v>5133</v>
      </c>
      <c r="H764" s="16">
        <v>6600</v>
      </c>
      <c r="I764" s="16">
        <f t="shared" si="48"/>
        <v>0</v>
      </c>
      <c r="J764" s="31">
        <v>6600</v>
      </c>
      <c r="K764" s="69">
        <f t="shared" si="47"/>
        <v>0</v>
      </c>
      <c r="L764" s="50">
        <v>1467</v>
      </c>
      <c r="M764" s="109">
        <v>1467</v>
      </c>
      <c r="N764" s="110"/>
    </row>
    <row r="765" spans="1:14" ht="15" hidden="1" customHeight="1" thickBot="1" x14ac:dyDescent="0.35">
      <c r="A765" s="14">
        <v>148</v>
      </c>
      <c r="B765" s="15" t="s">
        <v>1812</v>
      </c>
      <c r="C765" s="14" t="s">
        <v>605</v>
      </c>
      <c r="D765" s="14" t="s">
        <v>510</v>
      </c>
      <c r="E765" s="15" t="s">
        <v>508</v>
      </c>
      <c r="F765" s="15">
        <v>6</v>
      </c>
      <c r="G765" s="16">
        <f t="shared" si="46"/>
        <v>13405</v>
      </c>
      <c r="H765" s="16">
        <v>14325</v>
      </c>
      <c r="I765" s="16">
        <f t="shared" si="48"/>
        <v>0</v>
      </c>
      <c r="J765" s="31">
        <v>14325</v>
      </c>
      <c r="K765" s="69">
        <f t="shared" si="47"/>
        <v>0</v>
      </c>
      <c r="L765" s="50">
        <v>920</v>
      </c>
      <c r="M765" s="109">
        <v>920</v>
      </c>
      <c r="N765" s="110">
        <v>0.96499999999999997</v>
      </c>
    </row>
    <row r="766" spans="1:14" ht="15" hidden="1" customHeight="1" thickBot="1" x14ac:dyDescent="0.35">
      <c r="A766" s="14">
        <v>148</v>
      </c>
      <c r="B766" s="15" t="s">
        <v>1812</v>
      </c>
      <c r="C766" s="14" t="s">
        <v>605</v>
      </c>
      <c r="D766" s="14" t="s">
        <v>614</v>
      </c>
      <c r="E766" s="15" t="s">
        <v>508</v>
      </c>
      <c r="F766" s="15">
        <v>6</v>
      </c>
      <c r="G766" s="16">
        <f t="shared" si="46"/>
        <v>18780</v>
      </c>
      <c r="H766" s="16">
        <v>19800</v>
      </c>
      <c r="I766" s="16">
        <f t="shared" si="48"/>
        <v>0</v>
      </c>
      <c r="J766" s="31">
        <v>19800</v>
      </c>
      <c r="K766" s="69">
        <f t="shared" si="47"/>
        <v>0</v>
      </c>
      <c r="L766" s="50">
        <v>1020</v>
      </c>
      <c r="M766" s="109">
        <v>1020</v>
      </c>
      <c r="N766" s="110"/>
    </row>
    <row r="767" spans="1:14" ht="15" hidden="1" customHeight="1" thickBot="1" x14ac:dyDescent="0.35">
      <c r="A767" s="14">
        <v>148</v>
      </c>
      <c r="B767" s="15" t="s">
        <v>1812</v>
      </c>
      <c r="C767" s="14" t="s">
        <v>605</v>
      </c>
      <c r="D767" s="14" t="s">
        <v>510</v>
      </c>
      <c r="E767" s="15" t="s">
        <v>506</v>
      </c>
      <c r="F767" s="15">
        <v>1</v>
      </c>
      <c r="G767" s="16">
        <f t="shared" si="46"/>
        <v>4500</v>
      </c>
      <c r="H767" s="16">
        <v>4500</v>
      </c>
      <c r="I767" s="16">
        <f t="shared" si="48"/>
        <v>0</v>
      </c>
      <c r="J767" s="31">
        <v>4500</v>
      </c>
      <c r="K767" s="69">
        <f t="shared" si="47"/>
        <v>0</v>
      </c>
      <c r="L767" s="50"/>
      <c r="M767" s="109"/>
      <c r="N767" s="110"/>
    </row>
    <row r="768" spans="1:14" ht="15" hidden="1" customHeight="1" thickBot="1" x14ac:dyDescent="0.35">
      <c r="A768" s="14">
        <v>148</v>
      </c>
      <c r="B768" s="15" t="s">
        <v>1812</v>
      </c>
      <c r="C768" s="14" t="s">
        <v>605</v>
      </c>
      <c r="D768" s="14" t="s">
        <v>806</v>
      </c>
      <c r="E768" s="15" t="s">
        <v>506</v>
      </c>
      <c r="F768" s="15">
        <v>2</v>
      </c>
      <c r="G768" s="16">
        <f t="shared" si="46"/>
        <v>7125</v>
      </c>
      <c r="H768" s="16">
        <v>7125</v>
      </c>
      <c r="I768" s="16">
        <f t="shared" si="48"/>
        <v>0</v>
      </c>
      <c r="J768" s="31">
        <v>7125</v>
      </c>
      <c r="K768" s="69">
        <f t="shared" si="47"/>
        <v>0</v>
      </c>
      <c r="L768" s="50"/>
      <c r="M768" s="109"/>
      <c r="N768" s="110"/>
    </row>
    <row r="769" spans="1:14" ht="15" hidden="1" thickBot="1" x14ac:dyDescent="0.35">
      <c r="A769" s="14">
        <v>149</v>
      </c>
      <c r="B769" s="14" t="s">
        <v>766</v>
      </c>
      <c r="C769" s="14" t="s">
        <v>605</v>
      </c>
      <c r="D769" s="14" t="s">
        <v>532</v>
      </c>
      <c r="E769" s="15" t="s">
        <v>500</v>
      </c>
      <c r="F769" s="15"/>
      <c r="G769" s="16">
        <f t="shared" si="46"/>
        <v>2400</v>
      </c>
      <c r="H769" s="16">
        <v>2400</v>
      </c>
      <c r="I769" s="16">
        <f t="shared" si="48"/>
        <v>0</v>
      </c>
      <c r="J769" s="31">
        <v>2400</v>
      </c>
      <c r="K769" s="69">
        <f t="shared" si="47"/>
        <v>0</v>
      </c>
      <c r="L769" s="50"/>
      <c r="M769" s="109"/>
      <c r="N769" s="110"/>
    </row>
    <row r="770" spans="1:14" ht="15" hidden="1" thickBot="1" x14ac:dyDescent="0.35">
      <c r="A770" s="14">
        <v>149</v>
      </c>
      <c r="B770" s="14" t="s">
        <v>766</v>
      </c>
      <c r="C770" s="14" t="s">
        <v>605</v>
      </c>
      <c r="D770" s="14" t="s">
        <v>767</v>
      </c>
      <c r="E770" s="15" t="s">
        <v>500</v>
      </c>
      <c r="F770" s="15"/>
      <c r="G770" s="16">
        <f t="shared" si="46"/>
        <v>600</v>
      </c>
      <c r="H770" s="16">
        <v>600</v>
      </c>
      <c r="I770" s="16">
        <f t="shared" si="48"/>
        <v>0</v>
      </c>
      <c r="J770" s="31">
        <v>600</v>
      </c>
      <c r="K770" s="69">
        <f t="shared" si="47"/>
        <v>0</v>
      </c>
      <c r="L770" s="50"/>
      <c r="M770" s="109"/>
      <c r="N770" s="110"/>
    </row>
    <row r="771" spans="1:14" ht="15" hidden="1" thickBot="1" x14ac:dyDescent="0.35">
      <c r="A771" s="14">
        <v>149</v>
      </c>
      <c r="B771" s="14" t="s">
        <v>766</v>
      </c>
      <c r="C771" s="14" t="s">
        <v>605</v>
      </c>
      <c r="D771" s="14" t="s">
        <v>529</v>
      </c>
      <c r="E771" s="15" t="s">
        <v>500</v>
      </c>
      <c r="F771" s="15"/>
      <c r="G771" s="16">
        <f t="shared" si="46"/>
        <v>2250</v>
      </c>
      <c r="H771" s="16">
        <v>2250</v>
      </c>
      <c r="I771" s="16">
        <f t="shared" si="48"/>
        <v>0</v>
      </c>
      <c r="J771" s="31">
        <v>2250</v>
      </c>
      <c r="K771" s="69">
        <f t="shared" si="47"/>
        <v>0</v>
      </c>
      <c r="L771" s="50"/>
      <c r="M771" s="109"/>
      <c r="N771" s="110"/>
    </row>
    <row r="772" spans="1:14" ht="15" hidden="1" thickBot="1" x14ac:dyDescent="0.35">
      <c r="A772" s="14">
        <v>150</v>
      </c>
      <c r="B772" s="14" t="s">
        <v>768</v>
      </c>
      <c r="C772" s="14" t="s">
        <v>605</v>
      </c>
      <c r="D772" s="14" t="s">
        <v>1831</v>
      </c>
      <c r="E772" s="15" t="s">
        <v>504</v>
      </c>
      <c r="F772" s="15">
        <v>2</v>
      </c>
      <c r="G772" s="16">
        <f t="shared" si="46"/>
        <v>1950</v>
      </c>
      <c r="H772" s="16">
        <v>1950</v>
      </c>
      <c r="I772" s="16">
        <f t="shared" si="48"/>
        <v>0</v>
      </c>
      <c r="J772" s="31">
        <v>1950</v>
      </c>
      <c r="K772" s="69">
        <f t="shared" si="47"/>
        <v>0</v>
      </c>
      <c r="L772" s="50"/>
      <c r="M772" s="109"/>
      <c r="N772" s="110"/>
    </row>
    <row r="773" spans="1:14" ht="15" hidden="1" thickBot="1" x14ac:dyDescent="0.35">
      <c r="A773" s="14">
        <v>150</v>
      </c>
      <c r="B773" s="14" t="s">
        <v>768</v>
      </c>
      <c r="C773" s="14" t="s">
        <v>605</v>
      </c>
      <c r="D773" s="14" t="s">
        <v>532</v>
      </c>
      <c r="E773" s="15" t="s">
        <v>500</v>
      </c>
      <c r="F773" s="15">
        <v>3</v>
      </c>
      <c r="G773" s="16">
        <f t="shared" si="46"/>
        <v>3600</v>
      </c>
      <c r="H773" s="16">
        <v>3600</v>
      </c>
      <c r="I773" s="16">
        <f t="shared" si="48"/>
        <v>0</v>
      </c>
      <c r="J773" s="31">
        <v>3600</v>
      </c>
      <c r="K773" s="69">
        <f t="shared" si="47"/>
        <v>0</v>
      </c>
      <c r="L773" s="50"/>
      <c r="M773" s="109"/>
      <c r="N773" s="110"/>
    </row>
    <row r="774" spans="1:14" ht="15" hidden="1" thickBot="1" x14ac:dyDescent="0.35">
      <c r="A774" s="14">
        <v>150</v>
      </c>
      <c r="B774" s="14" t="s">
        <v>768</v>
      </c>
      <c r="C774" s="14" t="s">
        <v>605</v>
      </c>
      <c r="D774" s="14" t="s">
        <v>761</v>
      </c>
      <c r="E774" s="15" t="s">
        <v>500</v>
      </c>
      <c r="F774" s="15">
        <v>3</v>
      </c>
      <c r="G774" s="16">
        <f t="shared" si="46"/>
        <v>2850</v>
      </c>
      <c r="H774" s="16">
        <v>2850</v>
      </c>
      <c r="I774" s="16">
        <f t="shared" si="48"/>
        <v>0</v>
      </c>
      <c r="J774" s="31">
        <v>2850</v>
      </c>
      <c r="K774" s="69">
        <f t="shared" si="47"/>
        <v>0</v>
      </c>
      <c r="L774" s="50"/>
      <c r="M774" s="109"/>
      <c r="N774" s="110"/>
    </row>
    <row r="775" spans="1:14" ht="15" hidden="1" thickBot="1" x14ac:dyDescent="0.35">
      <c r="A775" s="14">
        <v>150</v>
      </c>
      <c r="B775" s="14" t="s">
        <v>768</v>
      </c>
      <c r="C775" s="14" t="s">
        <v>605</v>
      </c>
      <c r="D775" s="14" t="s">
        <v>527</v>
      </c>
      <c r="E775" s="15" t="s">
        <v>500</v>
      </c>
      <c r="F775" s="15">
        <v>2</v>
      </c>
      <c r="G775" s="16">
        <f t="shared" si="46"/>
        <v>2880</v>
      </c>
      <c r="H775" s="16">
        <v>3150</v>
      </c>
      <c r="I775" s="16">
        <f t="shared" si="48"/>
        <v>0</v>
      </c>
      <c r="J775" s="31">
        <v>3150</v>
      </c>
      <c r="K775" s="69">
        <f t="shared" si="47"/>
        <v>0</v>
      </c>
      <c r="L775" s="50">
        <v>270</v>
      </c>
      <c r="M775" s="109">
        <v>270</v>
      </c>
      <c r="N775" s="110"/>
    </row>
    <row r="776" spans="1:14" ht="15" hidden="1" thickBot="1" x14ac:dyDescent="0.35">
      <c r="A776" s="14">
        <v>150</v>
      </c>
      <c r="B776" s="14" t="s">
        <v>768</v>
      </c>
      <c r="C776" s="14" t="s">
        <v>605</v>
      </c>
      <c r="D776" s="14" t="s">
        <v>637</v>
      </c>
      <c r="E776" s="15" t="s">
        <v>504</v>
      </c>
      <c r="F776" s="15">
        <v>1</v>
      </c>
      <c r="G776" s="16">
        <f t="shared" si="46"/>
        <v>2850</v>
      </c>
      <c r="H776" s="16">
        <v>3000</v>
      </c>
      <c r="I776" s="16">
        <f t="shared" si="48"/>
        <v>0</v>
      </c>
      <c r="J776" s="31">
        <v>3000</v>
      </c>
      <c r="K776" s="69">
        <f t="shared" si="47"/>
        <v>0</v>
      </c>
      <c r="L776" s="50">
        <v>150</v>
      </c>
      <c r="M776" s="109">
        <v>150</v>
      </c>
      <c r="N776" s="110"/>
    </row>
    <row r="777" spans="1:14" ht="15" hidden="1" thickBot="1" x14ac:dyDescent="0.35">
      <c r="A777" s="14">
        <v>150</v>
      </c>
      <c r="B777" s="14" t="s">
        <v>768</v>
      </c>
      <c r="C777" s="14" t="s">
        <v>605</v>
      </c>
      <c r="D777" s="14" t="s">
        <v>760</v>
      </c>
      <c r="E777" s="15" t="s">
        <v>500</v>
      </c>
      <c r="F777" s="15">
        <v>2</v>
      </c>
      <c r="G777" s="16">
        <f t="shared" si="46"/>
        <v>1740</v>
      </c>
      <c r="H777" s="16">
        <v>2220</v>
      </c>
      <c r="I777" s="16">
        <f t="shared" si="48"/>
        <v>0</v>
      </c>
      <c r="J777" s="31">
        <v>2220</v>
      </c>
      <c r="K777" s="69">
        <f t="shared" si="47"/>
        <v>0</v>
      </c>
      <c r="L777" s="50">
        <v>480</v>
      </c>
      <c r="M777" s="109">
        <v>480</v>
      </c>
      <c r="N777" s="110"/>
    </row>
    <row r="778" spans="1:14" ht="15" hidden="1" thickBot="1" x14ac:dyDescent="0.35">
      <c r="A778" s="14">
        <v>150</v>
      </c>
      <c r="B778" s="14" t="s">
        <v>768</v>
      </c>
      <c r="C778" s="14" t="s">
        <v>605</v>
      </c>
      <c r="D778" s="14" t="s">
        <v>757</v>
      </c>
      <c r="E778" s="15" t="s">
        <v>512</v>
      </c>
      <c r="F778" s="15">
        <v>2</v>
      </c>
      <c r="G778" s="16">
        <f t="shared" si="46"/>
        <v>2920</v>
      </c>
      <c r="H778" s="16">
        <v>4060</v>
      </c>
      <c r="I778" s="16">
        <f t="shared" si="48"/>
        <v>0</v>
      </c>
      <c r="J778" s="31">
        <v>4060</v>
      </c>
      <c r="K778" s="69">
        <f t="shared" si="47"/>
        <v>0</v>
      </c>
      <c r="L778" s="50">
        <v>1140</v>
      </c>
      <c r="M778" s="109">
        <v>1140</v>
      </c>
      <c r="N778" s="110"/>
    </row>
    <row r="779" spans="1:14" ht="15" hidden="1" thickBot="1" x14ac:dyDescent="0.35">
      <c r="A779" s="14">
        <v>150</v>
      </c>
      <c r="B779" s="14" t="s">
        <v>768</v>
      </c>
      <c r="C779" s="14" t="s">
        <v>605</v>
      </c>
      <c r="D779" s="14" t="s">
        <v>528</v>
      </c>
      <c r="E779" s="15" t="s">
        <v>504</v>
      </c>
      <c r="F779" s="15">
        <v>2</v>
      </c>
      <c r="G779" s="16">
        <f t="shared" si="46"/>
        <v>4020</v>
      </c>
      <c r="H779" s="16">
        <v>4500</v>
      </c>
      <c r="I779" s="16">
        <f t="shared" si="48"/>
        <v>0</v>
      </c>
      <c r="J779" s="31">
        <v>4500</v>
      </c>
      <c r="K779" s="69">
        <f t="shared" si="47"/>
        <v>0</v>
      </c>
      <c r="L779" s="50">
        <v>480</v>
      </c>
      <c r="M779" s="109">
        <v>480</v>
      </c>
      <c r="N779" s="110"/>
    </row>
    <row r="780" spans="1:14" ht="15" hidden="1" thickBot="1" x14ac:dyDescent="0.35">
      <c r="A780" s="14">
        <v>151</v>
      </c>
      <c r="B780" s="14" t="s">
        <v>769</v>
      </c>
      <c r="C780" s="14" t="s">
        <v>730</v>
      </c>
      <c r="D780" s="14" t="s">
        <v>760</v>
      </c>
      <c r="E780" s="15" t="s">
        <v>500</v>
      </c>
      <c r="F780" s="15">
        <v>1</v>
      </c>
      <c r="G780" s="16">
        <f t="shared" si="46"/>
        <v>695</v>
      </c>
      <c r="H780" s="16">
        <v>695</v>
      </c>
      <c r="I780" s="16">
        <f t="shared" si="48"/>
        <v>0</v>
      </c>
      <c r="J780" s="31">
        <v>695</v>
      </c>
      <c r="K780" s="69">
        <f t="shared" si="47"/>
        <v>0</v>
      </c>
      <c r="L780" s="50"/>
      <c r="M780" s="109"/>
      <c r="N780" s="110"/>
    </row>
    <row r="781" spans="1:14" ht="15" hidden="1" thickBot="1" x14ac:dyDescent="0.35">
      <c r="A781" s="14">
        <v>151</v>
      </c>
      <c r="B781" s="14" t="s">
        <v>769</v>
      </c>
      <c r="C781" s="14" t="s">
        <v>605</v>
      </c>
      <c r="D781" s="14" t="s">
        <v>761</v>
      </c>
      <c r="E781" s="15" t="s">
        <v>500</v>
      </c>
      <c r="F781" s="15">
        <v>5</v>
      </c>
      <c r="G781" s="16">
        <f t="shared" si="46"/>
        <v>6765</v>
      </c>
      <c r="H781" s="16">
        <v>6765</v>
      </c>
      <c r="I781" s="16">
        <f t="shared" si="48"/>
        <v>0</v>
      </c>
      <c r="J781" s="31">
        <v>6765</v>
      </c>
      <c r="K781" s="69">
        <f t="shared" si="47"/>
        <v>0</v>
      </c>
      <c r="L781" s="50"/>
      <c r="M781" s="109"/>
      <c r="N781" s="110"/>
    </row>
    <row r="782" spans="1:14" ht="15" hidden="1" thickBot="1" x14ac:dyDescent="0.35">
      <c r="A782" s="14">
        <v>151</v>
      </c>
      <c r="B782" s="14" t="s">
        <v>769</v>
      </c>
      <c r="C782" s="14" t="s">
        <v>605</v>
      </c>
      <c r="D782" s="14" t="s">
        <v>757</v>
      </c>
      <c r="E782" s="15" t="s">
        <v>512</v>
      </c>
      <c r="F782" s="15">
        <v>1</v>
      </c>
      <c r="G782" s="16">
        <f t="shared" si="46"/>
        <v>4309</v>
      </c>
      <c r="H782" s="16">
        <v>4309</v>
      </c>
      <c r="I782" s="16">
        <f t="shared" si="48"/>
        <v>0</v>
      </c>
      <c r="J782" s="31">
        <v>4309</v>
      </c>
      <c r="K782" s="69">
        <f t="shared" si="47"/>
        <v>0</v>
      </c>
      <c r="L782" s="50"/>
      <c r="M782" s="109"/>
      <c r="N782" s="110"/>
    </row>
    <row r="783" spans="1:14" ht="15" hidden="1" thickBot="1" x14ac:dyDescent="0.35">
      <c r="A783" s="14">
        <v>152</v>
      </c>
      <c r="B783" s="14" t="s">
        <v>770</v>
      </c>
      <c r="C783" s="14" t="s">
        <v>605</v>
      </c>
      <c r="D783" s="14" t="s">
        <v>511</v>
      </c>
      <c r="E783" s="15" t="s">
        <v>503</v>
      </c>
      <c r="F783" s="15">
        <v>5</v>
      </c>
      <c r="G783" s="16">
        <f t="shared" si="46"/>
        <v>7610</v>
      </c>
      <c r="H783" s="16">
        <v>8000</v>
      </c>
      <c r="I783" s="16">
        <f t="shared" si="48"/>
        <v>0</v>
      </c>
      <c r="J783" s="31">
        <v>8000</v>
      </c>
      <c r="K783" s="69">
        <f t="shared" si="47"/>
        <v>0</v>
      </c>
      <c r="L783" s="50">
        <v>390</v>
      </c>
      <c r="M783" s="109">
        <v>390</v>
      </c>
      <c r="N783" s="110"/>
    </row>
    <row r="784" spans="1:14" ht="15" hidden="1" thickBot="1" x14ac:dyDescent="0.35">
      <c r="A784" s="14">
        <v>153</v>
      </c>
      <c r="B784" s="14" t="s">
        <v>771</v>
      </c>
      <c r="C784" s="14" t="s">
        <v>605</v>
      </c>
      <c r="D784" s="14" t="s">
        <v>614</v>
      </c>
      <c r="E784" s="15" t="s">
        <v>500</v>
      </c>
      <c r="F784" s="15">
        <v>10</v>
      </c>
      <c r="G784" s="16">
        <f t="shared" si="46"/>
        <v>18840</v>
      </c>
      <c r="H784" s="16">
        <v>19140</v>
      </c>
      <c r="I784" s="16">
        <f t="shared" si="48"/>
        <v>0</v>
      </c>
      <c r="J784" s="31">
        <v>19140</v>
      </c>
      <c r="K784" s="69">
        <f t="shared" si="47"/>
        <v>0</v>
      </c>
      <c r="L784" s="50">
        <v>300</v>
      </c>
      <c r="M784" s="109">
        <v>300</v>
      </c>
      <c r="N784" s="110">
        <v>0.87</v>
      </c>
    </row>
    <row r="785" spans="1:14" ht="15" hidden="1" thickBot="1" x14ac:dyDescent="0.35">
      <c r="A785" s="14">
        <v>153</v>
      </c>
      <c r="B785" s="14" t="s">
        <v>771</v>
      </c>
      <c r="C785" s="14" t="s">
        <v>605</v>
      </c>
      <c r="D785" s="14" t="s">
        <v>614</v>
      </c>
      <c r="E785" s="15" t="s">
        <v>509</v>
      </c>
      <c r="F785" s="15">
        <v>11</v>
      </c>
      <c r="G785" s="16">
        <f t="shared" si="46"/>
        <v>19020</v>
      </c>
      <c r="H785" s="16">
        <v>19140</v>
      </c>
      <c r="I785" s="16">
        <f t="shared" si="48"/>
        <v>0</v>
      </c>
      <c r="J785" s="31">
        <v>19140</v>
      </c>
      <c r="K785" s="69">
        <f t="shared" si="47"/>
        <v>0</v>
      </c>
      <c r="L785" s="50">
        <v>120</v>
      </c>
      <c r="M785" s="109">
        <v>120</v>
      </c>
      <c r="N785" s="110">
        <v>0.87</v>
      </c>
    </row>
    <row r="786" spans="1:14" ht="15" hidden="1" thickBot="1" x14ac:dyDescent="0.35">
      <c r="A786" s="14">
        <v>153</v>
      </c>
      <c r="B786" s="14" t="s">
        <v>771</v>
      </c>
      <c r="C786" s="14" t="s">
        <v>605</v>
      </c>
      <c r="D786" s="14" t="s">
        <v>510</v>
      </c>
      <c r="E786" s="15" t="s">
        <v>509</v>
      </c>
      <c r="F786" s="15">
        <v>8</v>
      </c>
      <c r="G786" s="16">
        <f t="shared" si="46"/>
        <v>13320</v>
      </c>
      <c r="H786" s="16">
        <v>13500</v>
      </c>
      <c r="I786" s="16">
        <f t="shared" si="48"/>
        <v>0</v>
      </c>
      <c r="J786" s="31">
        <v>13500</v>
      </c>
      <c r="K786" s="69">
        <f t="shared" si="47"/>
        <v>0</v>
      </c>
      <c r="L786" s="50">
        <v>180</v>
      </c>
      <c r="M786" s="109">
        <v>180</v>
      </c>
      <c r="N786" s="110">
        <v>0.9</v>
      </c>
    </row>
    <row r="787" spans="1:14" ht="15" hidden="1" thickBot="1" x14ac:dyDescent="0.35">
      <c r="A787" s="14">
        <v>153</v>
      </c>
      <c r="B787" s="14" t="s">
        <v>771</v>
      </c>
      <c r="C787" s="14" t="s">
        <v>605</v>
      </c>
      <c r="D787" s="14" t="s">
        <v>510</v>
      </c>
      <c r="E787" s="15" t="s">
        <v>500</v>
      </c>
      <c r="F787" s="15">
        <v>8</v>
      </c>
      <c r="G787" s="16">
        <f t="shared" si="46"/>
        <v>9030</v>
      </c>
      <c r="H787" s="16">
        <v>9350</v>
      </c>
      <c r="I787" s="16">
        <f t="shared" si="48"/>
        <v>0</v>
      </c>
      <c r="J787" s="31">
        <v>9350</v>
      </c>
      <c r="K787" s="69">
        <f t="shared" si="47"/>
        <v>0</v>
      </c>
      <c r="L787" s="50">
        <v>320</v>
      </c>
      <c r="M787" s="109">
        <v>320</v>
      </c>
      <c r="N787" s="110">
        <v>0.93500000000000005</v>
      </c>
    </row>
    <row r="788" spans="1:14" ht="15" hidden="1" thickBot="1" x14ac:dyDescent="0.35">
      <c r="A788" s="14">
        <v>153</v>
      </c>
      <c r="B788" s="14" t="s">
        <v>771</v>
      </c>
      <c r="C788" s="14" t="s">
        <v>605</v>
      </c>
      <c r="D788" s="14" t="s">
        <v>507</v>
      </c>
      <c r="E788" s="15" t="s">
        <v>504</v>
      </c>
      <c r="F788" s="15">
        <v>9</v>
      </c>
      <c r="G788" s="16">
        <f t="shared" si="46"/>
        <v>15180</v>
      </c>
      <c r="H788" s="16">
        <v>15300</v>
      </c>
      <c r="I788" s="16">
        <f t="shared" si="48"/>
        <v>0</v>
      </c>
      <c r="J788" s="31">
        <v>15300</v>
      </c>
      <c r="K788" s="69">
        <f t="shared" si="47"/>
        <v>0</v>
      </c>
      <c r="L788" s="50">
        <v>120</v>
      </c>
      <c r="M788" s="109">
        <v>120</v>
      </c>
      <c r="N788" s="110"/>
    </row>
    <row r="789" spans="1:14" ht="15" hidden="1" thickBot="1" x14ac:dyDescent="0.35">
      <c r="A789" s="14">
        <v>153</v>
      </c>
      <c r="B789" s="14" t="s">
        <v>771</v>
      </c>
      <c r="C789" s="14" t="s">
        <v>605</v>
      </c>
      <c r="D789" s="14" t="s">
        <v>548</v>
      </c>
      <c r="E789" s="15" t="s">
        <v>504</v>
      </c>
      <c r="F789" s="15">
        <v>9</v>
      </c>
      <c r="G789" s="16">
        <f t="shared" si="46"/>
        <v>14730</v>
      </c>
      <c r="H789" s="16">
        <v>15300</v>
      </c>
      <c r="I789" s="16">
        <f t="shared" si="48"/>
        <v>0</v>
      </c>
      <c r="J789" s="31">
        <v>15300</v>
      </c>
      <c r="K789" s="69">
        <f t="shared" si="47"/>
        <v>0</v>
      </c>
      <c r="L789" s="50">
        <v>570</v>
      </c>
      <c r="M789" s="109">
        <v>570</v>
      </c>
      <c r="N789" s="110">
        <v>0.9</v>
      </c>
    </row>
    <row r="790" spans="1:14" ht="15" hidden="1" thickBot="1" x14ac:dyDescent="0.35">
      <c r="A790" s="14">
        <v>153</v>
      </c>
      <c r="B790" s="14" t="s">
        <v>771</v>
      </c>
      <c r="C790" s="14" t="s">
        <v>605</v>
      </c>
      <c r="D790" s="14" t="s">
        <v>505</v>
      </c>
      <c r="E790" s="15" t="s">
        <v>504</v>
      </c>
      <c r="F790" s="15">
        <v>9</v>
      </c>
      <c r="G790" s="16">
        <f t="shared" si="46"/>
        <v>14940</v>
      </c>
      <c r="H790" s="16">
        <v>15300</v>
      </c>
      <c r="I790" s="16">
        <f t="shared" si="48"/>
        <v>0</v>
      </c>
      <c r="J790" s="31">
        <v>15300</v>
      </c>
      <c r="K790" s="69">
        <f t="shared" si="47"/>
        <v>0</v>
      </c>
      <c r="L790" s="50">
        <v>360</v>
      </c>
      <c r="M790" s="109">
        <v>360</v>
      </c>
      <c r="N790" s="110">
        <v>0.9</v>
      </c>
    </row>
    <row r="791" spans="1:14" ht="15" hidden="1" thickBot="1" x14ac:dyDescent="0.35">
      <c r="A791" s="14">
        <v>153</v>
      </c>
      <c r="B791" s="14" t="s">
        <v>771</v>
      </c>
      <c r="C791" s="14" t="s">
        <v>605</v>
      </c>
      <c r="D791" s="14" t="s">
        <v>614</v>
      </c>
      <c r="E791" s="15" t="s">
        <v>512</v>
      </c>
      <c r="F791" s="15">
        <v>10</v>
      </c>
      <c r="G791" s="16">
        <f t="shared" ref="G791:G862" si="49">H791-M791</f>
        <v>19140</v>
      </c>
      <c r="H791" s="16">
        <v>19140</v>
      </c>
      <c r="I791" s="16">
        <f t="shared" si="48"/>
        <v>0</v>
      </c>
      <c r="J791" s="31">
        <v>19140</v>
      </c>
      <c r="K791" s="69">
        <f t="shared" si="47"/>
        <v>0</v>
      </c>
      <c r="L791" s="50"/>
      <c r="M791" s="109"/>
      <c r="N791" s="110">
        <v>0.87</v>
      </c>
    </row>
    <row r="792" spans="1:14" ht="15" hidden="1" thickBot="1" x14ac:dyDescent="0.35">
      <c r="A792" s="14">
        <v>153</v>
      </c>
      <c r="B792" s="14" t="s">
        <v>771</v>
      </c>
      <c r="C792" s="14" t="s">
        <v>605</v>
      </c>
      <c r="D792" s="14" t="s">
        <v>547</v>
      </c>
      <c r="E792" s="15" t="s">
        <v>502</v>
      </c>
      <c r="F792" s="15">
        <v>6</v>
      </c>
      <c r="G792" s="16">
        <f t="shared" si="49"/>
        <v>13575</v>
      </c>
      <c r="H792" s="16">
        <v>13575</v>
      </c>
      <c r="I792" s="16">
        <f t="shared" si="48"/>
        <v>0</v>
      </c>
      <c r="J792" s="31">
        <v>13575</v>
      </c>
      <c r="K792" s="69">
        <f t="shared" si="47"/>
        <v>0</v>
      </c>
      <c r="L792" s="50"/>
      <c r="M792" s="109"/>
      <c r="N792" s="110"/>
    </row>
    <row r="793" spans="1:14" ht="15" hidden="1" thickBot="1" x14ac:dyDescent="0.35">
      <c r="A793" s="14">
        <v>153</v>
      </c>
      <c r="B793" s="14" t="s">
        <v>771</v>
      </c>
      <c r="C793" s="14" t="s">
        <v>605</v>
      </c>
      <c r="D793" s="14" t="s">
        <v>513</v>
      </c>
      <c r="E793" s="15" t="s">
        <v>512</v>
      </c>
      <c r="F793" s="15">
        <v>8</v>
      </c>
      <c r="G793" s="16">
        <f t="shared" si="49"/>
        <v>15060</v>
      </c>
      <c r="H793" s="16">
        <v>15300</v>
      </c>
      <c r="I793" s="16">
        <f t="shared" si="48"/>
        <v>0</v>
      </c>
      <c r="J793" s="31">
        <v>15300</v>
      </c>
      <c r="K793" s="69">
        <f t="shared" ref="K793:K866" si="50">M793-L793</f>
        <v>0</v>
      </c>
      <c r="L793" s="50">
        <v>240</v>
      </c>
      <c r="M793" s="109">
        <v>240</v>
      </c>
      <c r="N793" s="110"/>
    </row>
    <row r="794" spans="1:14" ht="15" hidden="1" thickBot="1" x14ac:dyDescent="0.35">
      <c r="A794" s="14">
        <v>153</v>
      </c>
      <c r="B794" s="14" t="s">
        <v>771</v>
      </c>
      <c r="C794" s="14" t="s">
        <v>605</v>
      </c>
      <c r="D794" s="14" t="s">
        <v>510</v>
      </c>
      <c r="E794" s="15" t="s">
        <v>512</v>
      </c>
      <c r="F794" s="15">
        <v>5</v>
      </c>
      <c r="G794" s="16">
        <f t="shared" si="49"/>
        <v>13500</v>
      </c>
      <c r="H794" s="16">
        <v>13500</v>
      </c>
      <c r="I794" s="16">
        <f t="shared" si="48"/>
        <v>0</v>
      </c>
      <c r="J794" s="31">
        <v>13500</v>
      </c>
      <c r="K794" s="69">
        <f t="shared" si="50"/>
        <v>0</v>
      </c>
      <c r="L794" s="50"/>
      <c r="M794" s="109"/>
      <c r="N794" s="110">
        <v>0.9</v>
      </c>
    </row>
    <row r="795" spans="1:14" ht="15" hidden="1" thickBot="1" x14ac:dyDescent="0.35">
      <c r="A795" s="14">
        <v>153</v>
      </c>
      <c r="B795" s="14" t="s">
        <v>771</v>
      </c>
      <c r="C795" s="14" t="s">
        <v>605</v>
      </c>
      <c r="D795" s="14" t="s">
        <v>1051</v>
      </c>
      <c r="E795" s="15" t="s">
        <v>500</v>
      </c>
      <c r="F795" s="15">
        <v>3</v>
      </c>
      <c r="G795" s="16">
        <f t="shared" si="49"/>
        <v>2375</v>
      </c>
      <c r="H795" s="16">
        <v>2375</v>
      </c>
      <c r="I795" s="16">
        <f t="shared" si="48"/>
        <v>0</v>
      </c>
      <c r="J795" s="31">
        <v>2375</v>
      </c>
      <c r="K795" s="69">
        <f t="shared" si="50"/>
        <v>0</v>
      </c>
      <c r="L795" s="50"/>
      <c r="M795" s="109"/>
      <c r="N795" s="110"/>
    </row>
    <row r="796" spans="1:14" ht="15" hidden="1" thickBot="1" x14ac:dyDescent="0.35">
      <c r="A796" s="14">
        <v>153</v>
      </c>
      <c r="B796" s="14" t="s">
        <v>771</v>
      </c>
      <c r="C796" s="14" t="s">
        <v>605</v>
      </c>
      <c r="D796" s="14" t="s">
        <v>510</v>
      </c>
      <c r="E796" s="15" t="s">
        <v>504</v>
      </c>
      <c r="F796" s="15">
        <v>9</v>
      </c>
      <c r="G796" s="16">
        <f t="shared" si="49"/>
        <v>13260</v>
      </c>
      <c r="H796" s="16">
        <v>13500</v>
      </c>
      <c r="I796" s="16">
        <f t="shared" si="48"/>
        <v>0</v>
      </c>
      <c r="J796" s="31">
        <v>13500</v>
      </c>
      <c r="K796" s="69">
        <f t="shared" si="50"/>
        <v>0</v>
      </c>
      <c r="L796" s="50">
        <v>240</v>
      </c>
      <c r="M796" s="109">
        <v>240</v>
      </c>
      <c r="N796" s="110">
        <v>0.9</v>
      </c>
    </row>
    <row r="797" spans="1:14" ht="15" hidden="1" thickBot="1" x14ac:dyDescent="0.35">
      <c r="A797" s="14">
        <v>153</v>
      </c>
      <c r="B797" s="14" t="s">
        <v>771</v>
      </c>
      <c r="C797" s="14" t="s">
        <v>605</v>
      </c>
      <c r="D797" s="14" t="s">
        <v>614</v>
      </c>
      <c r="E797" s="15" t="s">
        <v>504</v>
      </c>
      <c r="F797" s="15">
        <v>10</v>
      </c>
      <c r="G797" s="16">
        <f t="shared" si="49"/>
        <v>18180</v>
      </c>
      <c r="H797" s="16">
        <v>19140</v>
      </c>
      <c r="I797" s="16">
        <f t="shared" si="48"/>
        <v>0</v>
      </c>
      <c r="J797" s="31">
        <v>19140</v>
      </c>
      <c r="K797" s="69">
        <f t="shared" si="50"/>
        <v>0</v>
      </c>
      <c r="L797" s="50">
        <v>960</v>
      </c>
      <c r="M797" s="109">
        <v>960</v>
      </c>
      <c r="N797" s="110">
        <v>0.87</v>
      </c>
    </row>
    <row r="798" spans="1:14" ht="15" hidden="1" thickBot="1" x14ac:dyDescent="0.35">
      <c r="A798" s="14">
        <v>154</v>
      </c>
      <c r="B798" s="14" t="s">
        <v>772</v>
      </c>
      <c r="C798" s="14" t="s">
        <v>604</v>
      </c>
      <c r="D798" s="14" t="s">
        <v>517</v>
      </c>
      <c r="E798" s="15" t="s">
        <v>502</v>
      </c>
      <c r="F798" s="15">
        <v>1</v>
      </c>
      <c r="G798" s="16">
        <f t="shared" si="49"/>
        <v>1800</v>
      </c>
      <c r="H798" s="16">
        <v>1800</v>
      </c>
      <c r="I798" s="16">
        <f t="shared" si="48"/>
        <v>0</v>
      </c>
      <c r="J798" s="31">
        <v>1800</v>
      </c>
      <c r="K798" s="69">
        <f t="shared" si="50"/>
        <v>0</v>
      </c>
      <c r="L798" s="50"/>
      <c r="M798" s="109"/>
      <c r="N798" s="110"/>
    </row>
    <row r="799" spans="1:14" ht="15" hidden="1" thickBot="1" x14ac:dyDescent="0.35">
      <c r="A799" s="14">
        <v>154</v>
      </c>
      <c r="B799" s="14" t="s">
        <v>772</v>
      </c>
      <c r="C799" s="14" t="s">
        <v>604</v>
      </c>
      <c r="D799" s="14" t="s">
        <v>511</v>
      </c>
      <c r="E799" s="15" t="s">
        <v>503</v>
      </c>
      <c r="F799" s="15"/>
      <c r="G799" s="16">
        <f t="shared" si="49"/>
        <v>1136</v>
      </c>
      <c r="H799" s="16">
        <v>1136</v>
      </c>
      <c r="I799" s="16">
        <f t="shared" si="48"/>
        <v>0</v>
      </c>
      <c r="J799" s="31">
        <v>1136</v>
      </c>
      <c r="K799" s="69">
        <f t="shared" si="50"/>
        <v>0</v>
      </c>
      <c r="L799" s="50"/>
      <c r="M799" s="109"/>
      <c r="N799" s="110"/>
    </row>
    <row r="800" spans="1:14" ht="15" hidden="1" thickBot="1" x14ac:dyDescent="0.35">
      <c r="A800" s="14">
        <v>155</v>
      </c>
      <c r="B800" s="14" t="s">
        <v>773</v>
      </c>
      <c r="C800" s="14" t="s">
        <v>604</v>
      </c>
      <c r="D800" s="14" t="s">
        <v>614</v>
      </c>
      <c r="E800" s="15" t="s">
        <v>499</v>
      </c>
      <c r="F800" s="15">
        <v>18</v>
      </c>
      <c r="G800" s="16">
        <f t="shared" si="49"/>
        <v>66416</v>
      </c>
      <c r="H800" s="16">
        <v>69196</v>
      </c>
      <c r="I800" s="16">
        <f t="shared" si="48"/>
        <v>0</v>
      </c>
      <c r="J800" s="31">
        <v>69196</v>
      </c>
      <c r="K800" s="69">
        <f t="shared" si="50"/>
        <v>0</v>
      </c>
      <c r="L800" s="50">
        <v>2780</v>
      </c>
      <c r="M800" s="109">
        <v>2780</v>
      </c>
      <c r="N800" s="110">
        <v>0.91500000000000004</v>
      </c>
    </row>
    <row r="801" spans="1:14" ht="15" hidden="1" thickBot="1" x14ac:dyDescent="0.35">
      <c r="A801" s="14">
        <v>155</v>
      </c>
      <c r="B801" s="14" t="s">
        <v>773</v>
      </c>
      <c r="C801" s="14" t="s">
        <v>604</v>
      </c>
      <c r="D801" s="14" t="s">
        <v>614</v>
      </c>
      <c r="E801" s="15" t="s">
        <v>500</v>
      </c>
      <c r="F801" s="15">
        <v>16</v>
      </c>
      <c r="G801" s="16">
        <f t="shared" si="49"/>
        <v>61848</v>
      </c>
      <c r="H801" s="16">
        <v>66508</v>
      </c>
      <c r="I801" s="16">
        <f t="shared" si="48"/>
        <v>0</v>
      </c>
      <c r="J801" s="31">
        <v>66508</v>
      </c>
      <c r="K801" s="69">
        <f t="shared" si="50"/>
        <v>0</v>
      </c>
      <c r="L801" s="50">
        <v>4660</v>
      </c>
      <c r="M801" s="109">
        <v>4660</v>
      </c>
      <c r="N801" s="110">
        <v>0.95</v>
      </c>
    </row>
    <row r="802" spans="1:14" ht="15" hidden="1" thickBot="1" x14ac:dyDescent="0.35">
      <c r="A802" s="14">
        <v>155</v>
      </c>
      <c r="B802" s="14" t="s">
        <v>773</v>
      </c>
      <c r="C802" s="14" t="s">
        <v>604</v>
      </c>
      <c r="D802" s="14" t="s">
        <v>614</v>
      </c>
      <c r="E802" s="15" t="s">
        <v>512</v>
      </c>
      <c r="F802" s="15">
        <v>17</v>
      </c>
      <c r="G802" s="16">
        <f t="shared" si="49"/>
        <v>63095</v>
      </c>
      <c r="H802" s="16">
        <v>64685</v>
      </c>
      <c r="I802" s="16">
        <f t="shared" si="48"/>
        <v>0</v>
      </c>
      <c r="J802" s="31">
        <v>64685</v>
      </c>
      <c r="K802" s="69">
        <f t="shared" si="50"/>
        <v>0</v>
      </c>
      <c r="L802" s="50">
        <v>1590</v>
      </c>
      <c r="M802" s="109">
        <v>1590</v>
      </c>
      <c r="N802" s="110"/>
    </row>
    <row r="803" spans="1:14" ht="15" hidden="1" thickBot="1" x14ac:dyDescent="0.35">
      <c r="A803" s="14">
        <v>155</v>
      </c>
      <c r="B803" s="14" t="s">
        <v>773</v>
      </c>
      <c r="C803" s="14" t="s">
        <v>604</v>
      </c>
      <c r="D803" s="14" t="s">
        <v>614</v>
      </c>
      <c r="E803" s="15" t="s">
        <v>509</v>
      </c>
      <c r="F803" s="15">
        <v>16</v>
      </c>
      <c r="G803" s="16">
        <f t="shared" si="49"/>
        <v>63208</v>
      </c>
      <c r="H803" s="16">
        <v>65308</v>
      </c>
      <c r="I803" s="16">
        <f t="shared" si="48"/>
        <v>0</v>
      </c>
      <c r="J803" s="31">
        <v>65308</v>
      </c>
      <c r="K803" s="69">
        <f t="shared" si="50"/>
        <v>0</v>
      </c>
      <c r="L803" s="50">
        <v>2100</v>
      </c>
      <c r="M803" s="109">
        <v>2100</v>
      </c>
      <c r="N803" s="110">
        <v>0.9</v>
      </c>
    </row>
    <row r="804" spans="1:14" ht="15" hidden="1" thickBot="1" x14ac:dyDescent="0.35">
      <c r="A804" s="14">
        <v>155</v>
      </c>
      <c r="B804" s="14" t="s">
        <v>773</v>
      </c>
      <c r="C804" s="14" t="s">
        <v>604</v>
      </c>
      <c r="D804" s="14" t="s">
        <v>708</v>
      </c>
      <c r="E804" s="15" t="s">
        <v>502</v>
      </c>
      <c r="F804" s="15"/>
      <c r="G804" s="16">
        <f t="shared" si="49"/>
        <v>1200</v>
      </c>
      <c r="H804" s="16">
        <v>1200</v>
      </c>
      <c r="I804" s="16">
        <f t="shared" si="48"/>
        <v>0</v>
      </c>
      <c r="J804" s="31">
        <v>1200</v>
      </c>
      <c r="K804" s="69">
        <f t="shared" si="50"/>
        <v>0</v>
      </c>
      <c r="L804" s="50"/>
      <c r="M804" s="109"/>
      <c r="N804" s="110"/>
    </row>
    <row r="805" spans="1:14" ht="15" hidden="1" thickBot="1" x14ac:dyDescent="0.35">
      <c r="A805" s="14">
        <v>155</v>
      </c>
      <c r="B805" s="14" t="s">
        <v>773</v>
      </c>
      <c r="C805" s="14" t="s">
        <v>604</v>
      </c>
      <c r="D805" s="14" t="s">
        <v>522</v>
      </c>
      <c r="E805" s="15" t="s">
        <v>502</v>
      </c>
      <c r="F805" s="15">
        <v>9</v>
      </c>
      <c r="G805" s="16">
        <f t="shared" si="49"/>
        <v>11835</v>
      </c>
      <c r="H805" s="16">
        <v>12555</v>
      </c>
      <c r="I805" s="16">
        <f t="shared" si="48"/>
        <v>0</v>
      </c>
      <c r="J805" s="31">
        <v>12555</v>
      </c>
      <c r="K805" s="69">
        <f t="shared" si="50"/>
        <v>0</v>
      </c>
      <c r="L805" s="50">
        <v>720</v>
      </c>
      <c r="M805" s="109">
        <v>720</v>
      </c>
      <c r="N805" s="110"/>
    </row>
    <row r="806" spans="1:14" ht="15" hidden="1" thickBot="1" x14ac:dyDescent="0.35">
      <c r="A806" s="14">
        <v>155</v>
      </c>
      <c r="B806" s="14" t="s">
        <v>773</v>
      </c>
      <c r="C806" s="14" t="s">
        <v>604</v>
      </c>
      <c r="D806" s="14" t="s">
        <v>774</v>
      </c>
      <c r="E806" s="15" t="s">
        <v>502</v>
      </c>
      <c r="F806" s="15">
        <v>3</v>
      </c>
      <c r="G806" s="16">
        <f t="shared" si="49"/>
        <v>1935</v>
      </c>
      <c r="H806" s="16">
        <v>2115</v>
      </c>
      <c r="I806" s="16">
        <f t="shared" si="48"/>
        <v>0</v>
      </c>
      <c r="J806" s="31">
        <v>2115</v>
      </c>
      <c r="K806" s="69">
        <f t="shared" si="50"/>
        <v>0</v>
      </c>
      <c r="L806" s="50">
        <v>180</v>
      </c>
      <c r="M806" s="109">
        <v>180</v>
      </c>
      <c r="N806" s="110"/>
    </row>
    <row r="807" spans="1:14" ht="15" hidden="1" thickBot="1" x14ac:dyDescent="0.35">
      <c r="A807" s="14">
        <v>155</v>
      </c>
      <c r="B807" s="14" t="s">
        <v>773</v>
      </c>
      <c r="C807" s="14" t="s">
        <v>604</v>
      </c>
      <c r="D807" s="14" t="s">
        <v>614</v>
      </c>
      <c r="E807" s="15" t="s">
        <v>506</v>
      </c>
      <c r="F807" s="15">
        <v>12</v>
      </c>
      <c r="G807" s="16">
        <f t="shared" si="49"/>
        <v>55641</v>
      </c>
      <c r="H807" s="16">
        <v>56961</v>
      </c>
      <c r="I807" s="16">
        <f t="shared" si="48"/>
        <v>0</v>
      </c>
      <c r="J807" s="31">
        <v>56961</v>
      </c>
      <c r="K807" s="69">
        <f t="shared" si="50"/>
        <v>0</v>
      </c>
      <c r="L807" s="50">
        <v>1320</v>
      </c>
      <c r="M807" s="109">
        <v>1320</v>
      </c>
      <c r="N807" s="110"/>
    </row>
    <row r="808" spans="1:14" ht="15" hidden="1" thickBot="1" x14ac:dyDescent="0.35">
      <c r="A808" s="14">
        <v>155</v>
      </c>
      <c r="B808" s="14" t="s">
        <v>773</v>
      </c>
      <c r="C808" s="14" t="s">
        <v>604</v>
      </c>
      <c r="D808" s="14" t="s">
        <v>701</v>
      </c>
      <c r="E808" s="15" t="s">
        <v>504</v>
      </c>
      <c r="F808" s="15">
        <v>5</v>
      </c>
      <c r="G808" s="16">
        <f t="shared" si="49"/>
        <v>1000</v>
      </c>
      <c r="H808" s="16">
        <v>1400</v>
      </c>
      <c r="I808" s="16">
        <f t="shared" si="48"/>
        <v>0</v>
      </c>
      <c r="J808" s="31">
        <v>1400</v>
      </c>
      <c r="K808" s="69">
        <f t="shared" si="50"/>
        <v>0</v>
      </c>
      <c r="L808" s="50">
        <v>400</v>
      </c>
      <c r="M808" s="109">
        <v>400</v>
      </c>
      <c r="N808" s="110"/>
    </row>
    <row r="809" spans="1:14" ht="15" hidden="1" thickBot="1" x14ac:dyDescent="0.35">
      <c r="A809" s="14">
        <v>155</v>
      </c>
      <c r="B809" s="14" t="s">
        <v>773</v>
      </c>
      <c r="C809" s="14" t="s">
        <v>604</v>
      </c>
      <c r="D809" s="14" t="s">
        <v>507</v>
      </c>
      <c r="E809" s="15" t="s">
        <v>504</v>
      </c>
      <c r="F809" s="15">
        <v>11</v>
      </c>
      <c r="G809" s="16">
        <f t="shared" si="49"/>
        <v>12815</v>
      </c>
      <c r="H809" s="16">
        <v>13955</v>
      </c>
      <c r="I809" s="16">
        <f t="shared" si="48"/>
        <v>0</v>
      </c>
      <c r="J809" s="31">
        <v>13955</v>
      </c>
      <c r="K809" s="69">
        <f t="shared" si="50"/>
        <v>0</v>
      </c>
      <c r="L809" s="50">
        <v>1140</v>
      </c>
      <c r="M809" s="109">
        <v>1140</v>
      </c>
      <c r="N809" s="110">
        <v>1</v>
      </c>
    </row>
    <row r="810" spans="1:14" ht="15" hidden="1" thickBot="1" x14ac:dyDescent="0.35">
      <c r="A810" s="14">
        <v>155</v>
      </c>
      <c r="B810" s="14" t="s">
        <v>773</v>
      </c>
      <c r="C810" s="14" t="s">
        <v>604</v>
      </c>
      <c r="D810" s="14" t="s">
        <v>1831</v>
      </c>
      <c r="E810" s="15" t="s">
        <v>504</v>
      </c>
      <c r="F810" s="15">
        <v>3</v>
      </c>
      <c r="G810" s="16">
        <f t="shared" si="49"/>
        <v>487</v>
      </c>
      <c r="H810" s="16">
        <v>2287</v>
      </c>
      <c r="I810" s="16">
        <f t="shared" ref="I810:I919" si="51">J810-H810</f>
        <v>0</v>
      </c>
      <c r="J810" s="31">
        <v>2287</v>
      </c>
      <c r="K810" s="69">
        <f t="shared" si="50"/>
        <v>0</v>
      </c>
      <c r="L810" s="50">
        <v>1800</v>
      </c>
      <c r="M810" s="109">
        <v>1800</v>
      </c>
      <c r="N810" s="110"/>
    </row>
    <row r="811" spans="1:14" ht="15" hidden="1" thickBot="1" x14ac:dyDescent="0.35">
      <c r="A811" s="14">
        <v>155</v>
      </c>
      <c r="B811" s="14" t="s">
        <v>773</v>
      </c>
      <c r="C811" s="14" t="s">
        <v>604</v>
      </c>
      <c r="D811" s="14" t="s">
        <v>698</v>
      </c>
      <c r="E811" s="15" t="s">
        <v>508</v>
      </c>
      <c r="F811" s="15">
        <v>3</v>
      </c>
      <c r="G811" s="16">
        <f t="shared" si="49"/>
        <v>3015</v>
      </c>
      <c r="H811" s="16">
        <v>3015</v>
      </c>
      <c r="I811" s="16">
        <f t="shared" si="51"/>
        <v>0</v>
      </c>
      <c r="J811" s="31">
        <v>3015</v>
      </c>
      <c r="K811" s="69">
        <f t="shared" si="50"/>
        <v>0</v>
      </c>
      <c r="L811" s="50"/>
      <c r="M811" s="109"/>
      <c r="N811" s="110"/>
    </row>
    <row r="812" spans="1:14" ht="15" hidden="1" thickBot="1" x14ac:dyDescent="0.35">
      <c r="A812" s="14">
        <v>155</v>
      </c>
      <c r="B812" s="14" t="s">
        <v>773</v>
      </c>
      <c r="C812" s="14" t="s">
        <v>604</v>
      </c>
      <c r="D812" s="14" t="s">
        <v>775</v>
      </c>
      <c r="E812" s="15" t="s">
        <v>499</v>
      </c>
      <c r="F812" s="15">
        <v>3</v>
      </c>
      <c r="G812" s="16">
        <f t="shared" si="49"/>
        <v>2925</v>
      </c>
      <c r="H812" s="16">
        <v>2925</v>
      </c>
      <c r="I812" s="16">
        <f t="shared" si="51"/>
        <v>0</v>
      </c>
      <c r="J812" s="31">
        <v>2925</v>
      </c>
      <c r="K812" s="69">
        <f t="shared" si="50"/>
        <v>0</v>
      </c>
      <c r="L812" s="50"/>
      <c r="M812" s="109"/>
      <c r="N812" s="110"/>
    </row>
    <row r="813" spans="1:14" ht="15" hidden="1" thickBot="1" x14ac:dyDescent="0.35">
      <c r="A813" s="14">
        <v>155</v>
      </c>
      <c r="B813" s="14" t="s">
        <v>773</v>
      </c>
      <c r="C813" s="14" t="s">
        <v>604</v>
      </c>
      <c r="D813" s="14" t="s">
        <v>776</v>
      </c>
      <c r="E813" s="15" t="s">
        <v>499</v>
      </c>
      <c r="F813" s="15">
        <v>2</v>
      </c>
      <c r="G813" s="16">
        <f t="shared" si="49"/>
        <v>4644</v>
      </c>
      <c r="H813" s="16">
        <v>4644</v>
      </c>
      <c r="I813" s="16">
        <f t="shared" si="51"/>
        <v>0</v>
      </c>
      <c r="J813" s="31">
        <v>4644</v>
      </c>
      <c r="K813" s="69">
        <f t="shared" si="50"/>
        <v>0</v>
      </c>
      <c r="L813" s="50"/>
      <c r="M813" s="109"/>
      <c r="N813" s="110">
        <v>0.9</v>
      </c>
    </row>
    <row r="814" spans="1:14" ht="15" hidden="1" thickBot="1" x14ac:dyDescent="0.35">
      <c r="A814" s="14">
        <v>155</v>
      </c>
      <c r="B814" s="14" t="s">
        <v>773</v>
      </c>
      <c r="C814" s="14" t="s">
        <v>604</v>
      </c>
      <c r="D814" s="14" t="s">
        <v>702</v>
      </c>
      <c r="E814" s="15" t="s">
        <v>504</v>
      </c>
      <c r="F814" s="15">
        <v>2</v>
      </c>
      <c r="G814" s="16">
        <f t="shared" si="49"/>
        <v>1980</v>
      </c>
      <c r="H814" s="16">
        <v>1980</v>
      </c>
      <c r="I814" s="16">
        <f t="shared" si="51"/>
        <v>0</v>
      </c>
      <c r="J814" s="31">
        <v>1980</v>
      </c>
      <c r="K814" s="69">
        <f t="shared" si="50"/>
        <v>0</v>
      </c>
      <c r="L814" s="50"/>
      <c r="M814" s="109"/>
      <c r="N814" s="110"/>
    </row>
    <row r="815" spans="1:14" ht="15" hidden="1" thickBot="1" x14ac:dyDescent="0.35">
      <c r="A815" s="14">
        <v>155</v>
      </c>
      <c r="B815" s="14" t="s">
        <v>773</v>
      </c>
      <c r="C815" s="14" t="s">
        <v>604</v>
      </c>
      <c r="D815" s="14" t="s">
        <v>985</v>
      </c>
      <c r="E815" s="15" t="s">
        <v>506</v>
      </c>
      <c r="F815" s="15">
        <v>16</v>
      </c>
      <c r="G815" s="16">
        <f t="shared" si="49"/>
        <v>96731</v>
      </c>
      <c r="H815" s="151">
        <v>98981</v>
      </c>
      <c r="I815" s="16">
        <f>J815-H815</f>
        <v>0</v>
      </c>
      <c r="J815" s="31">
        <v>98981</v>
      </c>
      <c r="K815" s="69">
        <f t="shared" si="50"/>
        <v>0</v>
      </c>
      <c r="L815" s="50">
        <v>2250</v>
      </c>
      <c r="M815" s="109">
        <v>2250</v>
      </c>
      <c r="N815" s="110">
        <v>0.8</v>
      </c>
    </row>
    <row r="816" spans="1:14" ht="15" hidden="1" thickBot="1" x14ac:dyDescent="0.35">
      <c r="A816" s="14">
        <v>155</v>
      </c>
      <c r="B816" s="14" t="s">
        <v>773</v>
      </c>
      <c r="C816" s="14" t="s">
        <v>604</v>
      </c>
      <c r="D816" s="14" t="s">
        <v>1045</v>
      </c>
      <c r="E816" s="15" t="s">
        <v>506</v>
      </c>
      <c r="F816" s="15">
        <v>3</v>
      </c>
      <c r="G816" s="16">
        <f t="shared" si="49"/>
        <v>2160</v>
      </c>
      <c r="H816" s="151">
        <v>2160</v>
      </c>
      <c r="I816" s="16">
        <f>J816-H816</f>
        <v>0</v>
      </c>
      <c r="J816" s="31">
        <v>2160</v>
      </c>
      <c r="K816" s="69">
        <f t="shared" si="50"/>
        <v>0</v>
      </c>
      <c r="L816" s="50">
        <v>0</v>
      </c>
      <c r="M816" s="109">
        <v>0</v>
      </c>
      <c r="N816" s="110">
        <v>0.7</v>
      </c>
    </row>
    <row r="817" spans="1:14" ht="15" hidden="1" thickBot="1" x14ac:dyDescent="0.35">
      <c r="A817" s="14">
        <v>155</v>
      </c>
      <c r="B817" s="14" t="s">
        <v>773</v>
      </c>
      <c r="C817" s="14" t="s">
        <v>604</v>
      </c>
      <c r="D817" s="14" t="s">
        <v>513</v>
      </c>
      <c r="E817" s="15" t="s">
        <v>546</v>
      </c>
      <c r="F817" s="15">
        <v>11</v>
      </c>
      <c r="G817" s="16">
        <f t="shared" si="49"/>
        <v>11870</v>
      </c>
      <c r="H817" s="16">
        <v>13955</v>
      </c>
      <c r="I817" s="16">
        <f t="shared" si="51"/>
        <v>0</v>
      </c>
      <c r="J817" s="31">
        <v>13955</v>
      </c>
      <c r="K817" s="69">
        <f t="shared" si="50"/>
        <v>0</v>
      </c>
      <c r="L817" s="50">
        <v>2085</v>
      </c>
      <c r="M817" s="109">
        <v>2085</v>
      </c>
      <c r="N817" s="110"/>
    </row>
    <row r="818" spans="1:14" ht="15" hidden="1" thickBot="1" x14ac:dyDescent="0.35">
      <c r="A818" s="14">
        <v>155</v>
      </c>
      <c r="B818" s="14" t="s">
        <v>773</v>
      </c>
      <c r="C818" s="14" t="s">
        <v>604</v>
      </c>
      <c r="D818" s="14" t="s">
        <v>510</v>
      </c>
      <c r="E818" s="15" t="s">
        <v>499</v>
      </c>
      <c r="F818" s="15">
        <v>11</v>
      </c>
      <c r="G818" s="16">
        <f t="shared" si="49"/>
        <v>16985</v>
      </c>
      <c r="H818" s="16">
        <v>19285</v>
      </c>
      <c r="I818" s="16">
        <f t="shared" si="51"/>
        <v>0</v>
      </c>
      <c r="J818" s="31">
        <v>19285</v>
      </c>
      <c r="K818" s="69">
        <f t="shared" si="50"/>
        <v>0</v>
      </c>
      <c r="L818" s="50">
        <v>2300</v>
      </c>
      <c r="M818" s="109">
        <v>2300</v>
      </c>
      <c r="N818" s="110" t="s">
        <v>1327</v>
      </c>
    </row>
    <row r="819" spans="1:14" ht="15" hidden="1" thickBot="1" x14ac:dyDescent="0.35">
      <c r="A819" s="14">
        <v>155</v>
      </c>
      <c r="B819" s="14" t="s">
        <v>773</v>
      </c>
      <c r="C819" s="14" t="s">
        <v>604</v>
      </c>
      <c r="D819" s="14" t="s">
        <v>510</v>
      </c>
      <c r="E819" s="15" t="s">
        <v>506</v>
      </c>
      <c r="F819" s="15">
        <v>11</v>
      </c>
      <c r="G819" s="16">
        <f t="shared" si="49"/>
        <v>17730</v>
      </c>
      <c r="H819" s="16">
        <v>18270</v>
      </c>
      <c r="I819" s="16">
        <f t="shared" si="51"/>
        <v>0</v>
      </c>
      <c r="J819" s="31">
        <v>18270</v>
      </c>
      <c r="K819" s="69">
        <f t="shared" si="50"/>
        <v>0</v>
      </c>
      <c r="L819" s="50">
        <v>540</v>
      </c>
      <c r="M819" s="109">
        <v>540</v>
      </c>
      <c r="N819" s="110"/>
    </row>
    <row r="820" spans="1:14" ht="15" hidden="1" thickBot="1" x14ac:dyDescent="0.35">
      <c r="A820" s="14">
        <v>155</v>
      </c>
      <c r="B820" s="14" t="s">
        <v>773</v>
      </c>
      <c r="C820" s="14" t="s">
        <v>604</v>
      </c>
      <c r="D820" s="14" t="s">
        <v>510</v>
      </c>
      <c r="E820" s="15" t="s">
        <v>512</v>
      </c>
      <c r="F820" s="15">
        <v>13</v>
      </c>
      <c r="G820" s="16">
        <f t="shared" si="49"/>
        <v>18032</v>
      </c>
      <c r="H820" s="16">
        <v>18252</v>
      </c>
      <c r="I820" s="16">
        <f t="shared" si="51"/>
        <v>0</v>
      </c>
      <c r="J820" s="31">
        <v>18252</v>
      </c>
      <c r="K820" s="69">
        <f t="shared" si="50"/>
        <v>0</v>
      </c>
      <c r="L820" s="50">
        <v>220</v>
      </c>
      <c r="M820" s="109">
        <v>220</v>
      </c>
      <c r="N820" s="110">
        <v>0.90500000000000003</v>
      </c>
    </row>
    <row r="821" spans="1:14" ht="15" hidden="1" thickBot="1" x14ac:dyDescent="0.35">
      <c r="A821" s="14">
        <v>155</v>
      </c>
      <c r="B821" s="14" t="s">
        <v>773</v>
      </c>
      <c r="C821" s="14" t="s">
        <v>604</v>
      </c>
      <c r="D821" s="14" t="s">
        <v>510</v>
      </c>
      <c r="E821" s="15" t="s">
        <v>509</v>
      </c>
      <c r="F821" s="15">
        <v>11</v>
      </c>
      <c r="G821" s="16">
        <f t="shared" si="49"/>
        <v>17390</v>
      </c>
      <c r="H821" s="16">
        <v>18270</v>
      </c>
      <c r="I821" s="16">
        <f t="shared" si="51"/>
        <v>0</v>
      </c>
      <c r="J821" s="31">
        <v>18270</v>
      </c>
      <c r="K821" s="69">
        <f t="shared" si="50"/>
        <v>0</v>
      </c>
      <c r="L821" s="50">
        <v>880</v>
      </c>
      <c r="M821" s="109">
        <v>880</v>
      </c>
      <c r="N821" s="110"/>
    </row>
    <row r="822" spans="1:14" ht="15" hidden="1" thickBot="1" x14ac:dyDescent="0.35">
      <c r="A822" s="14">
        <v>155</v>
      </c>
      <c r="B822" s="14" t="s">
        <v>773</v>
      </c>
      <c r="C822" s="14" t="s">
        <v>604</v>
      </c>
      <c r="D822" s="14" t="s">
        <v>510</v>
      </c>
      <c r="E822" s="15" t="s">
        <v>500</v>
      </c>
      <c r="F822" s="15">
        <v>9</v>
      </c>
      <c r="G822" s="16">
        <f t="shared" si="49"/>
        <v>11702.25</v>
      </c>
      <c r="H822" s="16">
        <v>12482.25</v>
      </c>
      <c r="I822" s="16">
        <f t="shared" si="51"/>
        <v>0</v>
      </c>
      <c r="J822" s="31">
        <v>12482.25</v>
      </c>
      <c r="K822" s="69">
        <f t="shared" si="50"/>
        <v>0</v>
      </c>
      <c r="L822" s="50">
        <v>780</v>
      </c>
      <c r="M822" s="109">
        <v>780</v>
      </c>
      <c r="N822" s="110">
        <v>1</v>
      </c>
    </row>
    <row r="823" spans="1:14" ht="15" hidden="1" thickBot="1" x14ac:dyDescent="0.35">
      <c r="A823" s="14">
        <v>155</v>
      </c>
      <c r="B823" s="14" t="s">
        <v>773</v>
      </c>
      <c r="C823" s="14" t="s">
        <v>604</v>
      </c>
      <c r="D823" s="14" t="s">
        <v>510</v>
      </c>
      <c r="E823" s="15" t="s">
        <v>502</v>
      </c>
      <c r="F823" s="15">
        <v>9</v>
      </c>
      <c r="G823" s="16">
        <f t="shared" si="49"/>
        <v>16440</v>
      </c>
      <c r="H823" s="16">
        <v>18180</v>
      </c>
      <c r="I823" s="16">
        <f t="shared" si="51"/>
        <v>0</v>
      </c>
      <c r="J823" s="31">
        <v>18180</v>
      </c>
      <c r="K823" s="69">
        <f t="shared" si="50"/>
        <v>0</v>
      </c>
      <c r="L823" s="50">
        <v>1740</v>
      </c>
      <c r="M823" s="109">
        <v>1740</v>
      </c>
      <c r="N823" s="110"/>
    </row>
    <row r="824" spans="1:14" ht="15" hidden="1" thickBot="1" x14ac:dyDescent="0.35">
      <c r="A824" s="14">
        <v>155</v>
      </c>
      <c r="B824" s="14" t="s">
        <v>773</v>
      </c>
      <c r="C824" s="14" t="s">
        <v>604</v>
      </c>
      <c r="D824" s="14" t="s">
        <v>523</v>
      </c>
      <c r="E824" s="15" t="s">
        <v>508</v>
      </c>
      <c r="F824" s="15">
        <v>9</v>
      </c>
      <c r="G824" s="16">
        <f t="shared" si="49"/>
        <v>12195</v>
      </c>
      <c r="H824" s="16">
        <v>12555</v>
      </c>
      <c r="I824" s="16">
        <f t="shared" si="51"/>
        <v>0</v>
      </c>
      <c r="J824" s="31">
        <v>12555</v>
      </c>
      <c r="K824" s="69">
        <f t="shared" si="50"/>
        <v>0</v>
      </c>
      <c r="L824" s="50">
        <v>360</v>
      </c>
      <c r="M824" s="109">
        <v>360</v>
      </c>
      <c r="N824" s="110"/>
    </row>
    <row r="825" spans="1:14" ht="15" hidden="1" thickBot="1" x14ac:dyDescent="0.35">
      <c r="A825" s="14">
        <v>155</v>
      </c>
      <c r="B825" s="14" t="s">
        <v>773</v>
      </c>
      <c r="C825" s="14" t="s">
        <v>604</v>
      </c>
      <c r="D825" s="14" t="s">
        <v>505</v>
      </c>
      <c r="E825" s="15" t="s">
        <v>504</v>
      </c>
      <c r="F825" s="15">
        <v>11</v>
      </c>
      <c r="G825" s="16">
        <f t="shared" si="49"/>
        <v>12822</v>
      </c>
      <c r="H825" s="16">
        <v>14722</v>
      </c>
      <c r="I825" s="16">
        <f t="shared" si="51"/>
        <v>0</v>
      </c>
      <c r="J825" s="31">
        <v>14722</v>
      </c>
      <c r="K825" s="69">
        <f t="shared" si="50"/>
        <v>0</v>
      </c>
      <c r="L825" s="50">
        <v>1900</v>
      </c>
      <c r="M825" s="109">
        <v>1900</v>
      </c>
      <c r="N825" s="110">
        <v>91</v>
      </c>
    </row>
    <row r="826" spans="1:14" ht="15" hidden="1" thickBot="1" x14ac:dyDescent="0.35">
      <c r="A826" s="14">
        <v>155</v>
      </c>
      <c r="B826" s="14" t="s">
        <v>773</v>
      </c>
      <c r="C826" s="14" t="s">
        <v>604</v>
      </c>
      <c r="D826" s="14" t="s">
        <v>547</v>
      </c>
      <c r="E826" s="15" t="s">
        <v>502</v>
      </c>
      <c r="F826" s="15">
        <v>10</v>
      </c>
      <c r="G826" s="16">
        <f t="shared" si="49"/>
        <v>14074</v>
      </c>
      <c r="H826" s="16">
        <v>14374</v>
      </c>
      <c r="I826" s="16">
        <f t="shared" si="51"/>
        <v>0</v>
      </c>
      <c r="J826" s="31">
        <v>14374</v>
      </c>
      <c r="K826" s="69">
        <f t="shared" si="50"/>
        <v>0</v>
      </c>
      <c r="L826" s="50">
        <v>300</v>
      </c>
      <c r="M826" s="109">
        <v>300</v>
      </c>
      <c r="N826" s="110"/>
    </row>
    <row r="827" spans="1:14" ht="15" hidden="1" thickBot="1" x14ac:dyDescent="0.35">
      <c r="A827" s="14">
        <v>155</v>
      </c>
      <c r="B827" s="14" t="s">
        <v>773</v>
      </c>
      <c r="C827" s="14" t="s">
        <v>604</v>
      </c>
      <c r="D827" s="14" t="s">
        <v>777</v>
      </c>
      <c r="E827" s="15" t="s">
        <v>502</v>
      </c>
      <c r="F827" s="15"/>
      <c r="G827" s="16">
        <f t="shared" si="49"/>
        <v>673</v>
      </c>
      <c r="H827" s="16">
        <v>673</v>
      </c>
      <c r="I827" s="16">
        <f t="shared" si="51"/>
        <v>0</v>
      </c>
      <c r="J827" s="31">
        <v>673</v>
      </c>
      <c r="K827" s="69">
        <f t="shared" si="50"/>
        <v>0</v>
      </c>
      <c r="L827" s="50"/>
      <c r="M827" s="109"/>
      <c r="N827" s="110"/>
    </row>
    <row r="828" spans="1:14" ht="15" hidden="1" thickBot="1" x14ac:dyDescent="0.35">
      <c r="A828" s="14">
        <v>155</v>
      </c>
      <c r="B828" s="14" t="s">
        <v>773</v>
      </c>
      <c r="C828" s="14" t="s">
        <v>604</v>
      </c>
      <c r="D828" s="14" t="s">
        <v>1102</v>
      </c>
      <c r="E828" s="15" t="s">
        <v>500</v>
      </c>
      <c r="F828" s="15">
        <v>16</v>
      </c>
      <c r="G828" s="16">
        <f t="shared" si="49"/>
        <v>104816</v>
      </c>
      <c r="H828" s="16">
        <v>105336</v>
      </c>
      <c r="I828" s="16">
        <f t="shared" si="51"/>
        <v>0</v>
      </c>
      <c r="J828" s="31">
        <v>105336</v>
      </c>
      <c r="K828" s="69">
        <f t="shared" si="50"/>
        <v>0</v>
      </c>
      <c r="L828" s="50">
        <v>520</v>
      </c>
      <c r="M828" s="109">
        <v>520</v>
      </c>
      <c r="N828" s="110">
        <v>0.91</v>
      </c>
    </row>
    <row r="829" spans="1:14" ht="15" hidden="1" thickBot="1" x14ac:dyDescent="0.35">
      <c r="A829" s="14">
        <v>155</v>
      </c>
      <c r="B829" s="14" t="s">
        <v>773</v>
      </c>
      <c r="C829" s="14" t="s">
        <v>604</v>
      </c>
      <c r="D829" s="14" t="s">
        <v>1132</v>
      </c>
      <c r="E829" s="15" t="s">
        <v>500</v>
      </c>
      <c r="F829" s="15">
        <v>4</v>
      </c>
      <c r="G829" s="16">
        <f t="shared" si="49"/>
        <v>2010.2</v>
      </c>
      <c r="H829" s="16">
        <v>2010.2</v>
      </c>
      <c r="I829" s="16">
        <f t="shared" si="51"/>
        <v>0</v>
      </c>
      <c r="J829" s="31">
        <v>2010.2</v>
      </c>
      <c r="K829" s="69">
        <f t="shared" si="50"/>
        <v>0</v>
      </c>
      <c r="L829" s="50"/>
      <c r="M829" s="109"/>
      <c r="N829" s="110">
        <v>0.5</v>
      </c>
    </row>
    <row r="830" spans="1:14" ht="15" hidden="1" thickBot="1" x14ac:dyDescent="0.35">
      <c r="A830" s="14">
        <v>155</v>
      </c>
      <c r="B830" s="14" t="s">
        <v>773</v>
      </c>
      <c r="C830" s="14" t="s">
        <v>604</v>
      </c>
      <c r="D830" s="14" t="s">
        <v>1076</v>
      </c>
      <c r="E830" s="15" t="s">
        <v>512</v>
      </c>
      <c r="F830" s="15">
        <v>1</v>
      </c>
      <c r="G830" s="16">
        <f t="shared" si="49"/>
        <v>1500</v>
      </c>
      <c r="H830" s="16">
        <v>1500</v>
      </c>
      <c r="I830" s="16">
        <f t="shared" si="51"/>
        <v>0</v>
      </c>
      <c r="J830" s="31">
        <v>1500</v>
      </c>
      <c r="K830" s="69">
        <f t="shared" si="50"/>
        <v>0</v>
      </c>
      <c r="L830" s="50"/>
      <c r="M830" s="109"/>
      <c r="N830" s="110">
        <v>0.5</v>
      </c>
    </row>
    <row r="831" spans="1:14" ht="15" hidden="1" thickBot="1" x14ac:dyDescent="0.35">
      <c r="A831" s="14">
        <v>155</v>
      </c>
      <c r="B831" s="14" t="s">
        <v>773</v>
      </c>
      <c r="C831" s="14" t="s">
        <v>604</v>
      </c>
      <c r="D831" s="14" t="s">
        <v>778</v>
      </c>
      <c r="E831" s="15" t="s">
        <v>706</v>
      </c>
      <c r="F831" s="15"/>
      <c r="G831" s="16">
        <f t="shared" si="49"/>
        <v>585</v>
      </c>
      <c r="H831" s="16">
        <v>585</v>
      </c>
      <c r="I831" s="16">
        <f t="shared" si="51"/>
        <v>0</v>
      </c>
      <c r="J831" s="31">
        <v>585</v>
      </c>
      <c r="K831" s="69">
        <f t="shared" si="50"/>
        <v>0</v>
      </c>
      <c r="L831" s="50"/>
      <c r="M831" s="109"/>
      <c r="N831" s="110"/>
    </row>
    <row r="832" spans="1:14" ht="15" hidden="1" thickBot="1" x14ac:dyDescent="0.35">
      <c r="A832" s="14">
        <v>155</v>
      </c>
      <c r="B832" s="14" t="s">
        <v>773</v>
      </c>
      <c r="C832" s="14" t="s">
        <v>604</v>
      </c>
      <c r="D832" s="14" t="s">
        <v>790</v>
      </c>
      <c r="E832" s="15" t="s">
        <v>500</v>
      </c>
      <c r="F832" s="15"/>
      <c r="G832" s="16">
        <f t="shared" si="49"/>
        <v>2475</v>
      </c>
      <c r="H832" s="16">
        <v>2475</v>
      </c>
      <c r="I832" s="16">
        <f t="shared" si="51"/>
        <v>0</v>
      </c>
      <c r="J832" s="31">
        <v>2475</v>
      </c>
      <c r="K832" s="69">
        <f t="shared" si="50"/>
        <v>0</v>
      </c>
      <c r="L832" s="50"/>
      <c r="M832" s="109"/>
      <c r="N832" s="110"/>
    </row>
    <row r="833" spans="1:14" ht="15" hidden="1" thickBot="1" x14ac:dyDescent="0.35">
      <c r="A833" s="14">
        <v>155</v>
      </c>
      <c r="B833" s="14" t="s">
        <v>773</v>
      </c>
      <c r="C833" s="14" t="s">
        <v>604</v>
      </c>
      <c r="D833" s="14" t="s">
        <v>1336</v>
      </c>
      <c r="E833" s="15" t="s">
        <v>500</v>
      </c>
      <c r="F833" s="15">
        <v>2</v>
      </c>
      <c r="G833" s="16">
        <f t="shared" si="49"/>
        <v>2682</v>
      </c>
      <c r="H833" s="16">
        <v>2682</v>
      </c>
      <c r="I833" s="16">
        <f t="shared" si="51"/>
        <v>0</v>
      </c>
      <c r="J833" s="31">
        <v>2682</v>
      </c>
      <c r="K833" s="69">
        <f t="shared" si="50"/>
        <v>0</v>
      </c>
      <c r="L833" s="50"/>
      <c r="M833" s="109"/>
      <c r="N833" s="110" t="s">
        <v>1337</v>
      </c>
    </row>
    <row r="834" spans="1:14" ht="15" hidden="1" thickBot="1" x14ac:dyDescent="0.35">
      <c r="A834" s="14">
        <v>155</v>
      </c>
      <c r="B834" s="14" t="s">
        <v>773</v>
      </c>
      <c r="C834" s="14" t="s">
        <v>604</v>
      </c>
      <c r="D834" s="14" t="s">
        <v>1054</v>
      </c>
      <c r="E834" s="15" t="s">
        <v>1054</v>
      </c>
      <c r="F834" s="15">
        <v>2</v>
      </c>
      <c r="G834" s="16">
        <f t="shared" si="49"/>
        <v>3234</v>
      </c>
      <c r="H834" s="16">
        <v>6024</v>
      </c>
      <c r="I834" s="16">
        <f t="shared" si="51"/>
        <v>0</v>
      </c>
      <c r="J834" s="31">
        <v>6024</v>
      </c>
      <c r="K834" s="69">
        <f t="shared" si="50"/>
        <v>0</v>
      </c>
      <c r="L834" s="50">
        <v>2790</v>
      </c>
      <c r="M834" s="109">
        <v>2790</v>
      </c>
      <c r="N834" s="110">
        <v>0.5</v>
      </c>
    </row>
    <row r="835" spans="1:14" ht="15" hidden="1" thickBot="1" x14ac:dyDescent="0.35">
      <c r="A835" s="14">
        <v>155</v>
      </c>
      <c r="B835" s="14" t="s">
        <v>773</v>
      </c>
      <c r="C835" s="14" t="s">
        <v>604</v>
      </c>
      <c r="D835" s="14" t="s">
        <v>690</v>
      </c>
      <c r="E835" s="15" t="s">
        <v>546</v>
      </c>
      <c r="F835" s="15">
        <v>2</v>
      </c>
      <c r="G835" s="16">
        <f t="shared" si="49"/>
        <v>1800</v>
      </c>
      <c r="H835" s="16">
        <v>1800</v>
      </c>
      <c r="I835" s="16">
        <f t="shared" si="51"/>
        <v>0</v>
      </c>
      <c r="J835" s="31">
        <v>1800</v>
      </c>
      <c r="K835" s="69">
        <f t="shared" si="50"/>
        <v>0</v>
      </c>
      <c r="L835" s="50"/>
      <c r="M835" s="109"/>
      <c r="N835" s="110"/>
    </row>
    <row r="836" spans="1:14" ht="15" hidden="1" thickBot="1" x14ac:dyDescent="0.35">
      <c r="A836" s="14">
        <v>155</v>
      </c>
      <c r="B836" s="14" t="s">
        <v>773</v>
      </c>
      <c r="C836" s="14" t="s">
        <v>604</v>
      </c>
      <c r="D836" s="14" t="s">
        <v>1828</v>
      </c>
      <c r="E836" s="15" t="s">
        <v>512</v>
      </c>
      <c r="F836" s="15">
        <v>2</v>
      </c>
      <c r="G836" s="16">
        <f t="shared" si="49"/>
        <v>-82</v>
      </c>
      <c r="H836" s="16">
        <v>2468</v>
      </c>
      <c r="I836" s="16">
        <f t="shared" si="51"/>
        <v>0</v>
      </c>
      <c r="J836" s="31">
        <v>2468</v>
      </c>
      <c r="K836" s="69">
        <f t="shared" si="50"/>
        <v>0</v>
      </c>
      <c r="L836" s="50">
        <v>2550</v>
      </c>
      <c r="M836" s="109">
        <v>2550</v>
      </c>
      <c r="N836" s="110"/>
    </row>
    <row r="837" spans="1:14" ht="15" hidden="1" thickBot="1" x14ac:dyDescent="0.35">
      <c r="A837" s="14">
        <v>155</v>
      </c>
      <c r="B837" s="14" t="s">
        <v>773</v>
      </c>
      <c r="C837" s="14" t="s">
        <v>604</v>
      </c>
      <c r="D837" s="14" t="s">
        <v>761</v>
      </c>
      <c r="E837" s="15" t="s">
        <v>500</v>
      </c>
      <c r="F837" s="15">
        <v>4</v>
      </c>
      <c r="G837" s="16">
        <f t="shared" si="49"/>
        <v>830</v>
      </c>
      <c r="H837" s="16">
        <v>1505</v>
      </c>
      <c r="I837" s="16">
        <f t="shared" si="51"/>
        <v>0</v>
      </c>
      <c r="J837" s="31">
        <v>1505</v>
      </c>
      <c r="K837" s="69">
        <f t="shared" si="50"/>
        <v>0</v>
      </c>
      <c r="L837" s="50">
        <v>675</v>
      </c>
      <c r="M837" s="109">
        <v>675</v>
      </c>
      <c r="N837" s="110"/>
    </row>
    <row r="838" spans="1:14" ht="15" hidden="1" thickBot="1" x14ac:dyDescent="0.35">
      <c r="A838" s="14">
        <v>155</v>
      </c>
      <c r="B838" s="14" t="s">
        <v>773</v>
      </c>
      <c r="C838" s="14" t="s">
        <v>604</v>
      </c>
      <c r="D838" s="14" t="s">
        <v>638</v>
      </c>
      <c r="E838" s="15" t="s">
        <v>504</v>
      </c>
      <c r="F838" s="15">
        <v>8</v>
      </c>
      <c r="G838" s="16">
        <f t="shared" si="49"/>
        <v>17587</v>
      </c>
      <c r="H838" s="16">
        <v>17887</v>
      </c>
      <c r="I838" s="16">
        <f t="shared" si="51"/>
        <v>0</v>
      </c>
      <c r="J838" s="31">
        <v>17887</v>
      </c>
      <c r="K838" s="69">
        <f t="shared" si="50"/>
        <v>0</v>
      </c>
      <c r="L838" s="50">
        <v>300</v>
      </c>
      <c r="M838" s="109">
        <v>300</v>
      </c>
      <c r="N838" s="110">
        <v>0.72499999999999998</v>
      </c>
    </row>
    <row r="839" spans="1:14" ht="15" hidden="1" thickBot="1" x14ac:dyDescent="0.35">
      <c r="A839" s="14">
        <v>155</v>
      </c>
      <c r="B839" s="14" t="s">
        <v>773</v>
      </c>
      <c r="C839" s="14" t="s">
        <v>604</v>
      </c>
      <c r="D839" s="14" t="s">
        <v>760</v>
      </c>
      <c r="E839" s="15" t="s">
        <v>500</v>
      </c>
      <c r="F839" s="15">
        <v>3</v>
      </c>
      <c r="G839" s="16">
        <f t="shared" si="49"/>
        <v>1315</v>
      </c>
      <c r="H839" s="16">
        <v>1615</v>
      </c>
      <c r="I839" s="16">
        <f t="shared" si="51"/>
        <v>0</v>
      </c>
      <c r="J839" s="31">
        <v>1615</v>
      </c>
      <c r="K839" s="69">
        <f t="shared" si="50"/>
        <v>0</v>
      </c>
      <c r="L839" s="50">
        <v>300</v>
      </c>
      <c r="M839" s="109">
        <v>300</v>
      </c>
      <c r="N839" s="110"/>
    </row>
    <row r="840" spans="1:14" ht="15" hidden="1" thickBot="1" x14ac:dyDescent="0.35">
      <c r="A840" s="14">
        <v>155</v>
      </c>
      <c r="B840" s="14" t="s">
        <v>773</v>
      </c>
      <c r="C840" s="14" t="s">
        <v>604</v>
      </c>
      <c r="D840" s="14" t="s">
        <v>637</v>
      </c>
      <c r="E840" s="15" t="s">
        <v>504</v>
      </c>
      <c r="F840" s="15">
        <v>2</v>
      </c>
      <c r="G840" s="16">
        <f t="shared" si="49"/>
        <v>9211</v>
      </c>
      <c r="H840" s="16">
        <v>11011</v>
      </c>
      <c r="I840" s="16">
        <f t="shared" si="51"/>
        <v>0</v>
      </c>
      <c r="J840" s="31">
        <v>11011</v>
      </c>
      <c r="K840" s="69">
        <f t="shared" si="50"/>
        <v>0</v>
      </c>
      <c r="L840" s="50">
        <v>1800</v>
      </c>
      <c r="M840" s="109">
        <v>1800</v>
      </c>
      <c r="N840" s="110"/>
    </row>
    <row r="841" spans="1:14" ht="15" hidden="1" thickBot="1" x14ac:dyDescent="0.35">
      <c r="A841" s="14">
        <v>156</v>
      </c>
      <c r="B841" s="14" t="s">
        <v>1057</v>
      </c>
      <c r="C841" s="14" t="s">
        <v>541</v>
      </c>
      <c r="D841" s="14" t="s">
        <v>497</v>
      </c>
      <c r="E841" s="15" t="s">
        <v>14</v>
      </c>
      <c r="F841" s="223">
        <v>24</v>
      </c>
      <c r="G841" s="16">
        <f t="shared" si="49"/>
        <v>7417428</v>
      </c>
      <c r="H841" s="16">
        <v>7448868</v>
      </c>
      <c r="I841" s="166">
        <f t="shared" si="51"/>
        <v>0</v>
      </c>
      <c r="J841" s="31">
        <v>7448868</v>
      </c>
      <c r="K841" s="69">
        <f t="shared" si="50"/>
        <v>0</v>
      </c>
      <c r="L841" s="50">
        <v>31440</v>
      </c>
      <c r="M841" s="109">
        <v>31440</v>
      </c>
      <c r="N841" s="110"/>
    </row>
    <row r="842" spans="1:14" ht="15" hidden="1" thickBot="1" x14ac:dyDescent="0.35">
      <c r="A842" s="14">
        <v>157</v>
      </c>
      <c r="B842" s="14" t="s">
        <v>779</v>
      </c>
      <c r="C842" s="14" t="s">
        <v>730</v>
      </c>
      <c r="D842" s="14" t="s">
        <v>760</v>
      </c>
      <c r="E842" s="15" t="s">
        <v>500</v>
      </c>
      <c r="F842" s="15"/>
      <c r="G842" s="16">
        <f t="shared" si="49"/>
        <v>1096</v>
      </c>
      <c r="H842" s="16">
        <v>1096</v>
      </c>
      <c r="I842" s="16">
        <f t="shared" si="51"/>
        <v>0</v>
      </c>
      <c r="J842" s="31">
        <v>1096</v>
      </c>
      <c r="K842" s="69">
        <f t="shared" si="50"/>
        <v>0</v>
      </c>
      <c r="L842" s="50"/>
      <c r="M842" s="109"/>
      <c r="N842" s="110"/>
    </row>
    <row r="843" spans="1:14" ht="15" hidden="1" thickBot="1" x14ac:dyDescent="0.35">
      <c r="A843" s="14">
        <v>157</v>
      </c>
      <c r="B843" s="14" t="s">
        <v>779</v>
      </c>
      <c r="C843" s="14" t="s">
        <v>730</v>
      </c>
      <c r="D843" s="14" t="s">
        <v>761</v>
      </c>
      <c r="E843" s="15" t="s">
        <v>500</v>
      </c>
      <c r="F843" s="15"/>
      <c r="G843" s="16">
        <f t="shared" si="49"/>
        <v>2173</v>
      </c>
      <c r="H843" s="16">
        <v>2173</v>
      </c>
      <c r="I843" s="16">
        <f t="shared" si="51"/>
        <v>0</v>
      </c>
      <c r="J843" s="31">
        <v>2173</v>
      </c>
      <c r="K843" s="69">
        <f t="shared" si="50"/>
        <v>0</v>
      </c>
      <c r="L843" s="50"/>
      <c r="M843" s="109"/>
      <c r="N843" s="110"/>
    </row>
    <row r="844" spans="1:14" ht="15" hidden="1" thickBot="1" x14ac:dyDescent="0.35">
      <c r="A844" s="14">
        <v>158</v>
      </c>
      <c r="B844" s="14" t="s">
        <v>780</v>
      </c>
      <c r="C844" s="14" t="s">
        <v>730</v>
      </c>
      <c r="D844" s="14" t="s">
        <v>510</v>
      </c>
      <c r="E844" s="15" t="s">
        <v>499</v>
      </c>
      <c r="F844" s="15">
        <v>4</v>
      </c>
      <c r="G844" s="16">
        <f t="shared" si="49"/>
        <v>22720</v>
      </c>
      <c r="H844" s="16">
        <v>22900</v>
      </c>
      <c r="I844" s="16">
        <f t="shared" si="51"/>
        <v>0</v>
      </c>
      <c r="J844" s="31">
        <v>22900</v>
      </c>
      <c r="K844" s="69">
        <f t="shared" si="50"/>
        <v>0</v>
      </c>
      <c r="L844" s="50">
        <v>180</v>
      </c>
      <c r="M844" s="109">
        <v>180</v>
      </c>
      <c r="N844" s="110"/>
    </row>
    <row r="845" spans="1:14" ht="15" hidden="1" thickBot="1" x14ac:dyDescent="0.35">
      <c r="A845" s="14">
        <v>158</v>
      </c>
      <c r="B845" s="14" t="s">
        <v>780</v>
      </c>
      <c r="C845" s="14" t="s">
        <v>730</v>
      </c>
      <c r="D845" s="14" t="s">
        <v>523</v>
      </c>
      <c r="E845" s="15" t="s">
        <v>508</v>
      </c>
      <c r="F845" s="15">
        <v>1</v>
      </c>
      <c r="G845" s="16">
        <f t="shared" si="49"/>
        <v>3151</v>
      </c>
      <c r="H845" s="16">
        <v>3151</v>
      </c>
      <c r="I845" s="16">
        <f t="shared" si="51"/>
        <v>0</v>
      </c>
      <c r="J845" s="31">
        <v>3151</v>
      </c>
      <c r="K845" s="69">
        <f t="shared" si="50"/>
        <v>0</v>
      </c>
      <c r="L845" s="50"/>
      <c r="M845" s="109"/>
      <c r="N845" s="110"/>
    </row>
    <row r="846" spans="1:14" ht="15" hidden="1" thickBot="1" x14ac:dyDescent="0.35">
      <c r="A846" s="14">
        <v>158</v>
      </c>
      <c r="B846" s="14" t="s">
        <v>780</v>
      </c>
      <c r="C846" s="14" t="s">
        <v>730</v>
      </c>
      <c r="D846" s="14" t="s">
        <v>985</v>
      </c>
      <c r="E846" s="15" t="s">
        <v>506</v>
      </c>
      <c r="F846" s="15">
        <v>10</v>
      </c>
      <c r="G846" s="16">
        <f t="shared" si="49"/>
        <v>118332</v>
      </c>
      <c r="H846" s="16">
        <v>124382</v>
      </c>
      <c r="I846" s="16">
        <f t="shared" si="51"/>
        <v>0</v>
      </c>
      <c r="J846" s="31">
        <v>124382</v>
      </c>
      <c r="K846" s="69">
        <f t="shared" si="50"/>
        <v>0</v>
      </c>
      <c r="L846" s="50">
        <v>6050</v>
      </c>
      <c r="M846" s="109">
        <v>6050</v>
      </c>
      <c r="N846" s="110" t="s">
        <v>1368</v>
      </c>
    </row>
    <row r="847" spans="1:14" ht="15" hidden="1" thickBot="1" x14ac:dyDescent="0.35">
      <c r="A847" s="14">
        <v>158</v>
      </c>
      <c r="B847" s="14" t="s">
        <v>780</v>
      </c>
      <c r="C847" s="14" t="s">
        <v>730</v>
      </c>
      <c r="D847" s="14" t="s">
        <v>670</v>
      </c>
      <c r="E847" s="15" t="s">
        <v>506</v>
      </c>
      <c r="F847" s="15">
        <v>2</v>
      </c>
      <c r="G847" s="16">
        <f t="shared" si="49"/>
        <v>9000</v>
      </c>
      <c r="H847" s="16">
        <v>9000</v>
      </c>
      <c r="I847" s="16">
        <f t="shared" si="51"/>
        <v>0</v>
      </c>
      <c r="J847" s="31">
        <v>9000</v>
      </c>
      <c r="K847" s="69">
        <f t="shared" si="50"/>
        <v>0</v>
      </c>
      <c r="L847" s="50"/>
      <c r="M847" s="109"/>
      <c r="N847" s="110">
        <v>0.9</v>
      </c>
    </row>
    <row r="848" spans="1:14" ht="15" hidden="1" thickBot="1" x14ac:dyDescent="0.35">
      <c r="A848" s="14">
        <v>158</v>
      </c>
      <c r="B848" s="14" t="s">
        <v>780</v>
      </c>
      <c r="C848" s="14" t="s">
        <v>730</v>
      </c>
      <c r="D848" s="14" t="s">
        <v>614</v>
      </c>
      <c r="E848" s="15" t="s">
        <v>499</v>
      </c>
      <c r="F848" s="15">
        <v>10</v>
      </c>
      <c r="G848" s="16">
        <f t="shared" si="49"/>
        <v>37986</v>
      </c>
      <c r="H848" s="16">
        <v>38286</v>
      </c>
      <c r="I848" s="16">
        <f t="shared" si="51"/>
        <v>0</v>
      </c>
      <c r="J848" s="31">
        <v>38286</v>
      </c>
      <c r="K848" s="69">
        <f t="shared" si="50"/>
        <v>0</v>
      </c>
      <c r="L848" s="50">
        <v>300</v>
      </c>
      <c r="M848" s="109">
        <v>300</v>
      </c>
      <c r="N848" s="110">
        <v>1</v>
      </c>
    </row>
    <row r="849" spans="1:14" ht="15" hidden="1" thickBot="1" x14ac:dyDescent="0.35">
      <c r="A849" s="14">
        <v>158</v>
      </c>
      <c r="B849" s="14" t="s">
        <v>780</v>
      </c>
      <c r="C849" s="14" t="s">
        <v>1470</v>
      </c>
      <c r="D849" s="14" t="s">
        <v>985</v>
      </c>
      <c r="E849" s="15" t="s">
        <v>506</v>
      </c>
      <c r="F849" s="15">
        <v>3</v>
      </c>
      <c r="G849" s="16">
        <f t="shared" si="49"/>
        <v>6690</v>
      </c>
      <c r="H849" s="16">
        <v>6930</v>
      </c>
      <c r="I849" s="16">
        <f t="shared" si="51"/>
        <v>0</v>
      </c>
      <c r="J849" s="31">
        <v>6930</v>
      </c>
      <c r="K849" s="69">
        <f t="shared" si="50"/>
        <v>0</v>
      </c>
      <c r="L849" s="50">
        <v>240</v>
      </c>
      <c r="M849" s="109">
        <v>240</v>
      </c>
      <c r="N849" s="110">
        <v>0.9</v>
      </c>
    </row>
    <row r="850" spans="1:14" ht="15" hidden="1" thickBot="1" x14ac:dyDescent="0.35">
      <c r="A850" s="14">
        <v>158</v>
      </c>
      <c r="B850" s="14" t="s">
        <v>780</v>
      </c>
      <c r="C850" s="14" t="s">
        <v>1470</v>
      </c>
      <c r="D850" s="14" t="s">
        <v>670</v>
      </c>
      <c r="E850" s="15" t="s">
        <v>506</v>
      </c>
      <c r="F850" s="15">
        <v>3</v>
      </c>
      <c r="G850" s="16">
        <f t="shared" si="49"/>
        <v>11484</v>
      </c>
      <c r="H850" s="16">
        <v>11484</v>
      </c>
      <c r="I850" s="16">
        <f t="shared" si="51"/>
        <v>0</v>
      </c>
      <c r="J850" s="31">
        <v>11484</v>
      </c>
      <c r="K850" s="69">
        <f t="shared" si="50"/>
        <v>0</v>
      </c>
      <c r="L850" s="50"/>
      <c r="M850" s="109"/>
      <c r="N850" s="110">
        <v>0.9</v>
      </c>
    </row>
    <row r="851" spans="1:14" ht="15" hidden="1" thickBot="1" x14ac:dyDescent="0.35">
      <c r="A851" s="14">
        <v>159</v>
      </c>
      <c r="B851" s="14" t="s">
        <v>781</v>
      </c>
      <c r="C851" s="14" t="s">
        <v>730</v>
      </c>
      <c r="D851" s="14" t="s">
        <v>614</v>
      </c>
      <c r="E851" s="15" t="s">
        <v>502</v>
      </c>
      <c r="F851" s="15">
        <v>9</v>
      </c>
      <c r="G851" s="16">
        <f t="shared" si="49"/>
        <v>32506</v>
      </c>
      <c r="H851" s="16">
        <v>35131</v>
      </c>
      <c r="I851" s="16">
        <f t="shared" si="51"/>
        <v>0</v>
      </c>
      <c r="J851" s="31">
        <v>35131</v>
      </c>
      <c r="K851" s="69">
        <f t="shared" si="50"/>
        <v>0</v>
      </c>
      <c r="L851" s="50">
        <v>2625</v>
      </c>
      <c r="M851" s="109">
        <v>2625</v>
      </c>
      <c r="N851" s="110"/>
    </row>
    <row r="852" spans="1:14" ht="15" hidden="1" thickBot="1" x14ac:dyDescent="0.35">
      <c r="A852" s="14">
        <v>159</v>
      </c>
      <c r="B852" s="14" t="s">
        <v>781</v>
      </c>
      <c r="C852" s="14" t="s">
        <v>730</v>
      </c>
      <c r="D852" s="14" t="s">
        <v>519</v>
      </c>
      <c r="E852" s="15" t="s">
        <v>503</v>
      </c>
      <c r="F852" s="15">
        <v>2</v>
      </c>
      <c r="G852" s="16">
        <f t="shared" si="49"/>
        <v>7574</v>
      </c>
      <c r="H852" s="16">
        <v>8354</v>
      </c>
      <c r="I852" s="16">
        <f t="shared" si="51"/>
        <v>0</v>
      </c>
      <c r="J852" s="31">
        <v>8354</v>
      </c>
      <c r="K852" s="69">
        <f t="shared" si="50"/>
        <v>0</v>
      </c>
      <c r="L852" s="50">
        <v>780</v>
      </c>
      <c r="M852" s="109">
        <v>780</v>
      </c>
      <c r="N852" s="110"/>
    </row>
    <row r="853" spans="1:14" ht="15" hidden="1" thickBot="1" x14ac:dyDescent="0.35">
      <c r="A853" s="14">
        <v>159</v>
      </c>
      <c r="B853" s="14" t="s">
        <v>781</v>
      </c>
      <c r="C853" s="14" t="s">
        <v>730</v>
      </c>
      <c r="D853" s="14" t="s">
        <v>614</v>
      </c>
      <c r="E853" s="15" t="s">
        <v>509</v>
      </c>
      <c r="F853" s="15">
        <v>8</v>
      </c>
      <c r="G853" s="16">
        <f t="shared" si="49"/>
        <v>33407.1</v>
      </c>
      <c r="H853" s="16">
        <v>35767.1</v>
      </c>
      <c r="I853" s="16">
        <f t="shared" si="51"/>
        <v>0</v>
      </c>
      <c r="J853" s="31">
        <v>35767.1</v>
      </c>
      <c r="K853" s="69">
        <f t="shared" si="50"/>
        <v>0</v>
      </c>
      <c r="L853" s="50">
        <v>2360</v>
      </c>
      <c r="M853" s="109">
        <v>2360</v>
      </c>
      <c r="N853" s="110"/>
    </row>
    <row r="854" spans="1:14" ht="15" hidden="1" thickBot="1" x14ac:dyDescent="0.35">
      <c r="A854" s="14">
        <v>159</v>
      </c>
      <c r="B854" s="14" t="s">
        <v>781</v>
      </c>
      <c r="C854" s="14" t="s">
        <v>730</v>
      </c>
      <c r="D854" s="14" t="s">
        <v>614</v>
      </c>
      <c r="E854" s="15" t="s">
        <v>500</v>
      </c>
      <c r="F854" s="15">
        <v>8</v>
      </c>
      <c r="G854" s="16">
        <f t="shared" si="49"/>
        <v>23301.75</v>
      </c>
      <c r="H854" s="16">
        <v>26181.75</v>
      </c>
      <c r="I854" s="16">
        <f t="shared" si="51"/>
        <v>0</v>
      </c>
      <c r="J854" s="31">
        <v>26181.75</v>
      </c>
      <c r="K854" s="69">
        <f t="shared" si="50"/>
        <v>0</v>
      </c>
      <c r="L854" s="50">
        <v>2880</v>
      </c>
      <c r="M854" s="109">
        <v>2880</v>
      </c>
      <c r="N854" s="110" t="s">
        <v>1131</v>
      </c>
    </row>
    <row r="855" spans="1:14" ht="15" hidden="1" thickBot="1" x14ac:dyDescent="0.35">
      <c r="A855" s="14">
        <v>159</v>
      </c>
      <c r="B855" s="14" t="s">
        <v>781</v>
      </c>
      <c r="C855" s="14" t="s">
        <v>730</v>
      </c>
      <c r="D855" s="14" t="s">
        <v>517</v>
      </c>
      <c r="E855" s="15" t="s">
        <v>502</v>
      </c>
      <c r="F855" s="15">
        <v>2</v>
      </c>
      <c r="G855" s="16">
        <f t="shared" si="49"/>
        <v>4736</v>
      </c>
      <c r="H855" s="16">
        <v>5216</v>
      </c>
      <c r="I855" s="16">
        <f t="shared" si="51"/>
        <v>0</v>
      </c>
      <c r="J855" s="31">
        <v>5216</v>
      </c>
      <c r="K855" s="69">
        <f t="shared" si="50"/>
        <v>0</v>
      </c>
      <c r="L855" s="50">
        <v>480</v>
      </c>
      <c r="M855" s="109">
        <v>480</v>
      </c>
      <c r="N855" s="110"/>
    </row>
    <row r="856" spans="1:14" ht="15" hidden="1" thickBot="1" x14ac:dyDescent="0.35">
      <c r="A856" s="14">
        <v>159</v>
      </c>
      <c r="B856" s="14" t="s">
        <v>781</v>
      </c>
      <c r="C856" s="14" t="s">
        <v>730</v>
      </c>
      <c r="D856" s="14" t="s">
        <v>510</v>
      </c>
      <c r="E856" s="15" t="s">
        <v>500</v>
      </c>
      <c r="F856" s="15">
        <v>8</v>
      </c>
      <c r="G856" s="16">
        <f t="shared" si="49"/>
        <v>9255</v>
      </c>
      <c r="H856" s="16">
        <v>10475</v>
      </c>
      <c r="I856" s="16">
        <f t="shared" si="51"/>
        <v>0</v>
      </c>
      <c r="J856" s="31">
        <v>10475</v>
      </c>
      <c r="K856" s="69">
        <f t="shared" si="50"/>
        <v>0</v>
      </c>
      <c r="L856" s="50">
        <v>1220</v>
      </c>
      <c r="M856" s="109">
        <v>1220</v>
      </c>
      <c r="N856" s="110">
        <v>0.97</v>
      </c>
    </row>
    <row r="857" spans="1:14" ht="15" hidden="1" thickBot="1" x14ac:dyDescent="0.35">
      <c r="A857" s="14">
        <v>159</v>
      </c>
      <c r="B857" s="14" t="s">
        <v>781</v>
      </c>
      <c r="C857" s="14" t="s">
        <v>730</v>
      </c>
      <c r="D857" s="14" t="s">
        <v>522</v>
      </c>
      <c r="E857" s="15" t="s">
        <v>502</v>
      </c>
      <c r="F857" s="15">
        <v>7</v>
      </c>
      <c r="G857" s="16">
        <f t="shared" si="49"/>
        <v>11004</v>
      </c>
      <c r="H857" s="16">
        <v>11904</v>
      </c>
      <c r="I857" s="16">
        <f t="shared" si="51"/>
        <v>0</v>
      </c>
      <c r="J857" s="31">
        <v>11904</v>
      </c>
      <c r="K857" s="69">
        <f t="shared" si="50"/>
        <v>0</v>
      </c>
      <c r="L857" s="50">
        <v>900</v>
      </c>
      <c r="M857" s="109">
        <v>900</v>
      </c>
      <c r="N857" s="110"/>
    </row>
    <row r="858" spans="1:14" ht="15" hidden="1" thickBot="1" x14ac:dyDescent="0.35">
      <c r="A858" s="14">
        <v>160</v>
      </c>
      <c r="B858" s="14" t="s">
        <v>782</v>
      </c>
      <c r="C858" s="14" t="s">
        <v>730</v>
      </c>
      <c r="D858" s="14" t="s">
        <v>529</v>
      </c>
      <c r="E858" s="15" t="s">
        <v>500</v>
      </c>
      <c r="F858" s="15"/>
      <c r="G858" s="16">
        <f t="shared" si="49"/>
        <v>3290</v>
      </c>
      <c r="H858" s="16">
        <v>3290</v>
      </c>
      <c r="I858" s="16">
        <f t="shared" si="51"/>
        <v>0</v>
      </c>
      <c r="J858" s="31">
        <v>3290</v>
      </c>
      <c r="K858" s="69">
        <f t="shared" si="50"/>
        <v>0</v>
      </c>
      <c r="L858" s="50"/>
      <c r="M858" s="109"/>
      <c r="N858" s="110"/>
    </row>
    <row r="859" spans="1:14" ht="15" hidden="1" thickBot="1" x14ac:dyDescent="0.35">
      <c r="A859" s="14">
        <v>161</v>
      </c>
      <c r="B859" s="14" t="s">
        <v>783</v>
      </c>
      <c r="C859" s="14" t="s">
        <v>730</v>
      </c>
      <c r="D859" s="14" t="s">
        <v>530</v>
      </c>
      <c r="E859" s="15" t="s">
        <v>500</v>
      </c>
      <c r="F859" s="15"/>
      <c r="G859" s="16">
        <f t="shared" si="49"/>
        <v>3431</v>
      </c>
      <c r="H859" s="16">
        <v>3431</v>
      </c>
      <c r="I859" s="16">
        <f t="shared" si="51"/>
        <v>0</v>
      </c>
      <c r="J859" s="31">
        <v>3431</v>
      </c>
      <c r="K859" s="69">
        <f t="shared" si="50"/>
        <v>0</v>
      </c>
      <c r="L859" s="50"/>
      <c r="M859" s="109"/>
      <c r="N859" s="110"/>
    </row>
    <row r="860" spans="1:14" ht="15" hidden="1" thickBot="1" x14ac:dyDescent="0.35">
      <c r="A860" s="20">
        <v>162</v>
      </c>
      <c r="B860" s="14" t="s">
        <v>784</v>
      </c>
      <c r="C860" s="20" t="s">
        <v>719</v>
      </c>
      <c r="D860" s="14" t="s">
        <v>614</v>
      </c>
      <c r="E860" s="15" t="s">
        <v>504</v>
      </c>
      <c r="F860" s="15">
        <v>4</v>
      </c>
      <c r="G860" s="16">
        <f t="shared" si="49"/>
        <v>10199</v>
      </c>
      <c r="H860" s="16">
        <v>10199</v>
      </c>
      <c r="I860" s="16">
        <f t="shared" si="51"/>
        <v>0</v>
      </c>
      <c r="J860" s="31">
        <v>10199</v>
      </c>
      <c r="K860" s="69">
        <f t="shared" si="50"/>
        <v>0</v>
      </c>
      <c r="L860" s="50"/>
      <c r="M860" s="109"/>
      <c r="N860" s="110"/>
    </row>
    <row r="861" spans="1:14" ht="15" hidden="1" thickBot="1" x14ac:dyDescent="0.35">
      <c r="A861" s="20">
        <v>162</v>
      </c>
      <c r="B861" s="14" t="s">
        <v>784</v>
      </c>
      <c r="C861" s="20" t="s">
        <v>730</v>
      </c>
      <c r="D861" s="14" t="s">
        <v>510</v>
      </c>
      <c r="E861" s="15" t="s">
        <v>504</v>
      </c>
      <c r="F861" s="15">
        <v>4</v>
      </c>
      <c r="G861" s="16">
        <f t="shared" si="49"/>
        <v>6269</v>
      </c>
      <c r="H861" s="16">
        <v>6269</v>
      </c>
      <c r="I861" s="16">
        <f t="shared" si="51"/>
        <v>0</v>
      </c>
      <c r="J861" s="31">
        <v>6269</v>
      </c>
      <c r="K861" s="69">
        <f t="shared" si="50"/>
        <v>0</v>
      </c>
      <c r="L861" s="50"/>
      <c r="M861" s="109"/>
      <c r="N861" s="110"/>
    </row>
    <row r="862" spans="1:14" ht="15" hidden="1" thickBot="1" x14ac:dyDescent="0.35">
      <c r="A862" s="20">
        <v>162</v>
      </c>
      <c r="B862" s="14" t="s">
        <v>784</v>
      </c>
      <c r="C862" s="20" t="s">
        <v>730</v>
      </c>
      <c r="D862" s="14" t="s">
        <v>614</v>
      </c>
      <c r="E862" s="15" t="s">
        <v>503</v>
      </c>
      <c r="F862" s="15">
        <v>6</v>
      </c>
      <c r="G862" s="16">
        <f t="shared" si="49"/>
        <v>24965</v>
      </c>
      <c r="H862" s="16">
        <v>25025</v>
      </c>
      <c r="I862" s="16">
        <f t="shared" si="51"/>
        <v>0</v>
      </c>
      <c r="J862" s="31">
        <v>25025</v>
      </c>
      <c r="K862" s="69">
        <f t="shared" si="50"/>
        <v>0</v>
      </c>
      <c r="L862" s="50">
        <v>60</v>
      </c>
      <c r="M862" s="109">
        <v>60</v>
      </c>
      <c r="N862" s="110"/>
    </row>
    <row r="863" spans="1:14" ht="15" hidden="1" thickBot="1" x14ac:dyDescent="0.35">
      <c r="A863" s="20">
        <v>163</v>
      </c>
      <c r="B863" s="14" t="s">
        <v>785</v>
      </c>
      <c r="C863" s="20" t="s">
        <v>730</v>
      </c>
      <c r="D863" s="14" t="s">
        <v>679</v>
      </c>
      <c r="E863" s="15" t="s">
        <v>502</v>
      </c>
      <c r="F863" s="15">
        <v>8</v>
      </c>
      <c r="G863" s="16">
        <f t="shared" ref="G863:G940" si="52">H863-M863</f>
        <v>61345</v>
      </c>
      <c r="H863" s="16">
        <v>75578</v>
      </c>
      <c r="I863" s="16">
        <f t="shared" si="51"/>
        <v>0</v>
      </c>
      <c r="J863" s="31">
        <v>75578</v>
      </c>
      <c r="K863" s="69">
        <f t="shared" si="50"/>
        <v>0</v>
      </c>
      <c r="L863" s="50">
        <v>14233</v>
      </c>
      <c r="M863" s="109">
        <v>14233</v>
      </c>
      <c r="N863" s="110">
        <v>0.9</v>
      </c>
    </row>
    <row r="864" spans="1:14" ht="15" hidden="1" thickBot="1" x14ac:dyDescent="0.35">
      <c r="A864" s="20">
        <v>163</v>
      </c>
      <c r="B864" s="14" t="s">
        <v>785</v>
      </c>
      <c r="C864" s="20" t="s">
        <v>730</v>
      </c>
      <c r="D864" s="14" t="s">
        <v>1831</v>
      </c>
      <c r="E864" s="15" t="s">
        <v>504</v>
      </c>
      <c r="F864" s="15"/>
      <c r="G864" s="16">
        <f t="shared" si="52"/>
        <v>3156</v>
      </c>
      <c r="H864" s="16">
        <v>3156</v>
      </c>
      <c r="I864" s="16">
        <f t="shared" si="51"/>
        <v>0</v>
      </c>
      <c r="J864" s="31">
        <v>3156</v>
      </c>
      <c r="K864" s="69">
        <f t="shared" si="50"/>
        <v>0</v>
      </c>
      <c r="L864" s="50"/>
      <c r="M864" s="109"/>
      <c r="N864" s="110"/>
    </row>
    <row r="865" spans="1:14" ht="15" hidden="1" thickBot="1" x14ac:dyDescent="0.35">
      <c r="A865" s="20">
        <v>163</v>
      </c>
      <c r="B865" s="14" t="s">
        <v>785</v>
      </c>
      <c r="C865" s="19" t="s">
        <v>729</v>
      </c>
      <c r="D865" s="14" t="s">
        <v>1102</v>
      </c>
      <c r="E865" s="15" t="s">
        <v>500</v>
      </c>
      <c r="F865" s="15">
        <v>1</v>
      </c>
      <c r="G865" s="16">
        <f t="shared" si="52"/>
        <v>6783</v>
      </c>
      <c r="H865" s="16">
        <v>6783</v>
      </c>
      <c r="I865" s="16">
        <f t="shared" si="51"/>
        <v>0</v>
      </c>
      <c r="J865" s="31">
        <v>6783</v>
      </c>
      <c r="K865" s="69">
        <f t="shared" si="50"/>
        <v>0</v>
      </c>
      <c r="L865" s="50"/>
      <c r="M865" s="109"/>
      <c r="N865" s="110"/>
    </row>
    <row r="866" spans="1:14" ht="15" hidden="1" thickBot="1" x14ac:dyDescent="0.35">
      <c r="A866" s="20">
        <v>163</v>
      </c>
      <c r="B866" s="14" t="s">
        <v>785</v>
      </c>
      <c r="C866" s="19" t="s">
        <v>729</v>
      </c>
      <c r="D866" s="14" t="s">
        <v>1001</v>
      </c>
      <c r="E866" s="15" t="s">
        <v>504</v>
      </c>
      <c r="F866" s="15">
        <v>1</v>
      </c>
      <c r="G866" s="16">
        <f t="shared" si="52"/>
        <v>7506</v>
      </c>
      <c r="H866" s="16">
        <v>7506</v>
      </c>
      <c r="I866" s="16">
        <f t="shared" si="51"/>
        <v>0</v>
      </c>
      <c r="J866" s="31">
        <v>7506</v>
      </c>
      <c r="K866" s="69">
        <f t="shared" si="50"/>
        <v>0</v>
      </c>
      <c r="L866" s="50"/>
      <c r="M866" s="109"/>
      <c r="N866" s="110">
        <v>0.9</v>
      </c>
    </row>
    <row r="867" spans="1:14" ht="15" hidden="1" thickBot="1" x14ac:dyDescent="0.35">
      <c r="A867" s="14">
        <v>164</v>
      </c>
      <c r="B867" s="14" t="s">
        <v>786</v>
      </c>
      <c r="C867" s="14"/>
      <c r="D867" s="14" t="s">
        <v>513</v>
      </c>
      <c r="E867" s="15" t="s">
        <v>546</v>
      </c>
      <c r="F867" s="15"/>
      <c r="G867" s="16">
        <f t="shared" si="52"/>
        <v>1368</v>
      </c>
      <c r="H867" s="16">
        <v>1368</v>
      </c>
      <c r="I867" s="16">
        <f t="shared" si="51"/>
        <v>0</v>
      </c>
      <c r="J867" s="31">
        <v>1368</v>
      </c>
      <c r="K867" s="69">
        <f t="shared" ref="K867:K942" si="53">M867-L867</f>
        <v>0</v>
      </c>
      <c r="L867" s="50"/>
      <c r="M867" s="109"/>
      <c r="N867" s="110"/>
    </row>
    <row r="868" spans="1:14" ht="15" hidden="1" thickBot="1" x14ac:dyDescent="0.35">
      <c r="A868" s="14">
        <v>165</v>
      </c>
      <c r="B868" s="14" t="s">
        <v>787</v>
      </c>
      <c r="C868" s="14"/>
      <c r="D868" s="14" t="s">
        <v>614</v>
      </c>
      <c r="E868" s="15" t="s">
        <v>500</v>
      </c>
      <c r="F868" s="15"/>
      <c r="G868" s="16">
        <f t="shared" si="52"/>
        <v>2599</v>
      </c>
      <c r="H868" s="16">
        <v>2599</v>
      </c>
      <c r="I868" s="16">
        <f t="shared" si="51"/>
        <v>0</v>
      </c>
      <c r="J868" s="31">
        <v>2599</v>
      </c>
      <c r="K868" s="69">
        <f t="shared" si="53"/>
        <v>0</v>
      </c>
      <c r="L868" s="50"/>
      <c r="M868" s="109"/>
      <c r="N868" s="110"/>
    </row>
    <row r="869" spans="1:14" ht="15" hidden="1" thickBot="1" x14ac:dyDescent="0.35">
      <c r="A869" s="14">
        <v>166</v>
      </c>
      <c r="B869" s="14" t="s">
        <v>788</v>
      </c>
      <c r="C869" s="14" t="s">
        <v>664</v>
      </c>
      <c r="D869" s="14" t="s">
        <v>614</v>
      </c>
      <c r="E869" s="15" t="s">
        <v>509</v>
      </c>
      <c r="F869" s="15">
        <v>5</v>
      </c>
      <c r="G869" s="16">
        <f t="shared" si="52"/>
        <v>40213</v>
      </c>
      <c r="H869" s="16">
        <v>40813</v>
      </c>
      <c r="I869" s="16">
        <f t="shared" si="51"/>
        <v>0</v>
      </c>
      <c r="J869" s="31">
        <v>40813</v>
      </c>
      <c r="K869" s="69">
        <f t="shared" si="53"/>
        <v>0</v>
      </c>
      <c r="L869" s="50">
        <v>600</v>
      </c>
      <c r="M869" s="109">
        <v>600</v>
      </c>
      <c r="N869" s="110"/>
    </row>
    <row r="870" spans="1:14" ht="15" hidden="1" thickBot="1" x14ac:dyDescent="0.35">
      <c r="A870" s="14">
        <v>166</v>
      </c>
      <c r="B870" s="14" t="s">
        <v>788</v>
      </c>
      <c r="C870" s="14" t="s">
        <v>664</v>
      </c>
      <c r="D870" s="14" t="s">
        <v>510</v>
      </c>
      <c r="E870" s="15" t="s">
        <v>509</v>
      </c>
      <c r="F870" s="15"/>
      <c r="G870" s="16">
        <f t="shared" si="52"/>
        <v>3510</v>
      </c>
      <c r="H870" s="16">
        <v>3510</v>
      </c>
      <c r="I870" s="16">
        <f t="shared" si="51"/>
        <v>0</v>
      </c>
      <c r="J870" s="31">
        <v>3510</v>
      </c>
      <c r="K870" s="69">
        <f t="shared" si="53"/>
        <v>0</v>
      </c>
      <c r="L870" s="50"/>
      <c r="M870" s="109"/>
      <c r="N870" s="110"/>
    </row>
    <row r="871" spans="1:14" ht="15" hidden="1" thickBot="1" x14ac:dyDescent="0.35">
      <c r="A871" s="14">
        <v>167</v>
      </c>
      <c r="B871" s="14" t="s">
        <v>789</v>
      </c>
      <c r="C871" s="14" t="s">
        <v>664</v>
      </c>
      <c r="D871" s="14" t="s">
        <v>614</v>
      </c>
      <c r="E871" s="15" t="s">
        <v>500</v>
      </c>
      <c r="F871" s="15">
        <v>4</v>
      </c>
      <c r="G871" s="16">
        <f t="shared" si="52"/>
        <v>12193</v>
      </c>
      <c r="H871" s="16">
        <v>12673</v>
      </c>
      <c r="I871" s="16">
        <f t="shared" si="51"/>
        <v>0</v>
      </c>
      <c r="J871" s="31">
        <v>12673</v>
      </c>
      <c r="K871" s="69">
        <f t="shared" si="53"/>
        <v>0</v>
      </c>
      <c r="L871" s="50">
        <v>480</v>
      </c>
      <c r="M871" s="109">
        <v>480</v>
      </c>
      <c r="N871" s="110"/>
    </row>
    <row r="872" spans="1:14" ht="15" hidden="1" thickBot="1" x14ac:dyDescent="0.35">
      <c r="A872" s="14">
        <v>167</v>
      </c>
      <c r="B872" s="14" t="s">
        <v>789</v>
      </c>
      <c r="C872" s="14" t="s">
        <v>664</v>
      </c>
      <c r="D872" s="14" t="s">
        <v>761</v>
      </c>
      <c r="E872" s="15" t="s">
        <v>500</v>
      </c>
      <c r="F872" s="15"/>
      <c r="G872" s="16">
        <f t="shared" si="52"/>
        <v>6555</v>
      </c>
      <c r="H872" s="16">
        <v>6555</v>
      </c>
      <c r="I872" s="16">
        <f t="shared" si="51"/>
        <v>0</v>
      </c>
      <c r="J872" s="31">
        <v>6555</v>
      </c>
      <c r="K872" s="69">
        <f t="shared" si="53"/>
        <v>0</v>
      </c>
      <c r="L872" s="50"/>
      <c r="M872" s="109"/>
      <c r="N872" s="110"/>
    </row>
    <row r="873" spans="1:14" ht="15" hidden="1" thickBot="1" x14ac:dyDescent="0.35">
      <c r="A873" s="14">
        <v>167</v>
      </c>
      <c r="B873" s="14" t="s">
        <v>789</v>
      </c>
      <c r="C873" s="14" t="s">
        <v>664</v>
      </c>
      <c r="D873" s="14" t="s">
        <v>1001</v>
      </c>
      <c r="E873" s="15" t="s">
        <v>504</v>
      </c>
      <c r="F873" s="15">
        <v>4</v>
      </c>
      <c r="G873" s="16">
        <f t="shared" si="52"/>
        <v>44148</v>
      </c>
      <c r="H873" s="16">
        <v>44708</v>
      </c>
      <c r="I873" s="16">
        <f t="shared" si="51"/>
        <v>0</v>
      </c>
      <c r="J873" s="31">
        <v>44708</v>
      </c>
      <c r="K873" s="69">
        <f t="shared" si="53"/>
        <v>0</v>
      </c>
      <c r="L873" s="50">
        <v>560</v>
      </c>
      <c r="M873" s="109">
        <v>560</v>
      </c>
      <c r="N873" s="110">
        <v>0.95</v>
      </c>
    </row>
    <row r="874" spans="1:14" ht="15" hidden="1" thickBot="1" x14ac:dyDescent="0.35">
      <c r="A874" s="14">
        <v>167</v>
      </c>
      <c r="B874" s="14" t="s">
        <v>789</v>
      </c>
      <c r="C874" s="14" t="s">
        <v>664</v>
      </c>
      <c r="D874" s="14" t="s">
        <v>790</v>
      </c>
      <c r="E874" s="15" t="s">
        <v>500</v>
      </c>
      <c r="F874" s="15">
        <v>4</v>
      </c>
      <c r="G874" s="16">
        <f t="shared" si="52"/>
        <v>19088</v>
      </c>
      <c r="H874" s="16">
        <v>19228</v>
      </c>
      <c r="I874" s="16">
        <f t="shared" si="51"/>
        <v>0</v>
      </c>
      <c r="J874" s="31">
        <v>19228</v>
      </c>
      <c r="K874" s="69">
        <f t="shared" si="53"/>
        <v>0</v>
      </c>
      <c r="L874" s="50">
        <v>140</v>
      </c>
      <c r="M874" s="109">
        <v>140</v>
      </c>
      <c r="N874" s="110"/>
    </row>
    <row r="875" spans="1:14" ht="15" hidden="1" thickBot="1" x14ac:dyDescent="0.35">
      <c r="A875" s="14">
        <v>168</v>
      </c>
      <c r="B875" s="14" t="s">
        <v>791</v>
      </c>
      <c r="C875" s="14" t="s">
        <v>664</v>
      </c>
      <c r="D875" s="14" t="s">
        <v>699</v>
      </c>
      <c r="E875" s="15" t="s">
        <v>503</v>
      </c>
      <c r="F875" s="15">
        <v>2</v>
      </c>
      <c r="G875" s="16">
        <f t="shared" si="52"/>
        <v>9500</v>
      </c>
      <c r="H875" s="16">
        <v>9500</v>
      </c>
      <c r="I875" s="16">
        <f t="shared" si="51"/>
        <v>0</v>
      </c>
      <c r="J875" s="31">
        <v>9500</v>
      </c>
      <c r="K875" s="69">
        <f t="shared" si="53"/>
        <v>0</v>
      </c>
      <c r="L875" s="50"/>
      <c r="M875" s="109"/>
      <c r="N875" s="110"/>
    </row>
    <row r="876" spans="1:14" ht="15" hidden="1" thickBot="1" x14ac:dyDescent="0.35">
      <c r="A876" s="14">
        <v>168</v>
      </c>
      <c r="B876" s="14" t="s">
        <v>791</v>
      </c>
      <c r="C876" s="14" t="s">
        <v>664</v>
      </c>
      <c r="D876" s="14" t="s">
        <v>708</v>
      </c>
      <c r="E876" s="15" t="s">
        <v>502</v>
      </c>
      <c r="F876" s="15">
        <v>1</v>
      </c>
      <c r="G876" s="16">
        <f t="shared" si="52"/>
        <v>760</v>
      </c>
      <c r="H876" s="16">
        <v>760</v>
      </c>
      <c r="I876" s="16">
        <f t="shared" si="51"/>
        <v>0</v>
      </c>
      <c r="J876" s="31">
        <v>760</v>
      </c>
      <c r="K876" s="69">
        <f t="shared" si="53"/>
        <v>0</v>
      </c>
      <c r="L876" s="50"/>
      <c r="M876" s="109"/>
      <c r="N876" s="110"/>
    </row>
    <row r="877" spans="1:14" ht="15" hidden="1" thickBot="1" x14ac:dyDescent="0.35">
      <c r="A877" s="20">
        <v>169</v>
      </c>
      <c r="B877" s="14" t="s">
        <v>792</v>
      </c>
      <c r="C877" s="20" t="s">
        <v>793</v>
      </c>
      <c r="D877" s="14" t="s">
        <v>522</v>
      </c>
      <c r="E877" s="15" t="s">
        <v>502</v>
      </c>
      <c r="F877" s="15">
        <v>1</v>
      </c>
      <c r="G877" s="16">
        <f t="shared" si="52"/>
        <v>545</v>
      </c>
      <c r="H877" s="16">
        <v>545</v>
      </c>
      <c r="I877" s="16">
        <f t="shared" si="51"/>
        <v>0</v>
      </c>
      <c r="J877" s="31">
        <v>545</v>
      </c>
      <c r="K877" s="69">
        <f t="shared" si="53"/>
        <v>0</v>
      </c>
      <c r="L877" s="50"/>
      <c r="M877" s="109"/>
      <c r="N877" s="110"/>
    </row>
    <row r="878" spans="1:14" ht="15" hidden="1" thickBot="1" x14ac:dyDescent="0.35">
      <c r="A878" s="20">
        <v>169</v>
      </c>
      <c r="B878" s="14" t="s">
        <v>792</v>
      </c>
      <c r="C878" s="20" t="s">
        <v>793</v>
      </c>
      <c r="D878" s="14" t="s">
        <v>523</v>
      </c>
      <c r="E878" s="15" t="s">
        <v>508</v>
      </c>
      <c r="F878" s="15">
        <v>1</v>
      </c>
      <c r="G878" s="16">
        <f t="shared" si="52"/>
        <v>396</v>
      </c>
      <c r="H878" s="16">
        <v>396</v>
      </c>
      <c r="I878" s="16">
        <f t="shared" si="51"/>
        <v>0</v>
      </c>
      <c r="J878" s="31">
        <v>396</v>
      </c>
      <c r="K878" s="69">
        <f t="shared" si="53"/>
        <v>0</v>
      </c>
      <c r="L878" s="50"/>
      <c r="M878" s="109"/>
      <c r="N878" s="110"/>
    </row>
    <row r="879" spans="1:14" ht="15" hidden="1" thickBot="1" x14ac:dyDescent="0.35">
      <c r="A879" s="20">
        <v>169</v>
      </c>
      <c r="B879" s="14" t="s">
        <v>792</v>
      </c>
      <c r="C879" s="20" t="s">
        <v>793</v>
      </c>
      <c r="D879" s="14" t="s">
        <v>1125</v>
      </c>
      <c r="E879" s="15" t="s">
        <v>502</v>
      </c>
      <c r="F879" s="15">
        <v>1</v>
      </c>
      <c r="G879" s="16">
        <f t="shared" si="52"/>
        <v>936</v>
      </c>
      <c r="H879" s="16">
        <v>936</v>
      </c>
      <c r="I879" s="16">
        <f t="shared" si="51"/>
        <v>0</v>
      </c>
      <c r="J879" s="31">
        <v>936</v>
      </c>
      <c r="K879" s="69">
        <f t="shared" si="53"/>
        <v>0</v>
      </c>
      <c r="L879" s="50"/>
      <c r="M879" s="109"/>
      <c r="N879" s="110"/>
    </row>
    <row r="880" spans="1:14" ht="15" hidden="1" thickBot="1" x14ac:dyDescent="0.35">
      <c r="A880" s="20">
        <v>169</v>
      </c>
      <c r="B880" s="14" t="s">
        <v>792</v>
      </c>
      <c r="C880" s="20" t="s">
        <v>793</v>
      </c>
      <c r="D880" s="14" t="s">
        <v>547</v>
      </c>
      <c r="E880" s="15" t="s">
        <v>502</v>
      </c>
      <c r="F880" s="15">
        <v>1</v>
      </c>
      <c r="G880" s="16">
        <f t="shared" si="52"/>
        <v>2574</v>
      </c>
      <c r="H880" s="16">
        <v>2574</v>
      </c>
      <c r="I880" s="16">
        <f t="shared" si="51"/>
        <v>0</v>
      </c>
      <c r="J880" s="31">
        <v>2574</v>
      </c>
      <c r="K880" s="69">
        <f t="shared" si="53"/>
        <v>0</v>
      </c>
      <c r="L880" s="50"/>
      <c r="M880" s="109"/>
      <c r="N880" s="110"/>
    </row>
    <row r="881" spans="1:14" ht="15" hidden="1" thickBot="1" x14ac:dyDescent="0.35">
      <c r="A881" s="20">
        <v>169</v>
      </c>
      <c r="B881" s="14" t="s">
        <v>792</v>
      </c>
      <c r="C881" s="20" t="s">
        <v>793</v>
      </c>
      <c r="D881" s="14" t="s">
        <v>510</v>
      </c>
      <c r="E881" s="15" t="s">
        <v>502</v>
      </c>
      <c r="F881" s="15">
        <v>2</v>
      </c>
      <c r="G881" s="16">
        <f t="shared" si="52"/>
        <v>600</v>
      </c>
      <c r="H881" s="16">
        <v>840</v>
      </c>
      <c r="I881" s="16">
        <f t="shared" si="51"/>
        <v>0</v>
      </c>
      <c r="J881" s="31">
        <v>840</v>
      </c>
      <c r="K881" s="69">
        <f t="shared" si="53"/>
        <v>0</v>
      </c>
      <c r="L881" s="50">
        <v>240</v>
      </c>
      <c r="M881" s="109">
        <v>240</v>
      </c>
      <c r="N881" s="110"/>
    </row>
    <row r="882" spans="1:14" ht="15" hidden="1" thickBot="1" x14ac:dyDescent="0.35">
      <c r="A882" s="20">
        <v>169</v>
      </c>
      <c r="B882" s="14" t="s">
        <v>792</v>
      </c>
      <c r="C882" s="20" t="s">
        <v>793</v>
      </c>
      <c r="D882" s="14" t="s">
        <v>679</v>
      </c>
      <c r="E882" s="15" t="s">
        <v>502</v>
      </c>
      <c r="F882" s="15">
        <v>2</v>
      </c>
      <c r="G882" s="16">
        <f t="shared" si="52"/>
        <v>2667.6</v>
      </c>
      <c r="H882" s="16">
        <v>2667.6</v>
      </c>
      <c r="I882" s="16">
        <f t="shared" si="51"/>
        <v>0</v>
      </c>
      <c r="J882" s="31">
        <v>2667.6</v>
      </c>
      <c r="K882" s="69">
        <f t="shared" si="53"/>
        <v>0</v>
      </c>
      <c r="L882" s="50">
        <v>0</v>
      </c>
      <c r="M882" s="109">
        <v>0</v>
      </c>
      <c r="N882" s="110">
        <v>0.9</v>
      </c>
    </row>
    <row r="883" spans="1:14" ht="15" hidden="1" thickBot="1" x14ac:dyDescent="0.35">
      <c r="A883" s="20">
        <v>169</v>
      </c>
      <c r="B883" s="14" t="s">
        <v>792</v>
      </c>
      <c r="C883" s="20" t="s">
        <v>793</v>
      </c>
      <c r="D883" s="14" t="s">
        <v>1061</v>
      </c>
      <c r="E883" s="15" t="s">
        <v>508</v>
      </c>
      <c r="F883" s="15">
        <v>2</v>
      </c>
      <c r="G883" s="16">
        <f t="shared" si="52"/>
        <v>9360</v>
      </c>
      <c r="H883" s="16">
        <v>9360</v>
      </c>
      <c r="I883" s="16">
        <f t="shared" si="51"/>
        <v>0</v>
      </c>
      <c r="J883" s="31">
        <v>9360</v>
      </c>
      <c r="K883" s="69">
        <f t="shared" si="53"/>
        <v>0</v>
      </c>
      <c r="L883" s="50">
        <v>0</v>
      </c>
      <c r="M883" s="109">
        <v>0</v>
      </c>
      <c r="N883" s="110">
        <v>0.9</v>
      </c>
    </row>
    <row r="884" spans="1:14" ht="15" hidden="1" thickBot="1" x14ac:dyDescent="0.35">
      <c r="A884" s="20">
        <v>169</v>
      </c>
      <c r="B884" s="14" t="s">
        <v>792</v>
      </c>
      <c r="C884" s="20" t="s">
        <v>793</v>
      </c>
      <c r="D884" s="14" t="s">
        <v>1105</v>
      </c>
      <c r="E884" s="15" t="s">
        <v>504</v>
      </c>
      <c r="F884" s="15">
        <v>1</v>
      </c>
      <c r="G884" s="16">
        <f t="shared" si="52"/>
        <v>2047.5</v>
      </c>
      <c r="H884" s="16">
        <v>2047.5</v>
      </c>
      <c r="I884" s="16">
        <f t="shared" si="51"/>
        <v>0</v>
      </c>
      <c r="J884" s="31">
        <v>2047.5</v>
      </c>
      <c r="K884" s="69">
        <f t="shared" si="53"/>
        <v>0</v>
      </c>
      <c r="L884" s="50">
        <v>0</v>
      </c>
      <c r="M884" s="109">
        <v>0</v>
      </c>
      <c r="N884" s="110">
        <v>0.9</v>
      </c>
    </row>
    <row r="885" spans="1:14" ht="15" hidden="1" thickBot="1" x14ac:dyDescent="0.35">
      <c r="A885" s="20">
        <v>169</v>
      </c>
      <c r="B885" s="14" t="s">
        <v>792</v>
      </c>
      <c r="C885" s="20" t="s">
        <v>793</v>
      </c>
      <c r="D885" s="14" t="s">
        <v>1043</v>
      </c>
      <c r="E885" s="15" t="s">
        <v>500</v>
      </c>
      <c r="F885" s="15">
        <v>1</v>
      </c>
      <c r="G885" s="16">
        <f t="shared" si="52"/>
        <v>2047.5</v>
      </c>
      <c r="H885" s="16">
        <v>2047.5</v>
      </c>
      <c r="I885" s="16">
        <f t="shared" si="51"/>
        <v>0</v>
      </c>
      <c r="J885" s="31">
        <v>2047.5</v>
      </c>
      <c r="K885" s="69">
        <f t="shared" si="53"/>
        <v>0</v>
      </c>
      <c r="L885" s="50">
        <v>0</v>
      </c>
      <c r="M885" s="109">
        <v>0</v>
      </c>
      <c r="N885" s="110">
        <v>0.9</v>
      </c>
    </row>
    <row r="886" spans="1:14" ht="15" hidden="1" thickBot="1" x14ac:dyDescent="0.35">
      <c r="A886" s="20">
        <v>169</v>
      </c>
      <c r="B886" s="14" t="s">
        <v>792</v>
      </c>
      <c r="C886" s="20" t="s">
        <v>793</v>
      </c>
      <c r="D886" s="14" t="s">
        <v>1102</v>
      </c>
      <c r="E886" s="15" t="s">
        <v>500</v>
      </c>
      <c r="F886" s="15">
        <v>1</v>
      </c>
      <c r="G886" s="16">
        <f t="shared" si="52"/>
        <v>2582.5</v>
      </c>
      <c r="H886" s="16">
        <v>2582.5</v>
      </c>
      <c r="I886" s="16">
        <f t="shared" si="51"/>
        <v>0</v>
      </c>
      <c r="J886" s="31">
        <v>2582.5</v>
      </c>
      <c r="K886" s="69">
        <f t="shared" si="53"/>
        <v>0</v>
      </c>
      <c r="L886" s="50">
        <v>0</v>
      </c>
      <c r="M886" s="109">
        <v>0</v>
      </c>
      <c r="N886" s="110">
        <v>0.9</v>
      </c>
    </row>
    <row r="887" spans="1:14" ht="15" hidden="1" thickBot="1" x14ac:dyDescent="0.35">
      <c r="A887" s="20">
        <v>169</v>
      </c>
      <c r="B887" s="14" t="s">
        <v>792</v>
      </c>
      <c r="C887" s="20" t="s">
        <v>793</v>
      </c>
      <c r="D887" s="14" t="s">
        <v>1001</v>
      </c>
      <c r="E887" s="15" t="s">
        <v>504</v>
      </c>
      <c r="F887" s="15">
        <v>1</v>
      </c>
      <c r="G887" s="16">
        <f t="shared" si="52"/>
        <v>2685</v>
      </c>
      <c r="H887" s="16">
        <v>2685</v>
      </c>
      <c r="I887" s="16">
        <f t="shared" si="51"/>
        <v>0</v>
      </c>
      <c r="J887" s="31">
        <v>2685</v>
      </c>
      <c r="K887" s="69">
        <f t="shared" si="53"/>
        <v>0</v>
      </c>
      <c r="L887" s="50">
        <v>0</v>
      </c>
      <c r="M887" s="109">
        <v>0</v>
      </c>
      <c r="N887" s="110">
        <v>0.9</v>
      </c>
    </row>
    <row r="888" spans="1:14" ht="15" hidden="1" thickBot="1" x14ac:dyDescent="0.35">
      <c r="A888" s="20">
        <v>169</v>
      </c>
      <c r="B888" s="14" t="s">
        <v>792</v>
      </c>
      <c r="C888" s="14" t="s">
        <v>664</v>
      </c>
      <c r="D888" s="14" t="s">
        <v>679</v>
      </c>
      <c r="E888" s="15" t="s">
        <v>502</v>
      </c>
      <c r="F888" s="15">
        <v>7</v>
      </c>
      <c r="G888" s="16">
        <f t="shared" si="52"/>
        <v>97382</v>
      </c>
      <c r="H888" s="16">
        <v>97622</v>
      </c>
      <c r="I888" s="16">
        <f t="shared" si="51"/>
        <v>0</v>
      </c>
      <c r="J888" s="31">
        <v>97622</v>
      </c>
      <c r="K888" s="69">
        <f t="shared" si="53"/>
        <v>0</v>
      </c>
      <c r="L888" s="50">
        <v>240</v>
      </c>
      <c r="M888" s="109">
        <v>240</v>
      </c>
      <c r="N888" s="110"/>
    </row>
    <row r="889" spans="1:14" ht="15" hidden="1" thickBot="1" x14ac:dyDescent="0.35">
      <c r="A889" s="20">
        <v>169</v>
      </c>
      <c r="B889" s="14" t="s">
        <v>792</v>
      </c>
      <c r="C889" s="14" t="s">
        <v>664</v>
      </c>
      <c r="D889" s="14" t="s">
        <v>692</v>
      </c>
      <c r="E889" s="15" t="s">
        <v>502</v>
      </c>
      <c r="F889" s="15">
        <v>6</v>
      </c>
      <c r="G889" s="16">
        <f t="shared" si="52"/>
        <v>25660.400000000001</v>
      </c>
      <c r="H889" s="16">
        <v>27465.4</v>
      </c>
      <c r="I889" s="16">
        <f t="shared" si="51"/>
        <v>0</v>
      </c>
      <c r="J889" s="31">
        <v>27465.4</v>
      </c>
      <c r="K889" s="69">
        <f t="shared" si="53"/>
        <v>0</v>
      </c>
      <c r="L889" s="50">
        <v>1805</v>
      </c>
      <c r="M889" s="109">
        <v>1805</v>
      </c>
      <c r="N889" s="110">
        <v>0.95</v>
      </c>
    </row>
    <row r="890" spans="1:14" ht="15" hidden="1" thickBot="1" x14ac:dyDescent="0.35">
      <c r="A890" s="20">
        <v>169</v>
      </c>
      <c r="B890" s="14" t="s">
        <v>792</v>
      </c>
      <c r="C890" s="14" t="s">
        <v>664</v>
      </c>
      <c r="D890" s="14" t="s">
        <v>981</v>
      </c>
      <c r="E890" s="15" t="s">
        <v>502</v>
      </c>
      <c r="F890" s="15">
        <v>6</v>
      </c>
      <c r="G890" s="16">
        <f t="shared" si="52"/>
        <v>86003</v>
      </c>
      <c r="H890" s="16">
        <v>87903</v>
      </c>
      <c r="I890" s="16">
        <f t="shared" si="51"/>
        <v>0</v>
      </c>
      <c r="J890" s="31">
        <v>87903</v>
      </c>
      <c r="K890" s="69">
        <f t="shared" si="53"/>
        <v>0</v>
      </c>
      <c r="L890" s="50">
        <v>1900</v>
      </c>
      <c r="M890" s="109">
        <v>1900</v>
      </c>
      <c r="N890" s="110">
        <v>0.95</v>
      </c>
    </row>
    <row r="891" spans="1:14" ht="15" hidden="1" thickBot="1" x14ac:dyDescent="0.35">
      <c r="A891" s="20">
        <v>169</v>
      </c>
      <c r="B891" s="14" t="s">
        <v>792</v>
      </c>
      <c r="C891" s="14" t="s">
        <v>664</v>
      </c>
      <c r="D891" s="14" t="s">
        <v>1061</v>
      </c>
      <c r="E891" s="15" t="s">
        <v>508</v>
      </c>
      <c r="F891" s="15">
        <v>2</v>
      </c>
      <c r="G891" s="16">
        <f t="shared" si="52"/>
        <v>19964</v>
      </c>
      <c r="H891" s="16">
        <v>19964</v>
      </c>
      <c r="I891" s="16">
        <f t="shared" si="51"/>
        <v>0</v>
      </c>
      <c r="J891" s="31">
        <v>19964</v>
      </c>
      <c r="K891" s="69">
        <f t="shared" si="53"/>
        <v>0</v>
      </c>
      <c r="L891" s="50"/>
      <c r="M891" s="109"/>
      <c r="N891" s="110"/>
    </row>
    <row r="892" spans="1:14" ht="15" hidden="1" thickBot="1" x14ac:dyDescent="0.35">
      <c r="A892" s="20">
        <v>169</v>
      </c>
      <c r="B892" s="14" t="s">
        <v>792</v>
      </c>
      <c r="C892" s="14" t="s">
        <v>664</v>
      </c>
      <c r="D892" s="14" t="s">
        <v>1534</v>
      </c>
      <c r="E892" s="15" t="s">
        <v>508</v>
      </c>
      <c r="F892" s="15">
        <v>3</v>
      </c>
      <c r="G892" s="16">
        <f t="shared" si="52"/>
        <v>7977</v>
      </c>
      <c r="H892" s="16">
        <v>7977</v>
      </c>
      <c r="I892" s="16">
        <f t="shared" si="51"/>
        <v>0</v>
      </c>
      <c r="J892" s="31">
        <v>7977</v>
      </c>
      <c r="K892" s="69">
        <f t="shared" si="53"/>
        <v>0</v>
      </c>
      <c r="L892" s="50"/>
      <c r="M892" s="109"/>
      <c r="N892" s="110">
        <v>1</v>
      </c>
    </row>
    <row r="893" spans="1:14" ht="15" hidden="1" thickBot="1" x14ac:dyDescent="0.35">
      <c r="A893" s="20">
        <v>169</v>
      </c>
      <c r="B893" s="14" t="s">
        <v>792</v>
      </c>
      <c r="C893" s="14" t="s">
        <v>664</v>
      </c>
      <c r="D893" s="14" t="s">
        <v>1001</v>
      </c>
      <c r="E893" s="15" t="s">
        <v>504</v>
      </c>
      <c r="F893" s="15">
        <v>1</v>
      </c>
      <c r="G893" s="16">
        <f t="shared" si="52"/>
        <v>14451</v>
      </c>
      <c r="H893" s="16">
        <v>14451</v>
      </c>
      <c r="I893" s="16">
        <f>J893-H893</f>
        <v>0</v>
      </c>
      <c r="J893" s="31">
        <v>14451</v>
      </c>
      <c r="K893" s="69">
        <f t="shared" si="53"/>
        <v>0</v>
      </c>
      <c r="L893" s="50"/>
      <c r="M893" s="109"/>
      <c r="N893" s="110"/>
    </row>
    <row r="894" spans="1:14" ht="15" hidden="1" thickBot="1" x14ac:dyDescent="0.35">
      <c r="A894" s="20">
        <v>169</v>
      </c>
      <c r="B894" s="14" t="s">
        <v>792</v>
      </c>
      <c r="C894" s="14" t="s">
        <v>664</v>
      </c>
      <c r="D894" s="14" t="s">
        <v>678</v>
      </c>
      <c r="E894" s="15" t="s">
        <v>502</v>
      </c>
      <c r="F894" s="15">
        <v>3</v>
      </c>
      <c r="G894" s="16">
        <f t="shared" si="52"/>
        <v>9641</v>
      </c>
      <c r="H894" s="16">
        <v>9641</v>
      </c>
      <c r="I894" s="16">
        <f>J894-H894</f>
        <v>0</v>
      </c>
      <c r="J894" s="31">
        <v>9641</v>
      </c>
      <c r="K894" s="69">
        <f t="shared" si="53"/>
        <v>0</v>
      </c>
      <c r="L894" s="50"/>
      <c r="M894" s="109"/>
      <c r="N894" s="110"/>
    </row>
    <row r="895" spans="1:14" ht="15" hidden="1" thickBot="1" x14ac:dyDescent="0.35">
      <c r="A895" s="20">
        <v>169</v>
      </c>
      <c r="B895" s="14" t="s">
        <v>792</v>
      </c>
      <c r="C895" s="14" t="s">
        <v>664</v>
      </c>
      <c r="D895" s="14" t="s">
        <v>794</v>
      </c>
      <c r="E895" s="15" t="s">
        <v>502</v>
      </c>
      <c r="F895" s="15">
        <v>1</v>
      </c>
      <c r="G895" s="16">
        <f t="shared" si="52"/>
        <v>855</v>
      </c>
      <c r="H895" s="16">
        <v>855</v>
      </c>
      <c r="I895" s="16">
        <f t="shared" si="51"/>
        <v>0</v>
      </c>
      <c r="J895" s="31">
        <v>855</v>
      </c>
      <c r="K895" s="69">
        <f t="shared" si="53"/>
        <v>0</v>
      </c>
      <c r="L895" s="50"/>
      <c r="M895" s="109"/>
      <c r="N895" s="110"/>
    </row>
    <row r="896" spans="1:14" ht="15" hidden="1" thickBot="1" x14ac:dyDescent="0.35">
      <c r="A896" s="20">
        <v>169</v>
      </c>
      <c r="B896" s="14" t="s">
        <v>792</v>
      </c>
      <c r="C896" s="14" t="s">
        <v>664</v>
      </c>
      <c r="D896" s="14" t="s">
        <v>1133</v>
      </c>
      <c r="E896" s="15" t="s">
        <v>502</v>
      </c>
      <c r="F896" s="15">
        <v>3</v>
      </c>
      <c r="G896" s="16">
        <f t="shared" si="52"/>
        <v>8964</v>
      </c>
      <c r="H896" s="16">
        <v>8964</v>
      </c>
      <c r="I896" s="16">
        <f t="shared" si="51"/>
        <v>0</v>
      </c>
      <c r="J896" s="31">
        <v>8964</v>
      </c>
      <c r="K896" s="69">
        <f t="shared" si="53"/>
        <v>0</v>
      </c>
      <c r="L896" s="50"/>
      <c r="M896" s="109"/>
      <c r="N896" s="110">
        <v>0.9</v>
      </c>
    </row>
    <row r="897" spans="1:14" ht="15" hidden="1" thickBot="1" x14ac:dyDescent="0.35">
      <c r="A897" s="20">
        <v>169</v>
      </c>
      <c r="B897" s="14" t="s">
        <v>792</v>
      </c>
      <c r="C897" s="14" t="s">
        <v>664</v>
      </c>
      <c r="D897" s="14" t="s">
        <v>999</v>
      </c>
      <c r="E897" s="15" t="s">
        <v>626</v>
      </c>
      <c r="F897" s="15">
        <v>2</v>
      </c>
      <c r="G897" s="16">
        <f t="shared" si="52"/>
        <v>18070</v>
      </c>
      <c r="H897" s="16">
        <v>18550</v>
      </c>
      <c r="I897" s="16">
        <f t="shared" si="51"/>
        <v>0</v>
      </c>
      <c r="J897" s="31">
        <v>18550</v>
      </c>
      <c r="K897" s="69">
        <f t="shared" si="53"/>
        <v>0</v>
      </c>
      <c r="L897" s="50">
        <v>480</v>
      </c>
      <c r="M897" s="109">
        <v>480</v>
      </c>
      <c r="N897" s="110">
        <v>0.92500000000000004</v>
      </c>
    </row>
    <row r="898" spans="1:14" ht="15" hidden="1" thickBot="1" x14ac:dyDescent="0.35">
      <c r="A898" s="20">
        <v>169</v>
      </c>
      <c r="B898" s="14" t="s">
        <v>792</v>
      </c>
      <c r="C898" s="14" t="s">
        <v>664</v>
      </c>
      <c r="D898" s="14" t="s">
        <v>1076</v>
      </c>
      <c r="E898" s="15"/>
      <c r="F898" s="15">
        <v>1</v>
      </c>
      <c r="G898" s="16">
        <f t="shared" si="52"/>
        <v>14354</v>
      </c>
      <c r="H898" s="16">
        <v>14354</v>
      </c>
      <c r="I898" s="16">
        <f t="shared" si="51"/>
        <v>0</v>
      </c>
      <c r="J898" s="31">
        <v>14354</v>
      </c>
      <c r="K898" s="69">
        <f t="shared" si="53"/>
        <v>0</v>
      </c>
      <c r="L898" s="50"/>
      <c r="M898" s="109"/>
      <c r="N898" s="110"/>
    </row>
    <row r="899" spans="1:14" ht="15" hidden="1" thickBot="1" x14ac:dyDescent="0.35">
      <c r="A899" s="20">
        <v>169</v>
      </c>
      <c r="B899" s="14" t="s">
        <v>792</v>
      </c>
      <c r="C899" s="14" t="s">
        <v>664</v>
      </c>
      <c r="D899" s="14" t="s">
        <v>1397</v>
      </c>
      <c r="E899" s="15" t="s">
        <v>504</v>
      </c>
      <c r="F899" s="15">
        <v>2</v>
      </c>
      <c r="G899" s="16">
        <f t="shared" si="52"/>
        <v>4748</v>
      </c>
      <c r="H899" s="16">
        <v>4748</v>
      </c>
      <c r="I899" s="16">
        <f t="shared" si="51"/>
        <v>0</v>
      </c>
      <c r="J899" s="31">
        <v>4748</v>
      </c>
      <c r="K899" s="69">
        <f t="shared" si="53"/>
        <v>0</v>
      </c>
      <c r="L899" s="50">
        <v>0</v>
      </c>
      <c r="M899" s="109">
        <v>0</v>
      </c>
      <c r="N899" s="110">
        <v>0.95</v>
      </c>
    </row>
    <row r="900" spans="1:14" ht="15" hidden="1" thickBot="1" x14ac:dyDescent="0.35">
      <c r="A900" s="20">
        <v>169</v>
      </c>
      <c r="B900" s="14" t="s">
        <v>792</v>
      </c>
      <c r="C900" s="14" t="s">
        <v>664</v>
      </c>
      <c r="D900" s="14" t="s">
        <v>1105</v>
      </c>
      <c r="E900" s="15" t="s">
        <v>504</v>
      </c>
      <c r="F900" s="15">
        <v>8</v>
      </c>
      <c r="G900" s="16">
        <f t="shared" si="52"/>
        <v>107325</v>
      </c>
      <c r="H900" s="16">
        <v>108745</v>
      </c>
      <c r="I900" s="16">
        <f t="shared" si="51"/>
        <v>0</v>
      </c>
      <c r="J900" s="31">
        <v>108745</v>
      </c>
      <c r="K900" s="69">
        <f t="shared" si="53"/>
        <v>0</v>
      </c>
      <c r="L900" s="50">
        <v>1420</v>
      </c>
      <c r="M900" s="109">
        <f>760+660</f>
        <v>1420</v>
      </c>
      <c r="N900" s="110">
        <v>0.95</v>
      </c>
    </row>
    <row r="901" spans="1:14" ht="15" hidden="1" thickBot="1" x14ac:dyDescent="0.35">
      <c r="A901" s="20">
        <v>169</v>
      </c>
      <c r="B901" s="14" t="s">
        <v>792</v>
      </c>
      <c r="C901" s="14" t="s">
        <v>664</v>
      </c>
      <c r="D901" s="14" t="s">
        <v>1178</v>
      </c>
      <c r="E901" s="15" t="s">
        <v>504</v>
      </c>
      <c r="F901" s="15">
        <v>3</v>
      </c>
      <c r="G901" s="16">
        <f t="shared" si="52"/>
        <v>9009</v>
      </c>
      <c r="H901" s="16">
        <v>9009</v>
      </c>
      <c r="I901" s="16">
        <f t="shared" si="51"/>
        <v>0</v>
      </c>
      <c r="J901" s="31">
        <v>9009</v>
      </c>
      <c r="K901" s="69">
        <f t="shared" si="53"/>
        <v>0</v>
      </c>
      <c r="L901" s="50">
        <v>0</v>
      </c>
      <c r="M901" s="109">
        <v>0</v>
      </c>
      <c r="N901" s="110">
        <v>0.9</v>
      </c>
    </row>
    <row r="902" spans="1:14" ht="15" hidden="1" thickBot="1" x14ac:dyDescent="0.35">
      <c r="A902" s="20">
        <v>169</v>
      </c>
      <c r="B902" s="14" t="s">
        <v>792</v>
      </c>
      <c r="C902" s="14" t="s">
        <v>664</v>
      </c>
      <c r="D902" s="14" t="s">
        <v>980</v>
      </c>
      <c r="E902" s="15" t="s">
        <v>503</v>
      </c>
      <c r="F902" s="15">
        <v>2</v>
      </c>
      <c r="G902" s="16">
        <f t="shared" si="52"/>
        <v>4639</v>
      </c>
      <c r="H902" s="16">
        <v>4639</v>
      </c>
      <c r="I902" s="16">
        <f t="shared" si="51"/>
        <v>0</v>
      </c>
      <c r="J902" s="31">
        <v>4639</v>
      </c>
      <c r="K902" s="69">
        <f t="shared" si="53"/>
        <v>0</v>
      </c>
      <c r="L902" s="50"/>
      <c r="M902" s="109"/>
      <c r="N902" s="110">
        <v>0.95</v>
      </c>
    </row>
    <row r="903" spans="1:14" ht="15" hidden="1" thickBot="1" x14ac:dyDescent="0.35">
      <c r="A903" s="20">
        <v>169</v>
      </c>
      <c r="B903" s="14" t="s">
        <v>792</v>
      </c>
      <c r="C903" s="14" t="s">
        <v>664</v>
      </c>
      <c r="D903" s="14" t="s">
        <v>1102</v>
      </c>
      <c r="E903" s="15" t="s">
        <v>500</v>
      </c>
      <c r="F903" s="15">
        <v>2</v>
      </c>
      <c r="G903" s="16">
        <f t="shared" si="52"/>
        <v>31946</v>
      </c>
      <c r="H903" s="16">
        <v>31946</v>
      </c>
      <c r="I903" s="16">
        <f t="shared" si="51"/>
        <v>0</v>
      </c>
      <c r="J903" s="31">
        <v>31946</v>
      </c>
      <c r="K903" s="69">
        <f t="shared" si="53"/>
        <v>0</v>
      </c>
      <c r="L903" s="50"/>
      <c r="M903" s="109"/>
      <c r="N903" s="110">
        <v>0.9</v>
      </c>
    </row>
    <row r="904" spans="1:14" ht="15" hidden="1" thickBot="1" x14ac:dyDescent="0.35">
      <c r="A904" s="20">
        <v>169</v>
      </c>
      <c r="B904" s="14" t="s">
        <v>792</v>
      </c>
      <c r="C904" s="14" t="s">
        <v>664</v>
      </c>
      <c r="D904" s="14" t="s">
        <v>618</v>
      </c>
      <c r="E904" s="15" t="s">
        <v>509</v>
      </c>
      <c r="F904" s="15">
        <v>1</v>
      </c>
      <c r="G904" s="16">
        <f t="shared" si="52"/>
        <v>1930.5</v>
      </c>
      <c r="H904" s="16">
        <v>1930.5</v>
      </c>
      <c r="I904" s="16">
        <f t="shared" si="51"/>
        <v>0</v>
      </c>
      <c r="J904" s="31">
        <v>1930.5</v>
      </c>
      <c r="K904" s="69">
        <f t="shared" si="53"/>
        <v>0</v>
      </c>
      <c r="L904" s="50"/>
      <c r="M904" s="109"/>
      <c r="N904" s="110">
        <v>0.9</v>
      </c>
    </row>
    <row r="905" spans="1:14" ht="15" hidden="1" thickBot="1" x14ac:dyDescent="0.35">
      <c r="A905" s="20">
        <v>169</v>
      </c>
      <c r="B905" s="14" t="s">
        <v>792</v>
      </c>
      <c r="C905" s="14" t="s">
        <v>664</v>
      </c>
      <c r="D905" s="14" t="s">
        <v>510</v>
      </c>
      <c r="E905" s="15" t="s">
        <v>502</v>
      </c>
      <c r="F905" s="15">
        <v>4</v>
      </c>
      <c r="G905" s="16">
        <f t="shared" si="52"/>
        <v>26205</v>
      </c>
      <c r="H905" s="16">
        <v>27485</v>
      </c>
      <c r="I905" s="16">
        <f t="shared" si="51"/>
        <v>0</v>
      </c>
      <c r="J905" s="31">
        <v>27485</v>
      </c>
      <c r="K905" s="69">
        <f t="shared" si="53"/>
        <v>0</v>
      </c>
      <c r="L905" s="50">
        <v>1280</v>
      </c>
      <c r="M905" s="109">
        <v>1280</v>
      </c>
      <c r="N905" s="110"/>
    </row>
    <row r="906" spans="1:14" ht="15" hidden="1" thickBot="1" x14ac:dyDescent="0.35">
      <c r="A906" s="20">
        <v>170</v>
      </c>
      <c r="B906" s="14" t="s">
        <v>795</v>
      </c>
      <c r="C906" s="20" t="s">
        <v>793</v>
      </c>
      <c r="D906" s="14" t="s">
        <v>513</v>
      </c>
      <c r="E906" s="15"/>
      <c r="F906" s="15">
        <v>1</v>
      </c>
      <c r="G906" s="16">
        <f t="shared" si="52"/>
        <v>2996</v>
      </c>
      <c r="H906" s="16">
        <v>2996</v>
      </c>
      <c r="I906" s="16">
        <f t="shared" si="51"/>
        <v>0</v>
      </c>
      <c r="J906" s="31">
        <v>2996</v>
      </c>
      <c r="K906" s="69">
        <f t="shared" si="53"/>
        <v>0</v>
      </c>
      <c r="L906" s="50"/>
      <c r="M906" s="109"/>
      <c r="N906" s="110"/>
    </row>
    <row r="907" spans="1:14" ht="15" hidden="1" thickBot="1" x14ac:dyDescent="0.35">
      <c r="A907" s="20">
        <v>170</v>
      </c>
      <c r="B907" s="14" t="s">
        <v>795</v>
      </c>
      <c r="C907" s="20" t="s">
        <v>793</v>
      </c>
      <c r="D907" s="14" t="s">
        <v>510</v>
      </c>
      <c r="E907" s="15" t="s">
        <v>512</v>
      </c>
      <c r="F907" s="15">
        <v>2</v>
      </c>
      <c r="G907" s="16">
        <f t="shared" si="52"/>
        <v>1240</v>
      </c>
      <c r="H907" s="16">
        <v>1240</v>
      </c>
      <c r="I907" s="16">
        <f t="shared" si="51"/>
        <v>0</v>
      </c>
      <c r="J907" s="31">
        <v>1240</v>
      </c>
      <c r="K907" s="69">
        <f t="shared" si="53"/>
        <v>0</v>
      </c>
      <c r="L907" s="50"/>
      <c r="M907" s="109"/>
      <c r="N907" s="110"/>
    </row>
    <row r="908" spans="1:14" ht="15" hidden="1" thickBot="1" x14ac:dyDescent="0.35">
      <c r="A908" s="20">
        <v>170</v>
      </c>
      <c r="B908" s="14" t="s">
        <v>795</v>
      </c>
      <c r="C908" s="20" t="s">
        <v>793</v>
      </c>
      <c r="D908" s="14" t="s">
        <v>510</v>
      </c>
      <c r="E908" s="15" t="s">
        <v>500</v>
      </c>
      <c r="F908" s="15">
        <v>1</v>
      </c>
      <c r="G908" s="16">
        <f t="shared" si="52"/>
        <v>1041.3</v>
      </c>
      <c r="H908" s="16">
        <v>1041.3</v>
      </c>
      <c r="I908" s="16">
        <f>J908-H908</f>
        <v>0</v>
      </c>
      <c r="J908" s="31">
        <v>1041.3</v>
      </c>
      <c r="K908" s="69">
        <f t="shared" si="53"/>
        <v>0</v>
      </c>
      <c r="L908" s="50"/>
      <c r="M908" s="109"/>
      <c r="N908" s="110"/>
    </row>
    <row r="909" spans="1:14" ht="15" hidden="1" thickBot="1" x14ac:dyDescent="0.35">
      <c r="A909" s="20">
        <v>170</v>
      </c>
      <c r="B909" s="14" t="s">
        <v>795</v>
      </c>
      <c r="C909" s="20" t="s">
        <v>793</v>
      </c>
      <c r="D909" s="14" t="s">
        <v>614</v>
      </c>
      <c r="E909" s="15" t="s">
        <v>500</v>
      </c>
      <c r="F909" s="15">
        <v>1</v>
      </c>
      <c r="G909" s="16">
        <f t="shared" si="52"/>
        <v>1696.5</v>
      </c>
      <c r="H909" s="16">
        <v>1696.5</v>
      </c>
      <c r="I909" s="16">
        <f>J909-H909</f>
        <v>0</v>
      </c>
      <c r="J909" s="31">
        <v>1696.5</v>
      </c>
      <c r="K909" s="69">
        <f t="shared" si="53"/>
        <v>0</v>
      </c>
      <c r="L909" s="50"/>
      <c r="M909" s="109"/>
      <c r="N909" s="110"/>
    </row>
    <row r="910" spans="1:14" ht="15" hidden="1" thickBot="1" x14ac:dyDescent="0.35">
      <c r="A910" s="20">
        <v>170</v>
      </c>
      <c r="B910" s="14" t="s">
        <v>795</v>
      </c>
      <c r="C910" s="20" t="s">
        <v>793</v>
      </c>
      <c r="D910" s="14" t="s">
        <v>1051</v>
      </c>
      <c r="E910" s="15" t="s">
        <v>500</v>
      </c>
      <c r="F910" s="15">
        <v>1</v>
      </c>
      <c r="G910" s="16">
        <f t="shared" si="52"/>
        <v>676.61</v>
      </c>
      <c r="H910" s="16">
        <v>676.61</v>
      </c>
      <c r="I910" s="16">
        <f>J910-H910</f>
        <v>0</v>
      </c>
      <c r="J910" s="31">
        <v>676.61</v>
      </c>
      <c r="K910" s="69">
        <f t="shared" si="53"/>
        <v>0</v>
      </c>
      <c r="L910" s="50"/>
      <c r="M910" s="109"/>
      <c r="N910" s="110"/>
    </row>
    <row r="911" spans="1:14" ht="15" hidden="1" thickBot="1" x14ac:dyDescent="0.35">
      <c r="A911" s="20">
        <v>170</v>
      </c>
      <c r="B911" s="14" t="s">
        <v>795</v>
      </c>
      <c r="C911" s="20" t="s">
        <v>793</v>
      </c>
      <c r="D911" s="14" t="s">
        <v>510</v>
      </c>
      <c r="E911" s="15" t="s">
        <v>504</v>
      </c>
      <c r="F911" s="15">
        <v>1</v>
      </c>
      <c r="G911" s="16">
        <f t="shared" si="52"/>
        <v>1111.5</v>
      </c>
      <c r="H911" s="16">
        <v>1111.5</v>
      </c>
      <c r="I911" s="16">
        <f>J911-H911</f>
        <v>0</v>
      </c>
      <c r="J911" s="31">
        <v>1111.5</v>
      </c>
      <c r="K911" s="69">
        <f t="shared" si="53"/>
        <v>0</v>
      </c>
      <c r="L911" s="50"/>
      <c r="M911" s="109"/>
      <c r="N911" s="110"/>
    </row>
    <row r="912" spans="1:14" ht="15" hidden="1" thickBot="1" x14ac:dyDescent="0.35">
      <c r="A912" s="20">
        <v>170</v>
      </c>
      <c r="B912" s="14" t="s">
        <v>795</v>
      </c>
      <c r="C912" s="20" t="s">
        <v>793</v>
      </c>
      <c r="D912" s="14" t="s">
        <v>614</v>
      </c>
      <c r="E912" s="15" t="s">
        <v>504</v>
      </c>
      <c r="F912" s="15">
        <v>1</v>
      </c>
      <c r="G912" s="16">
        <f t="shared" si="52"/>
        <v>1638</v>
      </c>
      <c r="H912" s="16">
        <v>1638</v>
      </c>
      <c r="I912" s="16">
        <f>J912-H912</f>
        <v>0</v>
      </c>
      <c r="J912" s="31">
        <v>1638</v>
      </c>
      <c r="K912" s="69">
        <f t="shared" si="53"/>
        <v>0</v>
      </c>
      <c r="L912" s="50"/>
      <c r="M912" s="109"/>
      <c r="N912" s="110"/>
    </row>
    <row r="913" spans="1:14" ht="15" hidden="1" thickBot="1" x14ac:dyDescent="0.35">
      <c r="A913" s="20">
        <v>170</v>
      </c>
      <c r="B913" s="14" t="s">
        <v>795</v>
      </c>
      <c r="C913" s="14" t="s">
        <v>793</v>
      </c>
      <c r="D913" s="14" t="s">
        <v>614</v>
      </c>
      <c r="E913" s="15" t="s">
        <v>512</v>
      </c>
      <c r="F913" s="15">
        <v>2</v>
      </c>
      <c r="G913" s="16">
        <f t="shared" si="52"/>
        <v>1462.5</v>
      </c>
      <c r="H913" s="16">
        <v>1462.5</v>
      </c>
      <c r="I913" s="16">
        <f t="shared" si="51"/>
        <v>0</v>
      </c>
      <c r="J913" s="31">
        <v>1462.5</v>
      </c>
      <c r="K913" s="69">
        <f t="shared" si="53"/>
        <v>0</v>
      </c>
      <c r="L913" s="50"/>
      <c r="M913" s="109"/>
      <c r="N913" s="110"/>
    </row>
    <row r="914" spans="1:14" ht="15" hidden="1" thickBot="1" x14ac:dyDescent="0.35">
      <c r="A914" s="20">
        <v>170</v>
      </c>
      <c r="B914" s="14" t="s">
        <v>795</v>
      </c>
      <c r="C914" s="19" t="s">
        <v>668</v>
      </c>
      <c r="D914" s="14" t="s">
        <v>1331</v>
      </c>
      <c r="E914" s="15" t="s">
        <v>500</v>
      </c>
      <c r="F914" s="15">
        <v>3</v>
      </c>
      <c r="G914" s="16">
        <f t="shared" si="52"/>
        <v>9016.7999999999993</v>
      </c>
      <c r="H914" s="16">
        <v>9316.7999999999993</v>
      </c>
      <c r="I914" s="16">
        <f t="shared" si="51"/>
        <v>0</v>
      </c>
      <c r="J914" s="31">
        <v>9316.7999999999993</v>
      </c>
      <c r="K914" s="69">
        <f t="shared" si="53"/>
        <v>0</v>
      </c>
      <c r="L914" s="50">
        <v>300</v>
      </c>
      <c r="M914" s="109">
        <v>300</v>
      </c>
      <c r="N914" s="110">
        <v>0.9</v>
      </c>
    </row>
    <row r="915" spans="1:14" ht="15" hidden="1" thickBot="1" x14ac:dyDescent="0.35">
      <c r="A915" s="20">
        <v>170</v>
      </c>
      <c r="B915" s="14" t="s">
        <v>795</v>
      </c>
      <c r="C915" s="14" t="s">
        <v>664</v>
      </c>
      <c r="D915" s="14" t="s">
        <v>513</v>
      </c>
      <c r="E915" s="15" t="s">
        <v>512</v>
      </c>
      <c r="F915" s="15">
        <v>4</v>
      </c>
      <c r="G915" s="16">
        <f t="shared" si="52"/>
        <v>16644</v>
      </c>
      <c r="H915" s="16">
        <v>16644</v>
      </c>
      <c r="I915" s="16">
        <f t="shared" si="51"/>
        <v>0</v>
      </c>
      <c r="J915" s="31">
        <v>16644</v>
      </c>
      <c r="K915" s="69">
        <f t="shared" si="53"/>
        <v>0</v>
      </c>
      <c r="L915" s="50"/>
      <c r="M915" s="109"/>
      <c r="N915" s="110"/>
    </row>
    <row r="916" spans="1:14" ht="15" hidden="1" thickBot="1" x14ac:dyDescent="0.35">
      <c r="A916" s="20">
        <v>170</v>
      </c>
      <c r="B916" s="14" t="s">
        <v>795</v>
      </c>
      <c r="C916" s="14" t="s">
        <v>664</v>
      </c>
      <c r="D916" s="14" t="s">
        <v>1076</v>
      </c>
      <c r="E916" s="15"/>
      <c r="F916" s="15">
        <v>2</v>
      </c>
      <c r="G916" s="16">
        <f t="shared" si="52"/>
        <v>21336</v>
      </c>
      <c r="H916" s="16">
        <v>21336</v>
      </c>
      <c r="I916" s="16">
        <f>J916-H916</f>
        <v>0</v>
      </c>
      <c r="J916" s="31">
        <v>21336</v>
      </c>
      <c r="K916" s="69">
        <f t="shared" si="53"/>
        <v>0</v>
      </c>
      <c r="L916" s="50"/>
      <c r="M916" s="109"/>
      <c r="N916" s="110"/>
    </row>
    <row r="917" spans="1:14" ht="15" hidden="1" thickBot="1" x14ac:dyDescent="0.35">
      <c r="A917" s="20">
        <v>170</v>
      </c>
      <c r="B917" s="14" t="s">
        <v>795</v>
      </c>
      <c r="C917" s="14" t="s">
        <v>664</v>
      </c>
      <c r="D917" s="14" t="s">
        <v>1043</v>
      </c>
      <c r="E917" s="15" t="s">
        <v>500</v>
      </c>
      <c r="F917" s="15">
        <v>6</v>
      </c>
      <c r="G917" s="16">
        <f t="shared" si="52"/>
        <v>98538</v>
      </c>
      <c r="H917" s="16">
        <v>99738</v>
      </c>
      <c r="I917" s="16">
        <f>J917-H917</f>
        <v>0</v>
      </c>
      <c r="J917" s="31">
        <v>99738</v>
      </c>
      <c r="K917" s="69">
        <f t="shared" si="53"/>
        <v>0</v>
      </c>
      <c r="L917" s="50">
        <v>1200</v>
      </c>
      <c r="M917" s="109">
        <v>1200</v>
      </c>
      <c r="N917" s="110">
        <v>0.95</v>
      </c>
    </row>
    <row r="918" spans="1:14" ht="15" hidden="1" thickBot="1" x14ac:dyDescent="0.35">
      <c r="A918" s="20">
        <v>170</v>
      </c>
      <c r="B918" s="14" t="s">
        <v>795</v>
      </c>
      <c r="C918" s="14" t="s">
        <v>664</v>
      </c>
      <c r="D918" s="14" t="s">
        <v>1228</v>
      </c>
      <c r="E918" s="15" t="s">
        <v>500</v>
      </c>
      <c r="F918" s="15">
        <v>2</v>
      </c>
      <c r="G918" s="16">
        <f t="shared" si="52"/>
        <v>5574</v>
      </c>
      <c r="H918" s="16">
        <v>5574</v>
      </c>
      <c r="I918" s="16">
        <f>J918-H918</f>
        <v>0</v>
      </c>
      <c r="J918" s="31">
        <v>5574</v>
      </c>
      <c r="K918" s="69">
        <f t="shared" si="53"/>
        <v>0</v>
      </c>
      <c r="L918" s="50">
        <v>0</v>
      </c>
      <c r="M918" s="109">
        <v>0</v>
      </c>
      <c r="N918" s="110">
        <v>0.9</v>
      </c>
    </row>
    <row r="919" spans="1:14" ht="15" hidden="1" thickBot="1" x14ac:dyDescent="0.35">
      <c r="A919" s="20">
        <v>170</v>
      </c>
      <c r="B919" s="14" t="s">
        <v>795</v>
      </c>
      <c r="C919" s="14" t="s">
        <v>664</v>
      </c>
      <c r="D919" s="14" t="s">
        <v>690</v>
      </c>
      <c r="E919" s="15" t="s">
        <v>512</v>
      </c>
      <c r="F919" s="15">
        <v>4</v>
      </c>
      <c r="G919" s="16">
        <f t="shared" si="52"/>
        <v>5710</v>
      </c>
      <c r="H919" s="16">
        <v>7030</v>
      </c>
      <c r="I919" s="16">
        <f t="shared" si="51"/>
        <v>0</v>
      </c>
      <c r="J919" s="31">
        <v>7030</v>
      </c>
      <c r="K919" s="69">
        <f t="shared" si="53"/>
        <v>0</v>
      </c>
      <c r="L919" s="50">
        <v>1320</v>
      </c>
      <c r="M919" s="109">
        <v>1320</v>
      </c>
      <c r="N919" s="110"/>
    </row>
    <row r="920" spans="1:14" ht="15" hidden="1" thickBot="1" x14ac:dyDescent="0.35">
      <c r="A920" s="20">
        <v>170</v>
      </c>
      <c r="B920" s="14" t="s">
        <v>795</v>
      </c>
      <c r="C920" s="14" t="s">
        <v>664</v>
      </c>
      <c r="D920" s="14" t="s">
        <v>510</v>
      </c>
      <c r="E920" s="15" t="s">
        <v>512</v>
      </c>
      <c r="F920" s="15">
        <v>5</v>
      </c>
      <c r="G920" s="16">
        <f t="shared" si="52"/>
        <v>19493.599999999999</v>
      </c>
      <c r="H920" s="16">
        <v>20273.599999999999</v>
      </c>
      <c r="I920" s="16">
        <f t="shared" ref="I920:I1008" si="54">J920-H920</f>
        <v>0</v>
      </c>
      <c r="J920" s="31">
        <v>20273.599999999999</v>
      </c>
      <c r="K920" s="69">
        <f t="shared" si="53"/>
        <v>0</v>
      </c>
      <c r="L920" s="50">
        <v>780</v>
      </c>
      <c r="M920" s="109">
        <v>780</v>
      </c>
      <c r="N920" s="110"/>
    </row>
    <row r="921" spans="1:14" ht="15" hidden="1" thickBot="1" x14ac:dyDescent="0.35">
      <c r="A921" s="20">
        <v>170</v>
      </c>
      <c r="B921" s="14" t="s">
        <v>795</v>
      </c>
      <c r="C921" s="14" t="s">
        <v>664</v>
      </c>
      <c r="D921" s="14" t="s">
        <v>510</v>
      </c>
      <c r="E921" s="15" t="s">
        <v>509</v>
      </c>
      <c r="F921" s="15">
        <v>3</v>
      </c>
      <c r="G921" s="16">
        <f t="shared" si="52"/>
        <v>19218</v>
      </c>
      <c r="H921" s="16">
        <v>20283</v>
      </c>
      <c r="I921" s="16">
        <f t="shared" si="54"/>
        <v>0</v>
      </c>
      <c r="J921" s="31">
        <v>20283</v>
      </c>
      <c r="K921" s="69">
        <f t="shared" si="53"/>
        <v>0</v>
      </c>
      <c r="L921" s="50">
        <v>1065</v>
      </c>
      <c r="M921" s="109">
        <v>1065</v>
      </c>
      <c r="N921" s="110"/>
    </row>
    <row r="922" spans="1:14" ht="15" hidden="1" thickBot="1" x14ac:dyDescent="0.35">
      <c r="A922" s="20">
        <v>171</v>
      </c>
      <c r="B922" s="14" t="s">
        <v>796</v>
      </c>
      <c r="C922" s="20" t="s">
        <v>793</v>
      </c>
      <c r="D922" s="14" t="s">
        <v>510</v>
      </c>
      <c r="E922" s="15" t="s">
        <v>506</v>
      </c>
      <c r="F922" s="15">
        <v>1</v>
      </c>
      <c r="G922" s="16">
        <f t="shared" si="52"/>
        <v>1053</v>
      </c>
      <c r="H922" s="16">
        <v>1053</v>
      </c>
      <c r="I922" s="16">
        <f t="shared" si="54"/>
        <v>0</v>
      </c>
      <c r="J922" s="31">
        <v>1053</v>
      </c>
      <c r="K922" s="69">
        <f t="shared" si="53"/>
        <v>0</v>
      </c>
      <c r="L922" s="50"/>
      <c r="M922" s="109"/>
      <c r="N922" s="110"/>
    </row>
    <row r="923" spans="1:14" ht="15" hidden="1" thickBot="1" x14ac:dyDescent="0.35">
      <c r="A923" s="20">
        <v>171</v>
      </c>
      <c r="B923" s="14" t="s">
        <v>796</v>
      </c>
      <c r="C923" s="20" t="s">
        <v>793</v>
      </c>
      <c r="D923" s="14" t="s">
        <v>614</v>
      </c>
      <c r="E923" s="15" t="s">
        <v>508</v>
      </c>
      <c r="F923" s="15">
        <v>3</v>
      </c>
      <c r="G923" s="16">
        <f t="shared" si="52"/>
        <v>1554</v>
      </c>
      <c r="H923" s="16">
        <v>1794</v>
      </c>
      <c r="I923" s="16">
        <f t="shared" si="54"/>
        <v>0</v>
      </c>
      <c r="J923" s="31">
        <v>1794</v>
      </c>
      <c r="K923" s="69">
        <f t="shared" si="53"/>
        <v>0</v>
      </c>
      <c r="L923" s="50">
        <v>240</v>
      </c>
      <c r="M923" s="109">
        <v>240</v>
      </c>
      <c r="N923" s="110"/>
    </row>
    <row r="924" spans="1:14" ht="15" hidden="1" thickBot="1" x14ac:dyDescent="0.35">
      <c r="A924" s="20">
        <v>171</v>
      </c>
      <c r="B924" s="14" t="s">
        <v>796</v>
      </c>
      <c r="C924" s="20" t="s">
        <v>793</v>
      </c>
      <c r="D924" s="14" t="s">
        <v>510</v>
      </c>
      <c r="E924" s="15" t="s">
        <v>508</v>
      </c>
      <c r="F924" s="15">
        <v>4</v>
      </c>
      <c r="G924" s="16">
        <f t="shared" si="52"/>
        <v>1382</v>
      </c>
      <c r="H924" s="16">
        <v>1382</v>
      </c>
      <c r="I924" s="16">
        <f t="shared" si="54"/>
        <v>0</v>
      </c>
      <c r="J924" s="31">
        <v>1382</v>
      </c>
      <c r="K924" s="69">
        <f t="shared" si="53"/>
        <v>0</v>
      </c>
      <c r="L924" s="50"/>
      <c r="M924" s="109"/>
      <c r="N924" s="110"/>
    </row>
    <row r="925" spans="1:14" ht="15" hidden="1" thickBot="1" x14ac:dyDescent="0.35">
      <c r="A925" s="20">
        <v>171</v>
      </c>
      <c r="B925" s="14" t="s">
        <v>796</v>
      </c>
      <c r="C925" s="20" t="s">
        <v>997</v>
      </c>
      <c r="D925" s="14" t="s">
        <v>510</v>
      </c>
      <c r="E925" s="15" t="s">
        <v>508</v>
      </c>
      <c r="F925" s="15">
        <v>3</v>
      </c>
      <c r="G925" s="16">
        <f t="shared" si="52"/>
        <v>-129</v>
      </c>
      <c r="H925" s="16">
        <v>2511</v>
      </c>
      <c r="I925" s="16">
        <f t="shared" si="54"/>
        <v>0</v>
      </c>
      <c r="J925" s="31">
        <v>2511</v>
      </c>
      <c r="K925" s="69">
        <f t="shared" si="53"/>
        <v>0</v>
      </c>
      <c r="L925" s="50">
        <v>2640</v>
      </c>
      <c r="M925" s="109">
        <v>2640</v>
      </c>
      <c r="N925" s="110"/>
    </row>
    <row r="926" spans="1:14" ht="15" hidden="1" thickBot="1" x14ac:dyDescent="0.35">
      <c r="A926" s="20">
        <v>171</v>
      </c>
      <c r="B926" s="14" t="s">
        <v>796</v>
      </c>
      <c r="C926" s="20" t="s">
        <v>997</v>
      </c>
      <c r="D926" s="14" t="s">
        <v>614</v>
      </c>
      <c r="E926" s="15" t="s">
        <v>508</v>
      </c>
      <c r="F926" s="15">
        <v>3</v>
      </c>
      <c r="G926" s="16">
        <f t="shared" si="52"/>
        <v>2772</v>
      </c>
      <c r="H926" s="16">
        <v>3492</v>
      </c>
      <c r="I926" s="16">
        <f t="shared" si="54"/>
        <v>0</v>
      </c>
      <c r="J926" s="31">
        <v>3492</v>
      </c>
      <c r="K926" s="69">
        <f t="shared" si="53"/>
        <v>0</v>
      </c>
      <c r="L926" s="50">
        <v>720</v>
      </c>
      <c r="M926" s="109">
        <v>720</v>
      </c>
      <c r="N926" s="110"/>
    </row>
    <row r="927" spans="1:14" ht="15" hidden="1" thickBot="1" x14ac:dyDescent="0.35">
      <c r="A927" s="20">
        <v>171</v>
      </c>
      <c r="B927" s="14" t="s">
        <v>796</v>
      </c>
      <c r="C927" s="14" t="s">
        <v>664</v>
      </c>
      <c r="D927" s="14" t="s">
        <v>614</v>
      </c>
      <c r="E927" s="15" t="s">
        <v>508</v>
      </c>
      <c r="F927" s="15">
        <v>9</v>
      </c>
      <c r="G927" s="16">
        <f t="shared" si="52"/>
        <v>48402.57</v>
      </c>
      <c r="H927" s="16">
        <v>49182.57</v>
      </c>
      <c r="I927" s="16">
        <f t="shared" si="54"/>
        <v>0</v>
      </c>
      <c r="J927" s="31">
        <v>49182.57</v>
      </c>
      <c r="K927" s="69">
        <f t="shared" si="53"/>
        <v>0</v>
      </c>
      <c r="L927" s="50">
        <v>780</v>
      </c>
      <c r="M927" s="109">
        <v>780</v>
      </c>
      <c r="N927" s="110"/>
    </row>
    <row r="928" spans="1:14" ht="15" hidden="1" thickBot="1" x14ac:dyDescent="0.35">
      <c r="A928" s="20">
        <v>171</v>
      </c>
      <c r="B928" s="14" t="s">
        <v>796</v>
      </c>
      <c r="C928" s="14" t="s">
        <v>664</v>
      </c>
      <c r="D928" s="14" t="s">
        <v>1061</v>
      </c>
      <c r="E928" s="15" t="s">
        <v>508</v>
      </c>
      <c r="F928" s="15">
        <v>8</v>
      </c>
      <c r="G928" s="16">
        <f t="shared" si="52"/>
        <v>147635</v>
      </c>
      <c r="H928" s="16">
        <v>149435</v>
      </c>
      <c r="I928" s="16">
        <f t="shared" si="54"/>
        <v>0</v>
      </c>
      <c r="J928" s="31">
        <v>149435</v>
      </c>
      <c r="K928" s="69">
        <f t="shared" si="53"/>
        <v>0</v>
      </c>
      <c r="L928" s="50">
        <v>1800</v>
      </c>
      <c r="M928" s="109">
        <v>1800</v>
      </c>
      <c r="N928" s="110">
        <v>0.95</v>
      </c>
    </row>
    <row r="929" spans="1:14" ht="15" hidden="1" thickBot="1" x14ac:dyDescent="0.35">
      <c r="A929" s="20">
        <v>171</v>
      </c>
      <c r="B929" s="14" t="s">
        <v>796</v>
      </c>
      <c r="C929" s="14" t="s">
        <v>664</v>
      </c>
      <c r="D929" s="14" t="s">
        <v>510</v>
      </c>
      <c r="E929" s="15" t="s">
        <v>508</v>
      </c>
      <c r="F929" s="15">
        <v>5</v>
      </c>
      <c r="G929" s="16">
        <f t="shared" si="52"/>
        <v>19509</v>
      </c>
      <c r="H929" s="16">
        <v>19929</v>
      </c>
      <c r="I929" s="16">
        <f t="shared" si="54"/>
        <v>0</v>
      </c>
      <c r="J929" s="31">
        <v>19929</v>
      </c>
      <c r="K929" s="69">
        <f t="shared" si="53"/>
        <v>0</v>
      </c>
      <c r="L929" s="50">
        <v>420</v>
      </c>
      <c r="M929" s="109">
        <v>420</v>
      </c>
      <c r="N929" s="110"/>
    </row>
    <row r="930" spans="1:14" ht="15" hidden="1" thickBot="1" x14ac:dyDescent="0.35">
      <c r="A930" s="20">
        <v>171</v>
      </c>
      <c r="B930" s="14" t="s">
        <v>796</v>
      </c>
      <c r="C930" s="14" t="s">
        <v>664</v>
      </c>
      <c r="D930" s="14" t="s">
        <v>1534</v>
      </c>
      <c r="E930" s="15" t="s">
        <v>508</v>
      </c>
      <c r="F930" s="15">
        <v>3</v>
      </c>
      <c r="G930" s="16">
        <f t="shared" si="52"/>
        <v>10064</v>
      </c>
      <c r="H930" s="16">
        <v>10064</v>
      </c>
      <c r="I930" s="16">
        <f t="shared" si="54"/>
        <v>0</v>
      </c>
      <c r="J930" s="31">
        <v>10064</v>
      </c>
      <c r="K930" s="69">
        <f t="shared" si="53"/>
        <v>0</v>
      </c>
      <c r="L930" s="50"/>
      <c r="M930" s="109"/>
      <c r="N930" s="110">
        <v>0.9</v>
      </c>
    </row>
    <row r="931" spans="1:14" ht="15" hidden="1" thickBot="1" x14ac:dyDescent="0.35">
      <c r="A931" s="20">
        <v>171</v>
      </c>
      <c r="B931" s="14" t="s">
        <v>796</v>
      </c>
      <c r="C931" s="14" t="s">
        <v>664</v>
      </c>
      <c r="D931" s="14" t="s">
        <v>1627</v>
      </c>
      <c r="E931" s="15" t="s">
        <v>508</v>
      </c>
      <c r="F931" s="15">
        <v>2</v>
      </c>
      <c r="G931" s="16">
        <f t="shared" si="52"/>
        <v>2850</v>
      </c>
      <c r="H931" s="16">
        <v>2850</v>
      </c>
      <c r="I931" s="16">
        <f t="shared" si="54"/>
        <v>0</v>
      </c>
      <c r="J931" s="31">
        <v>2850</v>
      </c>
      <c r="K931" s="69">
        <f t="shared" si="53"/>
        <v>0</v>
      </c>
      <c r="L931" s="50"/>
      <c r="M931" s="109"/>
      <c r="N931" s="110"/>
    </row>
    <row r="932" spans="1:14" ht="15" hidden="1" thickBot="1" x14ac:dyDescent="0.35">
      <c r="A932" s="14">
        <v>172</v>
      </c>
      <c r="B932" s="14" t="s">
        <v>797</v>
      </c>
      <c r="C932" s="14" t="s">
        <v>664</v>
      </c>
      <c r="D932" s="14" t="s">
        <v>614</v>
      </c>
      <c r="E932" s="15" t="s">
        <v>509</v>
      </c>
      <c r="F932" s="15"/>
      <c r="G932" s="16">
        <f t="shared" si="52"/>
        <v>1672</v>
      </c>
      <c r="H932" s="16">
        <v>1672</v>
      </c>
      <c r="I932" s="16">
        <f t="shared" si="54"/>
        <v>0</v>
      </c>
      <c r="J932" s="31">
        <v>1672</v>
      </c>
      <c r="K932" s="69">
        <f t="shared" si="53"/>
        <v>0</v>
      </c>
      <c r="L932" s="50"/>
      <c r="M932" s="109"/>
      <c r="N932" s="110"/>
    </row>
    <row r="933" spans="1:14" ht="15" hidden="1" thickBot="1" x14ac:dyDescent="0.35">
      <c r="A933" s="14">
        <v>173</v>
      </c>
      <c r="B933" s="14" t="s">
        <v>798</v>
      </c>
      <c r="C933" s="14" t="s">
        <v>718</v>
      </c>
      <c r="D933" s="14" t="s">
        <v>518</v>
      </c>
      <c r="E933" s="15" t="s">
        <v>503</v>
      </c>
      <c r="F933" s="15">
        <v>3</v>
      </c>
      <c r="G933" s="16">
        <f t="shared" si="52"/>
        <v>6080</v>
      </c>
      <c r="H933" s="16">
        <v>6080</v>
      </c>
      <c r="I933" s="16">
        <f t="shared" si="54"/>
        <v>0</v>
      </c>
      <c r="J933" s="31">
        <v>6080</v>
      </c>
      <c r="K933" s="69">
        <f t="shared" si="53"/>
        <v>0</v>
      </c>
      <c r="L933" s="50"/>
      <c r="M933" s="109"/>
      <c r="N933" s="110"/>
    </row>
    <row r="934" spans="1:14" ht="15" hidden="1" thickBot="1" x14ac:dyDescent="0.35">
      <c r="A934" s="14">
        <v>173</v>
      </c>
      <c r="B934" s="14" t="s">
        <v>798</v>
      </c>
      <c r="C934" s="14" t="s">
        <v>603</v>
      </c>
      <c r="D934" s="14" t="s">
        <v>518</v>
      </c>
      <c r="E934" s="15" t="s">
        <v>503</v>
      </c>
      <c r="F934" s="15">
        <v>4</v>
      </c>
      <c r="G934" s="16">
        <f t="shared" si="52"/>
        <v>15180</v>
      </c>
      <c r="H934" s="16">
        <v>15180</v>
      </c>
      <c r="I934" s="16">
        <f t="shared" si="54"/>
        <v>0</v>
      </c>
      <c r="J934" s="31">
        <v>15180</v>
      </c>
      <c r="K934" s="69">
        <f t="shared" si="53"/>
        <v>0</v>
      </c>
      <c r="L934" s="50"/>
      <c r="M934" s="109"/>
      <c r="N934" s="110"/>
    </row>
    <row r="935" spans="1:14" ht="15" hidden="1" thickBot="1" x14ac:dyDescent="0.35">
      <c r="A935" s="14">
        <v>174</v>
      </c>
      <c r="B935" s="14" t="s">
        <v>799</v>
      </c>
      <c r="C935" s="20" t="s">
        <v>603</v>
      </c>
      <c r="D935" s="14" t="s">
        <v>521</v>
      </c>
      <c r="E935" s="15" t="s">
        <v>500</v>
      </c>
      <c r="F935" s="15">
        <v>4</v>
      </c>
      <c r="G935" s="16">
        <f t="shared" si="52"/>
        <v>10150</v>
      </c>
      <c r="H935" s="16">
        <v>10750</v>
      </c>
      <c r="I935" s="16">
        <f t="shared" si="54"/>
        <v>0</v>
      </c>
      <c r="J935" s="31">
        <v>10750</v>
      </c>
      <c r="K935" s="69">
        <f t="shared" si="53"/>
        <v>0</v>
      </c>
      <c r="L935" s="50">
        <v>600</v>
      </c>
      <c r="M935" s="109">
        <v>600</v>
      </c>
      <c r="N935" s="110">
        <v>1</v>
      </c>
    </row>
    <row r="936" spans="1:14" ht="15" hidden="1" thickBot="1" x14ac:dyDescent="0.35">
      <c r="A936" s="14">
        <v>174</v>
      </c>
      <c r="B936" s="14" t="s">
        <v>799</v>
      </c>
      <c r="C936" s="20" t="s">
        <v>603</v>
      </c>
      <c r="D936" s="14" t="s">
        <v>528</v>
      </c>
      <c r="E936" s="15" t="s">
        <v>504</v>
      </c>
      <c r="F936" s="15">
        <v>5</v>
      </c>
      <c r="G936" s="16">
        <f t="shared" si="52"/>
        <v>10400</v>
      </c>
      <c r="H936" s="16">
        <v>11600</v>
      </c>
      <c r="I936" s="16">
        <f t="shared" si="54"/>
        <v>0</v>
      </c>
      <c r="J936" s="31">
        <v>11600</v>
      </c>
      <c r="K936" s="69">
        <f t="shared" si="53"/>
        <v>0</v>
      </c>
      <c r="L936" s="50">
        <v>1200</v>
      </c>
      <c r="M936" s="109">
        <v>1200</v>
      </c>
      <c r="N936" s="110">
        <v>1</v>
      </c>
    </row>
    <row r="937" spans="1:14" ht="15" hidden="1" thickBot="1" x14ac:dyDescent="0.35">
      <c r="A937" s="14">
        <v>174</v>
      </c>
      <c r="B937" s="14" t="s">
        <v>799</v>
      </c>
      <c r="C937" s="20" t="s">
        <v>603</v>
      </c>
      <c r="D937" s="14" t="s">
        <v>515</v>
      </c>
      <c r="E937" s="15" t="s">
        <v>512</v>
      </c>
      <c r="F937" s="15">
        <v>5</v>
      </c>
      <c r="G937" s="16">
        <f t="shared" si="52"/>
        <v>10510</v>
      </c>
      <c r="H937" s="16">
        <v>10750</v>
      </c>
      <c r="I937" s="16">
        <f t="shared" si="54"/>
        <v>0</v>
      </c>
      <c r="J937" s="31">
        <v>10750</v>
      </c>
      <c r="K937" s="69">
        <f t="shared" si="53"/>
        <v>0</v>
      </c>
      <c r="L937" s="50">
        <v>240</v>
      </c>
      <c r="M937" s="109">
        <v>240</v>
      </c>
      <c r="N937" s="110">
        <v>1</v>
      </c>
    </row>
    <row r="938" spans="1:14" ht="15" hidden="1" thickBot="1" x14ac:dyDescent="0.35">
      <c r="A938" s="20">
        <v>175</v>
      </c>
      <c r="B938" s="14" t="s">
        <v>800</v>
      </c>
      <c r="C938" s="20" t="s">
        <v>940</v>
      </c>
      <c r="D938" s="14" t="s">
        <v>985</v>
      </c>
      <c r="E938" s="15" t="s">
        <v>506</v>
      </c>
      <c r="F938" s="15">
        <v>15</v>
      </c>
      <c r="G938" s="16">
        <f t="shared" si="52"/>
        <v>130180</v>
      </c>
      <c r="H938" s="16">
        <v>132220</v>
      </c>
      <c r="I938" s="166">
        <f>J938-H938</f>
        <v>0</v>
      </c>
      <c r="J938" s="31">
        <v>132220</v>
      </c>
      <c r="K938" s="69">
        <f t="shared" si="53"/>
        <v>0</v>
      </c>
      <c r="L938" s="50">
        <v>2040</v>
      </c>
      <c r="M938" s="109">
        <v>2040</v>
      </c>
      <c r="N938" s="110" t="s">
        <v>1279</v>
      </c>
    </row>
    <row r="939" spans="1:14" ht="15" hidden="1" thickBot="1" x14ac:dyDescent="0.35">
      <c r="A939" s="20">
        <v>175</v>
      </c>
      <c r="B939" s="14" t="s">
        <v>800</v>
      </c>
      <c r="C939" s="20" t="s">
        <v>940</v>
      </c>
      <c r="D939" s="14" t="s">
        <v>510</v>
      </c>
      <c r="E939" s="15" t="s">
        <v>508</v>
      </c>
      <c r="F939" s="15">
        <v>2</v>
      </c>
      <c r="G939" s="16">
        <f t="shared" si="52"/>
        <v>6000</v>
      </c>
      <c r="H939" s="16">
        <v>6000</v>
      </c>
      <c r="I939" s="16">
        <f t="shared" si="54"/>
        <v>0</v>
      </c>
      <c r="J939" s="31">
        <v>6000</v>
      </c>
      <c r="K939" s="69">
        <f t="shared" si="53"/>
        <v>0</v>
      </c>
      <c r="L939" s="50"/>
      <c r="M939" s="109"/>
      <c r="N939" s="110"/>
    </row>
    <row r="940" spans="1:14" ht="15" hidden="1" thickBot="1" x14ac:dyDescent="0.35">
      <c r="A940" s="20">
        <v>175</v>
      </c>
      <c r="B940" s="14" t="s">
        <v>800</v>
      </c>
      <c r="C940" s="14" t="s">
        <v>603</v>
      </c>
      <c r="D940" s="14" t="s">
        <v>517</v>
      </c>
      <c r="E940" s="15" t="s">
        <v>502</v>
      </c>
      <c r="F940" s="15">
        <v>3</v>
      </c>
      <c r="G940" s="16">
        <f t="shared" si="52"/>
        <v>15525</v>
      </c>
      <c r="H940" s="16">
        <v>15525</v>
      </c>
      <c r="I940" s="16">
        <f t="shared" si="54"/>
        <v>0</v>
      </c>
      <c r="J940" s="31">
        <v>15525</v>
      </c>
      <c r="K940" s="69">
        <f t="shared" si="53"/>
        <v>0</v>
      </c>
      <c r="L940" s="50"/>
      <c r="M940" s="109"/>
      <c r="N940" s="110"/>
    </row>
    <row r="941" spans="1:14" ht="15" hidden="1" thickBot="1" x14ac:dyDescent="0.35">
      <c r="A941" s="20">
        <v>176</v>
      </c>
      <c r="B941" s="14" t="s">
        <v>801</v>
      </c>
      <c r="C941" s="14" t="s">
        <v>603</v>
      </c>
      <c r="D941" s="14" t="s">
        <v>638</v>
      </c>
      <c r="E941" s="15" t="s">
        <v>508</v>
      </c>
      <c r="F941" s="15">
        <v>2</v>
      </c>
      <c r="G941" s="16">
        <f t="shared" ref="G941:G1007" si="55">H941-M941</f>
        <v>4260</v>
      </c>
      <c r="H941" s="16">
        <v>4860</v>
      </c>
      <c r="I941" s="16">
        <f t="shared" si="54"/>
        <v>0</v>
      </c>
      <c r="J941" s="31">
        <v>4860</v>
      </c>
      <c r="K941" s="69">
        <f t="shared" si="53"/>
        <v>0</v>
      </c>
      <c r="L941" s="50">
        <v>600</v>
      </c>
      <c r="M941" s="109">
        <v>600</v>
      </c>
      <c r="N941" s="110">
        <v>1</v>
      </c>
    </row>
    <row r="942" spans="1:14" ht="15" hidden="1" thickBot="1" x14ac:dyDescent="0.35">
      <c r="A942" s="20">
        <v>176</v>
      </c>
      <c r="B942" s="14" t="s">
        <v>801</v>
      </c>
      <c r="C942" s="14" t="s">
        <v>603</v>
      </c>
      <c r="D942" s="14" t="s">
        <v>637</v>
      </c>
      <c r="E942" s="15" t="s">
        <v>504</v>
      </c>
      <c r="F942" s="15">
        <v>7</v>
      </c>
      <c r="G942" s="16">
        <f t="shared" si="55"/>
        <v>7960</v>
      </c>
      <c r="H942" s="16">
        <v>8350</v>
      </c>
      <c r="I942" s="16">
        <f t="shared" si="54"/>
        <v>0</v>
      </c>
      <c r="J942" s="31">
        <v>8350</v>
      </c>
      <c r="K942" s="69">
        <f t="shared" si="53"/>
        <v>0</v>
      </c>
      <c r="L942" s="50">
        <v>390</v>
      </c>
      <c r="M942" s="109">
        <v>390</v>
      </c>
      <c r="N942" s="110">
        <v>1</v>
      </c>
    </row>
    <row r="943" spans="1:14" ht="15" hidden="1" thickBot="1" x14ac:dyDescent="0.35">
      <c r="A943" s="20">
        <v>176</v>
      </c>
      <c r="B943" s="14" t="s">
        <v>801</v>
      </c>
      <c r="C943" s="14" t="s">
        <v>603</v>
      </c>
      <c r="D943" s="14" t="s">
        <v>516</v>
      </c>
      <c r="E943" s="15" t="s">
        <v>509</v>
      </c>
      <c r="F943" s="15">
        <v>4</v>
      </c>
      <c r="G943" s="16">
        <f t="shared" si="55"/>
        <v>14880</v>
      </c>
      <c r="H943" s="16">
        <v>15000</v>
      </c>
      <c r="I943" s="16">
        <f t="shared" si="54"/>
        <v>0</v>
      </c>
      <c r="J943" s="31">
        <v>15000</v>
      </c>
      <c r="K943" s="69">
        <f t="shared" ref="K943:K1009" si="56">M943-L943</f>
        <v>0</v>
      </c>
      <c r="L943" s="50">
        <v>120</v>
      </c>
      <c r="M943" s="109">
        <v>120</v>
      </c>
      <c r="N943" s="110">
        <v>1</v>
      </c>
    </row>
    <row r="944" spans="1:14" ht="15" hidden="1" thickBot="1" x14ac:dyDescent="0.35">
      <c r="A944" s="20">
        <v>176</v>
      </c>
      <c r="B944" s="14" t="s">
        <v>801</v>
      </c>
      <c r="C944" s="14" t="s">
        <v>603</v>
      </c>
      <c r="D944" s="14" t="s">
        <v>526</v>
      </c>
      <c r="E944" s="15" t="s">
        <v>509</v>
      </c>
      <c r="F944" s="15">
        <v>4</v>
      </c>
      <c r="G944" s="16">
        <f t="shared" si="55"/>
        <v>13800</v>
      </c>
      <c r="H944" s="16">
        <v>13800</v>
      </c>
      <c r="I944" s="16">
        <f t="shared" si="54"/>
        <v>0</v>
      </c>
      <c r="J944" s="31">
        <v>13800</v>
      </c>
      <c r="K944" s="69">
        <f t="shared" si="56"/>
        <v>0</v>
      </c>
      <c r="L944" s="50"/>
      <c r="M944" s="109"/>
      <c r="N944" s="110">
        <v>1</v>
      </c>
    </row>
    <row r="945" spans="1:14" ht="15" hidden="1" thickBot="1" x14ac:dyDescent="0.35">
      <c r="A945" s="20">
        <v>176</v>
      </c>
      <c r="B945" s="14" t="s">
        <v>801</v>
      </c>
      <c r="C945" s="14" t="s">
        <v>603</v>
      </c>
      <c r="D945" s="14" t="s">
        <v>1570</v>
      </c>
      <c r="E945" s="15" t="s">
        <v>504</v>
      </c>
      <c r="F945" s="15">
        <v>4</v>
      </c>
      <c r="G945" s="16">
        <f t="shared" si="55"/>
        <v>7200</v>
      </c>
      <c r="H945" s="16">
        <v>7200</v>
      </c>
      <c r="I945" s="16">
        <f t="shared" si="54"/>
        <v>0</v>
      </c>
      <c r="J945" s="31">
        <v>7200</v>
      </c>
      <c r="K945" s="69">
        <f t="shared" si="56"/>
        <v>0</v>
      </c>
      <c r="L945" s="50"/>
      <c r="M945" s="109"/>
      <c r="N945" s="110"/>
    </row>
    <row r="946" spans="1:14" ht="15" hidden="1" thickBot="1" x14ac:dyDescent="0.35">
      <c r="A946" s="20">
        <v>176</v>
      </c>
      <c r="B946" s="14" t="s">
        <v>801</v>
      </c>
      <c r="C946" s="14" t="s">
        <v>603</v>
      </c>
      <c r="D946" s="14" t="s">
        <v>638</v>
      </c>
      <c r="E946" s="15" t="s">
        <v>504</v>
      </c>
      <c r="F946" s="15">
        <v>3</v>
      </c>
      <c r="G946" s="16">
        <f t="shared" si="55"/>
        <v>5910</v>
      </c>
      <c r="H946" s="16">
        <v>5910</v>
      </c>
      <c r="I946" s="16">
        <f t="shared" si="54"/>
        <v>0</v>
      </c>
      <c r="J946" s="31">
        <v>5910</v>
      </c>
      <c r="K946" s="69">
        <f t="shared" si="56"/>
        <v>0</v>
      </c>
      <c r="L946" s="50"/>
      <c r="M946" s="109"/>
      <c r="N946" s="110">
        <v>1</v>
      </c>
    </row>
    <row r="947" spans="1:14" ht="15" hidden="1" thickBot="1" x14ac:dyDescent="0.35">
      <c r="A947" s="20">
        <v>176</v>
      </c>
      <c r="B947" s="14" t="s">
        <v>801</v>
      </c>
      <c r="C947" s="14" t="s">
        <v>603</v>
      </c>
      <c r="D947" s="14" t="s">
        <v>525</v>
      </c>
      <c r="E947" s="15" t="s">
        <v>509</v>
      </c>
      <c r="F947" s="15">
        <v>4</v>
      </c>
      <c r="G947" s="16">
        <f t="shared" si="55"/>
        <v>7800</v>
      </c>
      <c r="H947" s="16">
        <v>7800</v>
      </c>
      <c r="I947" s="16">
        <f t="shared" si="54"/>
        <v>0</v>
      </c>
      <c r="J947" s="31">
        <v>7800</v>
      </c>
      <c r="K947" s="69">
        <f t="shared" si="56"/>
        <v>0</v>
      </c>
      <c r="L947" s="50"/>
      <c r="M947" s="109"/>
      <c r="N947" s="110">
        <v>1</v>
      </c>
    </row>
    <row r="948" spans="1:14" ht="15" hidden="1" thickBot="1" x14ac:dyDescent="0.35">
      <c r="A948" s="14">
        <v>177</v>
      </c>
      <c r="B948" s="14" t="s">
        <v>802</v>
      </c>
      <c r="C948" s="14" t="s">
        <v>603</v>
      </c>
      <c r="D948" s="14" t="s">
        <v>529</v>
      </c>
      <c r="E948" s="15" t="s">
        <v>500</v>
      </c>
      <c r="F948" s="15">
        <v>2</v>
      </c>
      <c r="G948" s="16">
        <f t="shared" si="55"/>
        <v>4370</v>
      </c>
      <c r="H948" s="16">
        <v>4670</v>
      </c>
      <c r="I948" s="16">
        <f t="shared" si="54"/>
        <v>0</v>
      </c>
      <c r="J948" s="31">
        <v>4670</v>
      </c>
      <c r="K948" s="69">
        <f t="shared" si="56"/>
        <v>0</v>
      </c>
      <c r="L948" s="50">
        <v>300</v>
      </c>
      <c r="M948" s="109">
        <v>300</v>
      </c>
      <c r="N948" s="110"/>
    </row>
    <row r="949" spans="1:14" ht="15" hidden="1" thickBot="1" x14ac:dyDescent="0.35">
      <c r="A949" s="14">
        <v>177</v>
      </c>
      <c r="B949" s="14" t="s">
        <v>802</v>
      </c>
      <c r="C949" s="14" t="s">
        <v>940</v>
      </c>
      <c r="D949" s="14" t="s">
        <v>761</v>
      </c>
      <c r="E949" s="15" t="s">
        <v>500</v>
      </c>
      <c r="F949" s="15">
        <v>6</v>
      </c>
      <c r="G949" s="16">
        <f t="shared" si="55"/>
        <v>20350</v>
      </c>
      <c r="H949" s="16">
        <v>21070</v>
      </c>
      <c r="I949" s="16">
        <f t="shared" si="54"/>
        <v>0</v>
      </c>
      <c r="J949" s="31">
        <v>21070</v>
      </c>
      <c r="K949" s="69">
        <f t="shared" si="56"/>
        <v>0</v>
      </c>
      <c r="L949" s="50">
        <v>720</v>
      </c>
      <c r="M949" s="109">
        <v>720</v>
      </c>
      <c r="N949" s="110">
        <v>0.95</v>
      </c>
    </row>
    <row r="950" spans="1:14" ht="15" hidden="1" thickBot="1" x14ac:dyDescent="0.35">
      <c r="A950" s="14">
        <v>177</v>
      </c>
      <c r="B950" s="14" t="s">
        <v>802</v>
      </c>
      <c r="C950" s="14" t="s">
        <v>603</v>
      </c>
      <c r="D950" s="14" t="s">
        <v>530</v>
      </c>
      <c r="E950" s="15" t="s">
        <v>500</v>
      </c>
      <c r="F950" s="15">
        <v>3</v>
      </c>
      <c r="G950" s="16">
        <f t="shared" si="55"/>
        <v>4303</v>
      </c>
      <c r="H950" s="16">
        <v>4603</v>
      </c>
      <c r="I950" s="16">
        <f t="shared" si="54"/>
        <v>0</v>
      </c>
      <c r="J950" s="31">
        <v>4603</v>
      </c>
      <c r="K950" s="69">
        <f t="shared" si="56"/>
        <v>0</v>
      </c>
      <c r="L950" s="50">
        <v>300</v>
      </c>
      <c r="M950" s="109">
        <v>300</v>
      </c>
      <c r="N950" s="110"/>
    </row>
    <row r="951" spans="1:14" ht="15" hidden="1" thickBot="1" x14ac:dyDescent="0.35">
      <c r="A951" s="14">
        <v>178</v>
      </c>
      <c r="B951" s="14" t="s">
        <v>1121</v>
      </c>
      <c r="C951" s="20" t="s">
        <v>803</v>
      </c>
      <c r="D951" s="14" t="s">
        <v>525</v>
      </c>
      <c r="E951" s="15" t="s">
        <v>509</v>
      </c>
      <c r="F951" s="15">
        <v>2</v>
      </c>
      <c r="G951" s="16">
        <f t="shared" si="55"/>
        <v>3650</v>
      </c>
      <c r="H951" s="16">
        <v>3800</v>
      </c>
      <c r="I951" s="16">
        <f t="shared" si="54"/>
        <v>0</v>
      </c>
      <c r="J951" s="31">
        <v>3800</v>
      </c>
      <c r="K951" s="69">
        <f t="shared" si="56"/>
        <v>0</v>
      </c>
      <c r="L951" s="50">
        <v>150</v>
      </c>
      <c r="M951" s="109">
        <v>150</v>
      </c>
      <c r="N951" s="110"/>
    </row>
    <row r="952" spans="1:14" ht="15" hidden="1" thickBot="1" x14ac:dyDescent="0.35">
      <c r="A952" s="14">
        <v>178</v>
      </c>
      <c r="B952" s="14" t="s">
        <v>1121</v>
      </c>
      <c r="C952" s="20" t="s">
        <v>803</v>
      </c>
      <c r="D952" s="14" t="s">
        <v>526</v>
      </c>
      <c r="E952" s="15" t="s">
        <v>509</v>
      </c>
      <c r="F952" s="15">
        <v>2</v>
      </c>
      <c r="G952" s="16">
        <f t="shared" si="55"/>
        <v>4750</v>
      </c>
      <c r="H952" s="16">
        <v>4750</v>
      </c>
      <c r="I952" s="16">
        <f t="shared" si="54"/>
        <v>0</v>
      </c>
      <c r="J952" s="31">
        <v>4750</v>
      </c>
      <c r="K952" s="69">
        <f t="shared" si="56"/>
        <v>0</v>
      </c>
      <c r="L952" s="50"/>
      <c r="M952" s="109"/>
      <c r="N952" s="110"/>
    </row>
    <row r="953" spans="1:14" ht="15" hidden="1" thickBot="1" x14ac:dyDescent="0.35">
      <c r="A953" s="14">
        <v>178</v>
      </c>
      <c r="B953" s="14" t="s">
        <v>1121</v>
      </c>
      <c r="C953" s="20" t="s">
        <v>803</v>
      </c>
      <c r="D953" s="14" t="s">
        <v>516</v>
      </c>
      <c r="E953" s="15" t="s">
        <v>509</v>
      </c>
      <c r="F953" s="15">
        <v>2</v>
      </c>
      <c r="G953" s="16">
        <f t="shared" si="55"/>
        <v>3325</v>
      </c>
      <c r="H953" s="16">
        <v>3325</v>
      </c>
      <c r="I953" s="16">
        <f t="shared" si="54"/>
        <v>0</v>
      </c>
      <c r="J953" s="31">
        <v>3325</v>
      </c>
      <c r="K953" s="69">
        <f t="shared" si="56"/>
        <v>0</v>
      </c>
      <c r="L953" s="50"/>
      <c r="M953" s="109"/>
      <c r="N953" s="110"/>
    </row>
    <row r="954" spans="1:14" ht="15" hidden="1" thickBot="1" x14ac:dyDescent="0.35">
      <c r="A954" s="14">
        <v>178</v>
      </c>
      <c r="B954" s="14" t="s">
        <v>1121</v>
      </c>
      <c r="C954" s="20" t="s">
        <v>803</v>
      </c>
      <c r="D954" s="14" t="s">
        <v>694</v>
      </c>
      <c r="E954" s="15" t="s">
        <v>509</v>
      </c>
      <c r="F954" s="15">
        <v>10</v>
      </c>
      <c r="G954" s="16">
        <f t="shared" si="55"/>
        <v>46275</v>
      </c>
      <c r="H954" s="16">
        <v>47375</v>
      </c>
      <c r="I954" s="16">
        <f t="shared" si="54"/>
        <v>0</v>
      </c>
      <c r="J954" s="31">
        <v>47375</v>
      </c>
      <c r="K954" s="69">
        <f t="shared" si="56"/>
        <v>0</v>
      </c>
      <c r="L954" s="50">
        <v>1100</v>
      </c>
      <c r="M954" s="109">
        <v>1100</v>
      </c>
      <c r="N954" s="110">
        <v>0.51</v>
      </c>
    </row>
    <row r="955" spans="1:14" ht="15" hidden="1" thickBot="1" x14ac:dyDescent="0.35">
      <c r="A955" s="14">
        <v>178</v>
      </c>
      <c r="B955" s="14" t="s">
        <v>1121</v>
      </c>
      <c r="C955" s="20" t="s">
        <v>803</v>
      </c>
      <c r="D955" s="14" t="s">
        <v>999</v>
      </c>
      <c r="E955" s="15" t="s">
        <v>626</v>
      </c>
      <c r="F955" s="15">
        <v>2</v>
      </c>
      <c r="G955" s="16">
        <f t="shared" si="55"/>
        <v>2375</v>
      </c>
      <c r="H955" s="16">
        <v>2375</v>
      </c>
      <c r="I955" s="16">
        <f t="shared" si="54"/>
        <v>0</v>
      </c>
      <c r="J955" s="31">
        <v>2375</v>
      </c>
      <c r="K955" s="69">
        <f t="shared" si="56"/>
        <v>0</v>
      </c>
      <c r="L955" s="50"/>
      <c r="M955" s="109"/>
      <c r="N955" s="110"/>
    </row>
    <row r="956" spans="1:14" ht="15" hidden="1" thickBot="1" x14ac:dyDescent="0.35">
      <c r="A956" s="14">
        <v>178</v>
      </c>
      <c r="B956" s="14" t="s">
        <v>1121</v>
      </c>
      <c r="C956" s="20" t="s">
        <v>803</v>
      </c>
      <c r="D956" s="14" t="s">
        <v>1044</v>
      </c>
      <c r="E956" s="15"/>
      <c r="F956" s="15">
        <v>2</v>
      </c>
      <c r="G956" s="16">
        <f t="shared" si="55"/>
        <v>2250</v>
      </c>
      <c r="H956" s="16">
        <v>2250</v>
      </c>
      <c r="I956" s="16">
        <f>J956-H956</f>
        <v>0</v>
      </c>
      <c r="J956" s="31">
        <v>2250</v>
      </c>
      <c r="K956" s="69">
        <f t="shared" si="56"/>
        <v>0</v>
      </c>
      <c r="L956" s="50"/>
      <c r="M956" s="109"/>
      <c r="N956" s="110"/>
    </row>
    <row r="957" spans="1:14" ht="15" hidden="1" thickBot="1" x14ac:dyDescent="0.35">
      <c r="A957" s="14">
        <v>178</v>
      </c>
      <c r="B957" s="14" t="s">
        <v>1121</v>
      </c>
      <c r="C957" s="20" t="s">
        <v>803</v>
      </c>
      <c r="D957" s="14" t="s">
        <v>521</v>
      </c>
      <c r="E957" s="15" t="s">
        <v>500</v>
      </c>
      <c r="F957" s="15">
        <v>2</v>
      </c>
      <c r="G957" s="16">
        <f t="shared" si="55"/>
        <v>4300</v>
      </c>
      <c r="H957" s="16">
        <v>4750</v>
      </c>
      <c r="I957" s="16">
        <f t="shared" si="54"/>
        <v>0</v>
      </c>
      <c r="J957" s="31">
        <v>4750</v>
      </c>
      <c r="K957" s="69">
        <f t="shared" si="56"/>
        <v>0</v>
      </c>
      <c r="L957" s="50">
        <v>450</v>
      </c>
      <c r="M957" s="109">
        <v>450</v>
      </c>
      <c r="N957" s="110"/>
    </row>
    <row r="958" spans="1:14" ht="15" hidden="1" thickBot="1" x14ac:dyDescent="0.35">
      <c r="A958" s="14">
        <v>178</v>
      </c>
      <c r="B958" s="14" t="s">
        <v>1121</v>
      </c>
      <c r="C958" s="20" t="s">
        <v>803</v>
      </c>
      <c r="D958" s="14" t="s">
        <v>1102</v>
      </c>
      <c r="E958" s="15" t="s">
        <v>500</v>
      </c>
      <c r="F958" s="15">
        <v>10</v>
      </c>
      <c r="G958" s="16">
        <f t="shared" si="55"/>
        <v>36180</v>
      </c>
      <c r="H958" s="16">
        <v>36300</v>
      </c>
      <c r="I958" s="16">
        <f t="shared" si="54"/>
        <v>0</v>
      </c>
      <c r="J958" s="31">
        <v>36300</v>
      </c>
      <c r="K958" s="69">
        <f t="shared" si="56"/>
        <v>0</v>
      </c>
      <c r="L958" s="50">
        <v>120</v>
      </c>
      <c r="M958" s="109">
        <v>120</v>
      </c>
      <c r="N958" s="110">
        <v>0.66</v>
      </c>
    </row>
    <row r="959" spans="1:14" ht="15" hidden="1" thickBot="1" x14ac:dyDescent="0.35">
      <c r="A959" s="14">
        <v>178</v>
      </c>
      <c r="B959" s="14" t="s">
        <v>1121</v>
      </c>
      <c r="C959" s="20" t="s">
        <v>803</v>
      </c>
      <c r="D959" s="14" t="s">
        <v>692</v>
      </c>
      <c r="E959" s="15" t="s">
        <v>502</v>
      </c>
      <c r="F959" s="15">
        <v>2</v>
      </c>
      <c r="G959" s="16">
        <f t="shared" si="55"/>
        <v>2250</v>
      </c>
      <c r="H959" s="16">
        <v>2250</v>
      </c>
      <c r="I959" s="16">
        <f t="shared" si="54"/>
        <v>0</v>
      </c>
      <c r="J959" s="31">
        <v>2250</v>
      </c>
      <c r="K959" s="69">
        <f t="shared" si="56"/>
        <v>0</v>
      </c>
      <c r="L959" s="50"/>
      <c r="M959" s="109"/>
      <c r="N959" s="110">
        <v>0.9</v>
      </c>
    </row>
    <row r="960" spans="1:14" ht="15" hidden="1" thickBot="1" x14ac:dyDescent="0.35">
      <c r="A960" s="14">
        <v>178</v>
      </c>
      <c r="B960" s="14" t="s">
        <v>1121</v>
      </c>
      <c r="C960" s="20" t="s">
        <v>803</v>
      </c>
      <c r="D960" s="14" t="s">
        <v>752</v>
      </c>
      <c r="E960" s="15" t="s">
        <v>504</v>
      </c>
      <c r="F960" s="15">
        <v>2</v>
      </c>
      <c r="G960" s="16">
        <f t="shared" si="55"/>
        <v>2250</v>
      </c>
      <c r="H960" s="16">
        <v>2250</v>
      </c>
      <c r="I960" s="16">
        <f t="shared" si="54"/>
        <v>0</v>
      </c>
      <c r="J960" s="31">
        <v>2250</v>
      </c>
      <c r="K960" s="69">
        <f t="shared" si="56"/>
        <v>0</v>
      </c>
      <c r="L960" s="50"/>
      <c r="M960" s="109"/>
      <c r="N960" s="110">
        <v>0.9</v>
      </c>
    </row>
    <row r="961" spans="1:14" ht="15" hidden="1" thickBot="1" x14ac:dyDescent="0.35">
      <c r="A961" s="14">
        <v>178</v>
      </c>
      <c r="B961" s="14" t="s">
        <v>1121</v>
      </c>
      <c r="C961" s="20" t="s">
        <v>803</v>
      </c>
      <c r="D961" s="14" t="s">
        <v>638</v>
      </c>
      <c r="E961" s="15" t="s">
        <v>504</v>
      </c>
      <c r="F961" s="15">
        <v>6</v>
      </c>
      <c r="G961" s="16">
        <f t="shared" si="55"/>
        <v>31500</v>
      </c>
      <c r="H961" s="16">
        <v>31500</v>
      </c>
      <c r="I961" s="16">
        <f t="shared" si="54"/>
        <v>0</v>
      </c>
      <c r="J961" s="31">
        <v>31500</v>
      </c>
      <c r="K961" s="69">
        <f t="shared" si="56"/>
        <v>0</v>
      </c>
      <c r="L961" s="50"/>
      <c r="M961" s="109"/>
      <c r="N961" s="110">
        <v>0.83</v>
      </c>
    </row>
    <row r="962" spans="1:14" ht="15" hidden="1" thickBot="1" x14ac:dyDescent="0.35">
      <c r="A962" s="14">
        <v>178</v>
      </c>
      <c r="B962" s="14" t="s">
        <v>1121</v>
      </c>
      <c r="C962" s="20" t="s">
        <v>803</v>
      </c>
      <c r="D962" s="14" t="s">
        <v>527</v>
      </c>
      <c r="E962" s="15" t="s">
        <v>500</v>
      </c>
      <c r="F962" s="15">
        <v>2</v>
      </c>
      <c r="G962" s="16">
        <f t="shared" si="55"/>
        <v>1425</v>
      </c>
      <c r="H962" s="16">
        <v>1425</v>
      </c>
      <c r="I962" s="16">
        <f t="shared" si="54"/>
        <v>0</v>
      </c>
      <c r="J962" s="31">
        <v>1425</v>
      </c>
      <c r="K962" s="69">
        <f t="shared" si="56"/>
        <v>0</v>
      </c>
      <c r="L962" s="50"/>
      <c r="M962" s="109"/>
      <c r="N962" s="110"/>
    </row>
    <row r="963" spans="1:14" ht="15" hidden="1" thickBot="1" x14ac:dyDescent="0.35">
      <c r="A963" s="14">
        <v>178</v>
      </c>
      <c r="B963" s="14" t="s">
        <v>1121</v>
      </c>
      <c r="C963" s="20" t="s">
        <v>803</v>
      </c>
      <c r="D963" s="14" t="s">
        <v>515</v>
      </c>
      <c r="E963" s="15" t="s">
        <v>512</v>
      </c>
      <c r="F963" s="15">
        <v>2</v>
      </c>
      <c r="G963" s="16">
        <f t="shared" si="55"/>
        <v>4275</v>
      </c>
      <c r="H963" s="16">
        <v>4275</v>
      </c>
      <c r="I963" s="16">
        <f t="shared" si="54"/>
        <v>0</v>
      </c>
      <c r="J963" s="31">
        <v>4275</v>
      </c>
      <c r="K963" s="69">
        <f t="shared" si="56"/>
        <v>0</v>
      </c>
      <c r="L963" s="50"/>
      <c r="M963" s="109"/>
      <c r="N963" s="110"/>
    </row>
    <row r="964" spans="1:14" ht="15" hidden="1" thickBot="1" x14ac:dyDescent="0.35">
      <c r="A964" s="14">
        <v>179</v>
      </c>
      <c r="B964" s="14" t="s">
        <v>804</v>
      </c>
      <c r="C964" s="14" t="s">
        <v>603</v>
      </c>
      <c r="D964" s="14" t="s">
        <v>637</v>
      </c>
      <c r="E964" s="15" t="s">
        <v>504</v>
      </c>
      <c r="F964" s="15"/>
      <c r="G964" s="16">
        <f t="shared" si="55"/>
        <v>1620</v>
      </c>
      <c r="H964" s="16">
        <v>1620</v>
      </c>
      <c r="I964" s="16">
        <f t="shared" si="54"/>
        <v>0</v>
      </c>
      <c r="J964" s="31">
        <v>1620</v>
      </c>
      <c r="K964" s="69">
        <f t="shared" si="56"/>
        <v>0</v>
      </c>
      <c r="L964" s="50"/>
      <c r="M964" s="109"/>
      <c r="N964" s="110"/>
    </row>
    <row r="965" spans="1:14" ht="15" hidden="1" thickBot="1" x14ac:dyDescent="0.35">
      <c r="A965" s="14">
        <v>180</v>
      </c>
      <c r="B965" s="14" t="s">
        <v>805</v>
      </c>
      <c r="C965" s="14" t="s">
        <v>664</v>
      </c>
      <c r="D965" s="14" t="s">
        <v>806</v>
      </c>
      <c r="E965" s="15" t="s">
        <v>506</v>
      </c>
      <c r="F965" s="15"/>
      <c r="G965" s="16">
        <f t="shared" si="55"/>
        <v>7848</v>
      </c>
      <c r="H965" s="16">
        <v>7848</v>
      </c>
      <c r="I965" s="16">
        <f t="shared" si="54"/>
        <v>0</v>
      </c>
      <c r="J965" s="31">
        <v>7848</v>
      </c>
      <c r="K965" s="69">
        <f t="shared" si="56"/>
        <v>0</v>
      </c>
      <c r="L965" s="50"/>
      <c r="M965" s="109"/>
      <c r="N965" s="110"/>
    </row>
    <row r="966" spans="1:14" ht="15" hidden="1" thickBot="1" x14ac:dyDescent="0.35">
      <c r="A966" s="14">
        <v>180</v>
      </c>
      <c r="B966" s="14" t="s">
        <v>805</v>
      </c>
      <c r="C966" s="14" t="s">
        <v>664</v>
      </c>
      <c r="D966" s="14" t="s">
        <v>530</v>
      </c>
      <c r="E966" s="15" t="s">
        <v>500</v>
      </c>
      <c r="F966" s="15"/>
      <c r="G966" s="16">
        <f t="shared" si="55"/>
        <v>5130</v>
      </c>
      <c r="H966" s="16">
        <v>5130</v>
      </c>
      <c r="I966" s="16">
        <f t="shared" si="54"/>
        <v>0</v>
      </c>
      <c r="J966" s="31">
        <v>5130</v>
      </c>
      <c r="K966" s="69">
        <f t="shared" si="56"/>
        <v>0</v>
      </c>
      <c r="L966" s="50"/>
      <c r="M966" s="109"/>
      <c r="N966" s="110"/>
    </row>
    <row r="967" spans="1:14" ht="15" hidden="1" thickBot="1" x14ac:dyDescent="0.35">
      <c r="A967" s="14">
        <v>180</v>
      </c>
      <c r="B967" s="14" t="s">
        <v>805</v>
      </c>
      <c r="C967" s="14" t="s">
        <v>664</v>
      </c>
      <c r="D967" s="14" t="s">
        <v>529</v>
      </c>
      <c r="E967" s="15" t="s">
        <v>500</v>
      </c>
      <c r="F967" s="15"/>
      <c r="G967" s="16">
        <f t="shared" si="55"/>
        <v>5130</v>
      </c>
      <c r="H967" s="16">
        <v>5130</v>
      </c>
      <c r="I967" s="16">
        <f t="shared" si="54"/>
        <v>0</v>
      </c>
      <c r="J967" s="31">
        <v>5130</v>
      </c>
      <c r="K967" s="69">
        <f t="shared" si="56"/>
        <v>0</v>
      </c>
      <c r="L967" s="50"/>
      <c r="M967" s="109"/>
      <c r="N967" s="110"/>
    </row>
    <row r="968" spans="1:14" ht="15" hidden="1" thickBot="1" x14ac:dyDescent="0.35">
      <c r="A968" s="14">
        <v>180</v>
      </c>
      <c r="B968" s="14" t="s">
        <v>805</v>
      </c>
      <c r="C968" s="14" t="s">
        <v>664</v>
      </c>
      <c r="D968" s="14" t="s">
        <v>523</v>
      </c>
      <c r="E968" s="15" t="s">
        <v>508</v>
      </c>
      <c r="F968" s="15"/>
      <c r="G968" s="16">
        <f t="shared" si="55"/>
        <v>16074</v>
      </c>
      <c r="H968" s="16">
        <v>16074</v>
      </c>
      <c r="I968" s="16">
        <f t="shared" si="54"/>
        <v>0</v>
      </c>
      <c r="J968" s="31">
        <v>16074</v>
      </c>
      <c r="K968" s="69">
        <f t="shared" si="56"/>
        <v>0</v>
      </c>
      <c r="L968" s="50"/>
      <c r="M968" s="109"/>
      <c r="N968" s="110"/>
    </row>
    <row r="969" spans="1:14" ht="15" hidden="1" thickBot="1" x14ac:dyDescent="0.35">
      <c r="A969" s="14">
        <v>180</v>
      </c>
      <c r="B969" s="14" t="s">
        <v>805</v>
      </c>
      <c r="C969" s="14" t="s">
        <v>664</v>
      </c>
      <c r="D969" s="14" t="s">
        <v>698</v>
      </c>
      <c r="E969" s="15" t="s">
        <v>508</v>
      </c>
      <c r="F969" s="15"/>
      <c r="G969" s="16">
        <f t="shared" si="55"/>
        <v>13490</v>
      </c>
      <c r="H969" s="16">
        <v>13490</v>
      </c>
      <c r="I969" s="16">
        <f t="shared" si="54"/>
        <v>0</v>
      </c>
      <c r="J969" s="31">
        <v>13490</v>
      </c>
      <c r="K969" s="69">
        <f t="shared" si="56"/>
        <v>0</v>
      </c>
      <c r="L969" s="50"/>
      <c r="M969" s="109"/>
      <c r="N969" s="110"/>
    </row>
    <row r="970" spans="1:14" ht="15" hidden="1" thickBot="1" x14ac:dyDescent="0.35">
      <c r="A970" s="14">
        <v>180</v>
      </c>
      <c r="B970" s="14" t="s">
        <v>805</v>
      </c>
      <c r="C970" s="14" t="s">
        <v>664</v>
      </c>
      <c r="D970" s="14" t="s">
        <v>614</v>
      </c>
      <c r="E970" s="15" t="s">
        <v>502</v>
      </c>
      <c r="F970" s="15"/>
      <c r="G970" s="16">
        <f t="shared" si="55"/>
        <v>40000</v>
      </c>
      <c r="H970" s="16">
        <v>44185</v>
      </c>
      <c r="I970" s="16">
        <f t="shared" si="54"/>
        <v>0</v>
      </c>
      <c r="J970" s="31">
        <v>44185</v>
      </c>
      <c r="K970" s="69">
        <f t="shared" si="56"/>
        <v>0</v>
      </c>
      <c r="L970" s="50">
        <v>4185</v>
      </c>
      <c r="M970" s="109">
        <v>4185</v>
      </c>
      <c r="N970" s="110"/>
    </row>
    <row r="971" spans="1:14" ht="15" hidden="1" thickBot="1" x14ac:dyDescent="0.35">
      <c r="A971" s="14">
        <v>180</v>
      </c>
      <c r="B971" s="14" t="s">
        <v>805</v>
      </c>
      <c r="C971" s="14" t="s">
        <v>664</v>
      </c>
      <c r="D971" s="14" t="s">
        <v>547</v>
      </c>
      <c r="E971" s="15" t="s">
        <v>502</v>
      </c>
      <c r="F971" s="15"/>
      <c r="G971" s="16">
        <f t="shared" si="55"/>
        <v>12369</v>
      </c>
      <c r="H971" s="16">
        <v>12369</v>
      </c>
      <c r="I971" s="16">
        <f t="shared" si="54"/>
        <v>0</v>
      </c>
      <c r="J971" s="31">
        <v>12369</v>
      </c>
      <c r="K971" s="69">
        <f t="shared" si="56"/>
        <v>0</v>
      </c>
      <c r="L971" s="50"/>
      <c r="M971" s="109"/>
      <c r="N971" s="110"/>
    </row>
    <row r="972" spans="1:14" ht="15" hidden="1" thickBot="1" x14ac:dyDescent="0.35">
      <c r="A972" s="14">
        <v>180</v>
      </c>
      <c r="B972" s="14" t="s">
        <v>805</v>
      </c>
      <c r="C972" s="14" t="s">
        <v>664</v>
      </c>
      <c r="D972" s="14" t="s">
        <v>622</v>
      </c>
      <c r="E972" s="15" t="s">
        <v>502</v>
      </c>
      <c r="F972" s="15">
        <v>1</v>
      </c>
      <c r="G972" s="16">
        <f t="shared" si="55"/>
        <v>6650</v>
      </c>
      <c r="H972" s="16">
        <v>6650</v>
      </c>
      <c r="I972" s="16">
        <f t="shared" si="54"/>
        <v>0</v>
      </c>
      <c r="J972" s="31">
        <v>6650</v>
      </c>
      <c r="K972" s="69">
        <f t="shared" si="56"/>
        <v>0</v>
      </c>
      <c r="L972" s="50"/>
      <c r="M972" s="109"/>
      <c r="N972" s="110"/>
    </row>
    <row r="973" spans="1:14" ht="15" hidden="1" thickBot="1" x14ac:dyDescent="0.35">
      <c r="A973" s="14">
        <v>180</v>
      </c>
      <c r="B973" s="14" t="s">
        <v>805</v>
      </c>
      <c r="C973" s="14" t="s">
        <v>664</v>
      </c>
      <c r="D973" s="14" t="s">
        <v>708</v>
      </c>
      <c r="E973" s="15" t="s">
        <v>502</v>
      </c>
      <c r="F973" s="15"/>
      <c r="G973" s="16">
        <f t="shared" si="55"/>
        <v>2788</v>
      </c>
      <c r="H973" s="16">
        <v>2788</v>
      </c>
      <c r="I973" s="16">
        <f t="shared" si="54"/>
        <v>0</v>
      </c>
      <c r="J973" s="31">
        <v>2788</v>
      </c>
      <c r="K973" s="69">
        <f t="shared" si="56"/>
        <v>0</v>
      </c>
      <c r="L973" s="50"/>
      <c r="M973" s="109"/>
      <c r="N973" s="110"/>
    </row>
    <row r="974" spans="1:14" ht="15" hidden="1" thickBot="1" x14ac:dyDescent="0.35">
      <c r="A974" s="14">
        <v>181</v>
      </c>
      <c r="B974" s="14" t="s">
        <v>807</v>
      </c>
      <c r="C974" s="14" t="s">
        <v>664</v>
      </c>
      <c r="D974" s="14" t="s">
        <v>507</v>
      </c>
      <c r="E974" s="15" t="s">
        <v>504</v>
      </c>
      <c r="F974" s="15"/>
      <c r="G974" s="16">
        <f t="shared" si="55"/>
        <v>7600</v>
      </c>
      <c r="H974" s="16">
        <v>7600</v>
      </c>
      <c r="I974" s="16">
        <f t="shared" si="54"/>
        <v>0</v>
      </c>
      <c r="J974" s="31">
        <v>7600</v>
      </c>
      <c r="K974" s="69">
        <f t="shared" si="56"/>
        <v>0</v>
      </c>
      <c r="L974" s="50"/>
      <c r="M974" s="109"/>
      <c r="N974" s="110"/>
    </row>
    <row r="975" spans="1:14" ht="15" hidden="1" thickBot="1" x14ac:dyDescent="0.35">
      <c r="A975" s="14">
        <v>182</v>
      </c>
      <c r="B975" s="14" t="s">
        <v>808</v>
      </c>
      <c r="C975" s="14" t="s">
        <v>664</v>
      </c>
      <c r="D975" s="14" t="s">
        <v>614</v>
      </c>
      <c r="E975" s="15" t="s">
        <v>500</v>
      </c>
      <c r="F975" s="15">
        <v>2</v>
      </c>
      <c r="G975" s="16">
        <f t="shared" si="55"/>
        <v>10803</v>
      </c>
      <c r="H975" s="16">
        <v>10923</v>
      </c>
      <c r="I975" s="16">
        <f t="shared" si="54"/>
        <v>0</v>
      </c>
      <c r="J975" s="31">
        <v>10923</v>
      </c>
      <c r="K975" s="69">
        <f t="shared" si="56"/>
        <v>0</v>
      </c>
      <c r="L975" s="50">
        <v>120</v>
      </c>
      <c r="M975" s="109">
        <v>120</v>
      </c>
      <c r="N975" s="110"/>
    </row>
    <row r="976" spans="1:14" ht="15" hidden="1" thickBot="1" x14ac:dyDescent="0.35">
      <c r="A976" s="14">
        <v>182</v>
      </c>
      <c r="B976" s="14" t="s">
        <v>808</v>
      </c>
      <c r="C976" s="14" t="s">
        <v>664</v>
      </c>
      <c r="D976" s="14" t="s">
        <v>548</v>
      </c>
      <c r="E976" s="15" t="s">
        <v>504</v>
      </c>
      <c r="F976" s="15">
        <v>3</v>
      </c>
      <c r="G976" s="16">
        <f t="shared" si="55"/>
        <v>2620</v>
      </c>
      <c r="H976" s="16">
        <v>2860</v>
      </c>
      <c r="I976" s="16">
        <f t="shared" si="54"/>
        <v>0</v>
      </c>
      <c r="J976" s="31">
        <v>2860</v>
      </c>
      <c r="K976" s="69">
        <f t="shared" si="56"/>
        <v>0</v>
      </c>
      <c r="L976" s="50">
        <v>240</v>
      </c>
      <c r="M976" s="109">
        <v>240</v>
      </c>
      <c r="N976" s="110"/>
    </row>
    <row r="977" spans="1:15" ht="15" hidden="1" thickBot="1" x14ac:dyDescent="0.35">
      <c r="A977" s="14">
        <v>182</v>
      </c>
      <c r="B977" s="14" t="s">
        <v>808</v>
      </c>
      <c r="C977" s="14" t="s">
        <v>664</v>
      </c>
      <c r="D977" s="14" t="s">
        <v>665</v>
      </c>
      <c r="E977" s="15" t="s">
        <v>504</v>
      </c>
      <c r="F977" s="15">
        <v>2</v>
      </c>
      <c r="G977" s="16">
        <f t="shared" si="55"/>
        <v>4560</v>
      </c>
      <c r="H977" s="16">
        <v>4560</v>
      </c>
      <c r="I977" s="16">
        <f t="shared" si="54"/>
        <v>0</v>
      </c>
      <c r="J977" s="31">
        <v>4560</v>
      </c>
      <c r="K977" s="69">
        <f t="shared" si="56"/>
        <v>0</v>
      </c>
      <c r="L977" s="50"/>
      <c r="M977" s="109"/>
      <c r="N977" s="110">
        <v>0.85</v>
      </c>
    </row>
    <row r="978" spans="1:15" ht="15" hidden="1" thickBot="1" x14ac:dyDescent="0.35">
      <c r="A978" s="14">
        <v>182</v>
      </c>
      <c r="B978" s="14" t="s">
        <v>808</v>
      </c>
      <c r="C978" s="14" t="s">
        <v>664</v>
      </c>
      <c r="D978" s="14" t="s">
        <v>505</v>
      </c>
      <c r="E978" s="15" t="s">
        <v>504</v>
      </c>
      <c r="F978" s="15">
        <v>2</v>
      </c>
      <c r="G978" s="16">
        <f t="shared" si="55"/>
        <v>5172</v>
      </c>
      <c r="H978" s="16">
        <v>6992</v>
      </c>
      <c r="I978" s="16">
        <f t="shared" si="54"/>
        <v>0</v>
      </c>
      <c r="J978" s="31">
        <v>6992</v>
      </c>
      <c r="K978" s="69">
        <f t="shared" si="56"/>
        <v>0</v>
      </c>
      <c r="L978" s="50">
        <v>1820</v>
      </c>
      <c r="M978" s="109">
        <v>1820</v>
      </c>
      <c r="N978" s="110"/>
    </row>
    <row r="979" spans="1:15" ht="15" hidden="1" thickBot="1" x14ac:dyDescent="0.35">
      <c r="A979" s="14">
        <v>182</v>
      </c>
      <c r="B979" s="14" t="s">
        <v>808</v>
      </c>
      <c r="C979" s="14" t="s">
        <v>664</v>
      </c>
      <c r="D979" s="14" t="s">
        <v>510</v>
      </c>
      <c r="E979" s="15" t="s">
        <v>499</v>
      </c>
      <c r="F979" s="15">
        <v>4</v>
      </c>
      <c r="G979" s="16">
        <f t="shared" si="55"/>
        <v>16302</v>
      </c>
      <c r="H979" s="16">
        <v>21352</v>
      </c>
      <c r="I979" s="16">
        <f t="shared" si="54"/>
        <v>0</v>
      </c>
      <c r="J979" s="31">
        <v>21352</v>
      </c>
      <c r="K979" s="69">
        <f t="shared" si="56"/>
        <v>0</v>
      </c>
      <c r="L979" s="50">
        <v>5050</v>
      </c>
      <c r="M979" s="109">
        <v>5050</v>
      </c>
      <c r="N979" s="110">
        <v>1</v>
      </c>
    </row>
    <row r="980" spans="1:15" ht="15" hidden="1" thickBot="1" x14ac:dyDescent="0.35">
      <c r="A980" s="14">
        <v>182</v>
      </c>
      <c r="B980" s="14" t="s">
        <v>808</v>
      </c>
      <c r="C980" s="14" t="s">
        <v>664</v>
      </c>
      <c r="D980" s="14" t="s">
        <v>510</v>
      </c>
      <c r="E980" s="15" t="s">
        <v>500</v>
      </c>
      <c r="F980" s="15">
        <v>4</v>
      </c>
      <c r="G980" s="16">
        <f t="shared" si="55"/>
        <v>18841</v>
      </c>
      <c r="H980" s="16">
        <v>19261</v>
      </c>
      <c r="I980" s="16">
        <f t="shared" si="54"/>
        <v>0</v>
      </c>
      <c r="J980" s="31">
        <v>19261</v>
      </c>
      <c r="K980" s="69">
        <f t="shared" si="56"/>
        <v>0</v>
      </c>
      <c r="L980" s="50">
        <v>420</v>
      </c>
      <c r="M980" s="109">
        <v>420</v>
      </c>
      <c r="N980" s="110"/>
    </row>
    <row r="981" spans="1:15" ht="15" hidden="1" thickBot="1" x14ac:dyDescent="0.35">
      <c r="A981" s="20">
        <v>183</v>
      </c>
      <c r="B981" s="14" t="s">
        <v>809</v>
      </c>
      <c r="C981" s="20" t="s">
        <v>793</v>
      </c>
      <c r="D981" s="14" t="s">
        <v>614</v>
      </c>
      <c r="E981" s="15" t="s">
        <v>499</v>
      </c>
      <c r="F981" s="15">
        <v>5</v>
      </c>
      <c r="G981" s="16">
        <f t="shared" si="55"/>
        <v>1786</v>
      </c>
      <c r="H981" s="16">
        <v>2266</v>
      </c>
      <c r="I981" s="16">
        <f t="shared" si="54"/>
        <v>0</v>
      </c>
      <c r="J981" s="31">
        <v>2266</v>
      </c>
      <c r="K981" s="69">
        <f t="shared" si="56"/>
        <v>0</v>
      </c>
      <c r="L981" s="50">
        <v>480</v>
      </c>
      <c r="M981" s="109">
        <v>480</v>
      </c>
      <c r="N981" s="110">
        <v>0.96</v>
      </c>
      <c r="O981" s="156"/>
    </row>
    <row r="982" spans="1:15" ht="15" hidden="1" thickBot="1" x14ac:dyDescent="0.35">
      <c r="A982" s="20">
        <v>183</v>
      </c>
      <c r="B982" s="14" t="s">
        <v>809</v>
      </c>
      <c r="C982" s="20" t="s">
        <v>793</v>
      </c>
      <c r="D982" s="14" t="s">
        <v>614</v>
      </c>
      <c r="E982" s="15" t="s">
        <v>506</v>
      </c>
      <c r="F982" s="15">
        <v>5</v>
      </c>
      <c r="G982" s="16">
        <f t="shared" si="55"/>
        <v>1826</v>
      </c>
      <c r="H982" s="16">
        <v>2306</v>
      </c>
      <c r="I982" s="16">
        <f t="shared" si="54"/>
        <v>0</v>
      </c>
      <c r="J982" s="31">
        <v>2306</v>
      </c>
      <c r="K982" s="69">
        <f t="shared" si="56"/>
        <v>0</v>
      </c>
      <c r="L982" s="50">
        <v>480</v>
      </c>
      <c r="M982" s="109">
        <v>480</v>
      </c>
      <c r="N982" s="110">
        <v>1</v>
      </c>
      <c r="O982" s="156"/>
    </row>
    <row r="983" spans="1:15" ht="15" hidden="1" thickBot="1" x14ac:dyDescent="0.35">
      <c r="A983" s="20">
        <v>183</v>
      </c>
      <c r="B983" s="14" t="s">
        <v>809</v>
      </c>
      <c r="C983" s="20" t="s">
        <v>793</v>
      </c>
      <c r="D983" s="14" t="s">
        <v>510</v>
      </c>
      <c r="E983" s="15" t="s">
        <v>506</v>
      </c>
      <c r="F983" s="15">
        <v>5</v>
      </c>
      <c r="G983" s="16">
        <f t="shared" si="55"/>
        <v>931</v>
      </c>
      <c r="H983" s="16">
        <v>931</v>
      </c>
      <c r="I983" s="16">
        <f t="shared" si="54"/>
        <v>0</v>
      </c>
      <c r="J983" s="31">
        <v>931</v>
      </c>
      <c r="K983" s="69">
        <f t="shared" si="56"/>
        <v>0</v>
      </c>
      <c r="L983" s="50"/>
      <c r="M983" s="109"/>
      <c r="N983" s="110">
        <v>1</v>
      </c>
      <c r="O983" s="156"/>
    </row>
    <row r="984" spans="1:15" ht="15" hidden="1" thickBot="1" x14ac:dyDescent="0.35">
      <c r="A984" s="20">
        <v>183</v>
      </c>
      <c r="B984" s="14" t="s">
        <v>809</v>
      </c>
      <c r="C984" s="20" t="s">
        <v>793</v>
      </c>
      <c r="D984" s="14" t="s">
        <v>548</v>
      </c>
      <c r="E984" s="15" t="s">
        <v>504</v>
      </c>
      <c r="F984" s="15">
        <v>1</v>
      </c>
      <c r="G984" s="16">
        <f t="shared" si="55"/>
        <v>2421.9</v>
      </c>
      <c r="H984" s="16">
        <v>2421.9</v>
      </c>
      <c r="I984" s="16">
        <f>J984-H984</f>
        <v>0</v>
      </c>
      <c r="J984" s="31">
        <v>2421.9</v>
      </c>
      <c r="K984" s="69">
        <f t="shared" si="56"/>
        <v>0</v>
      </c>
      <c r="L984" s="50"/>
      <c r="M984" s="109"/>
      <c r="N984" s="110"/>
      <c r="O984" s="156"/>
    </row>
    <row r="985" spans="1:15" ht="15" hidden="1" thickBot="1" x14ac:dyDescent="0.35">
      <c r="A985" s="20">
        <v>183</v>
      </c>
      <c r="B985" s="14" t="s">
        <v>809</v>
      </c>
      <c r="C985" s="20" t="s">
        <v>793</v>
      </c>
      <c r="D985" s="14" t="s">
        <v>981</v>
      </c>
      <c r="E985" s="15" t="s">
        <v>502</v>
      </c>
      <c r="F985" s="15">
        <v>1</v>
      </c>
      <c r="G985" s="16">
        <f t="shared" si="55"/>
        <v>2925</v>
      </c>
      <c r="H985" s="16">
        <v>2925</v>
      </c>
      <c r="I985" s="16">
        <f>J985-H985</f>
        <v>0</v>
      </c>
      <c r="J985" s="31">
        <v>2925</v>
      </c>
      <c r="K985" s="69">
        <f t="shared" si="56"/>
        <v>0</v>
      </c>
      <c r="L985" s="50"/>
      <c r="M985" s="109"/>
      <c r="N985" s="110">
        <v>0.9</v>
      </c>
      <c r="O985" s="156"/>
    </row>
    <row r="986" spans="1:15" ht="15" hidden="1" thickBot="1" x14ac:dyDescent="0.35">
      <c r="A986" s="20">
        <v>183</v>
      </c>
      <c r="B986" s="14" t="s">
        <v>809</v>
      </c>
      <c r="C986" s="20" t="s">
        <v>793</v>
      </c>
      <c r="D986" s="14" t="s">
        <v>638</v>
      </c>
      <c r="E986" s="15" t="s">
        <v>504</v>
      </c>
      <c r="F986" s="15">
        <v>1</v>
      </c>
      <c r="G986" s="16">
        <f t="shared" si="55"/>
        <v>1416</v>
      </c>
      <c r="H986" s="16">
        <v>1416</v>
      </c>
      <c r="I986" s="16">
        <f>J986-H986</f>
        <v>0</v>
      </c>
      <c r="J986" s="31">
        <v>1416</v>
      </c>
      <c r="K986" s="69">
        <f t="shared" si="56"/>
        <v>0</v>
      </c>
      <c r="L986" s="50"/>
      <c r="M986" s="109"/>
      <c r="N986" s="110">
        <v>0.9</v>
      </c>
      <c r="O986" s="156"/>
    </row>
    <row r="987" spans="1:15" ht="15" hidden="1" thickBot="1" x14ac:dyDescent="0.35">
      <c r="A987" s="20">
        <v>183</v>
      </c>
      <c r="B987" s="14" t="s">
        <v>809</v>
      </c>
      <c r="C987" s="20" t="s">
        <v>793</v>
      </c>
      <c r="D987" s="14" t="s">
        <v>510</v>
      </c>
      <c r="E987" s="15" t="s">
        <v>499</v>
      </c>
      <c r="F987" s="15">
        <v>3</v>
      </c>
      <c r="G987" s="16">
        <f t="shared" si="55"/>
        <v>1683</v>
      </c>
      <c r="H987" s="16">
        <v>1683</v>
      </c>
      <c r="I987" s="16">
        <f t="shared" si="54"/>
        <v>0</v>
      </c>
      <c r="J987" s="31">
        <v>1683</v>
      </c>
      <c r="K987" s="69">
        <f t="shared" si="56"/>
        <v>0</v>
      </c>
      <c r="L987" s="50"/>
      <c r="M987" s="109"/>
      <c r="N987" s="110">
        <v>1</v>
      </c>
      <c r="O987" s="156"/>
    </row>
    <row r="988" spans="1:15" ht="15" hidden="1" thickBot="1" x14ac:dyDescent="0.35">
      <c r="A988" s="20">
        <v>183</v>
      </c>
      <c r="B988" s="14" t="s">
        <v>809</v>
      </c>
      <c r="C988" s="20" t="s">
        <v>997</v>
      </c>
      <c r="D988" s="14" t="s">
        <v>510</v>
      </c>
      <c r="E988" s="15" t="s">
        <v>506</v>
      </c>
      <c r="F988" s="15">
        <v>4</v>
      </c>
      <c r="G988" s="16">
        <f t="shared" si="55"/>
        <v>1388</v>
      </c>
      <c r="H988" s="16">
        <v>1388</v>
      </c>
      <c r="I988" s="16">
        <f>J988-H988</f>
        <v>0</v>
      </c>
      <c r="J988" s="31">
        <v>1388</v>
      </c>
      <c r="K988" s="69">
        <f t="shared" si="56"/>
        <v>0</v>
      </c>
      <c r="L988" s="50"/>
      <c r="M988" s="109"/>
      <c r="N988" s="110">
        <v>1</v>
      </c>
      <c r="O988" s="156"/>
    </row>
    <row r="989" spans="1:15" ht="15" hidden="1" thickBot="1" x14ac:dyDescent="0.35">
      <c r="A989" s="20">
        <v>183</v>
      </c>
      <c r="B989" s="14" t="s">
        <v>809</v>
      </c>
      <c r="C989" s="20" t="s">
        <v>997</v>
      </c>
      <c r="D989" s="14" t="s">
        <v>638</v>
      </c>
      <c r="E989" s="15" t="s">
        <v>504</v>
      </c>
      <c r="F989" s="15">
        <v>2</v>
      </c>
      <c r="G989" s="16">
        <f t="shared" si="55"/>
        <v>4212</v>
      </c>
      <c r="H989" s="16">
        <v>4212</v>
      </c>
      <c r="I989" s="16">
        <f>J989-H989</f>
        <v>0</v>
      </c>
      <c r="J989" s="31">
        <v>4212</v>
      </c>
      <c r="K989" s="69">
        <f t="shared" si="56"/>
        <v>0</v>
      </c>
      <c r="L989" s="50"/>
      <c r="M989" s="109"/>
      <c r="N989" s="110">
        <v>0.9</v>
      </c>
      <c r="O989" s="156"/>
    </row>
    <row r="990" spans="1:15" ht="15" hidden="1" thickBot="1" x14ac:dyDescent="0.35">
      <c r="A990" s="20">
        <v>183</v>
      </c>
      <c r="B990" s="14" t="s">
        <v>809</v>
      </c>
      <c r="C990" s="20" t="s">
        <v>997</v>
      </c>
      <c r="D990" s="14" t="s">
        <v>548</v>
      </c>
      <c r="E990" s="15" t="s">
        <v>504</v>
      </c>
      <c r="F990" s="15">
        <v>3</v>
      </c>
      <c r="G990" s="16">
        <f t="shared" si="55"/>
        <v>11528.4</v>
      </c>
      <c r="H990" s="16">
        <v>12038.4</v>
      </c>
      <c r="I990" s="16">
        <f>J990-H990</f>
        <v>0</v>
      </c>
      <c r="J990" s="31">
        <v>12038.4</v>
      </c>
      <c r="K990" s="69">
        <f t="shared" si="56"/>
        <v>0</v>
      </c>
      <c r="L990" s="50">
        <v>510</v>
      </c>
      <c r="M990" s="109">
        <v>510</v>
      </c>
      <c r="N990" s="110">
        <v>0.9</v>
      </c>
      <c r="O990" s="156"/>
    </row>
    <row r="991" spans="1:15" ht="15" hidden="1" thickBot="1" x14ac:dyDescent="0.35">
      <c r="A991" s="20">
        <v>183</v>
      </c>
      <c r="B991" s="14" t="s">
        <v>809</v>
      </c>
      <c r="C991" s="20" t="s">
        <v>997</v>
      </c>
      <c r="D991" s="14" t="s">
        <v>614</v>
      </c>
      <c r="E991" s="15" t="s">
        <v>506</v>
      </c>
      <c r="F991" s="15">
        <v>4</v>
      </c>
      <c r="G991" s="16">
        <f t="shared" si="55"/>
        <v>4057</v>
      </c>
      <c r="H991" s="16">
        <v>4057</v>
      </c>
      <c r="I991" s="16">
        <f>J991-H991</f>
        <v>0</v>
      </c>
      <c r="J991" s="31">
        <v>4057</v>
      </c>
      <c r="K991" s="69">
        <f t="shared" si="56"/>
        <v>0</v>
      </c>
      <c r="L991" s="50"/>
      <c r="M991" s="109"/>
      <c r="N991" s="110">
        <v>1</v>
      </c>
      <c r="O991" s="156"/>
    </row>
    <row r="992" spans="1:15" ht="15" hidden="1" thickBot="1" x14ac:dyDescent="0.35">
      <c r="A992" s="20">
        <v>183</v>
      </c>
      <c r="B992" s="14" t="s">
        <v>809</v>
      </c>
      <c r="C992" s="14" t="s">
        <v>664</v>
      </c>
      <c r="D992" s="14" t="s">
        <v>708</v>
      </c>
      <c r="E992" s="15" t="s">
        <v>502</v>
      </c>
      <c r="F992" s="15">
        <v>7</v>
      </c>
      <c r="G992" s="16">
        <f t="shared" si="55"/>
        <v>21600</v>
      </c>
      <c r="H992" s="16">
        <v>21600</v>
      </c>
      <c r="I992" s="16">
        <f t="shared" si="54"/>
        <v>0</v>
      </c>
      <c r="J992" s="31">
        <v>21600</v>
      </c>
      <c r="K992" s="69">
        <f t="shared" si="56"/>
        <v>0</v>
      </c>
      <c r="L992" s="50"/>
      <c r="M992" s="109"/>
      <c r="N992" s="110">
        <v>1</v>
      </c>
      <c r="O992" s="156"/>
    </row>
    <row r="993" spans="1:15" ht="15" hidden="1" thickBot="1" x14ac:dyDescent="0.35">
      <c r="A993" s="20">
        <v>183</v>
      </c>
      <c r="B993" s="14" t="s">
        <v>809</v>
      </c>
      <c r="C993" s="14" t="s">
        <v>664</v>
      </c>
      <c r="D993" s="14" t="s">
        <v>614</v>
      </c>
      <c r="E993" s="15" t="s">
        <v>506</v>
      </c>
      <c r="F993" s="15">
        <v>7</v>
      </c>
      <c r="G993" s="16">
        <f t="shared" si="55"/>
        <v>47204</v>
      </c>
      <c r="H993" s="16">
        <v>48164</v>
      </c>
      <c r="I993" s="16">
        <f t="shared" si="54"/>
        <v>0</v>
      </c>
      <c r="J993" s="31">
        <v>48164</v>
      </c>
      <c r="K993" s="69">
        <f t="shared" si="56"/>
        <v>0</v>
      </c>
      <c r="L993" s="50">
        <v>960</v>
      </c>
      <c r="M993" s="109">
        <v>960</v>
      </c>
      <c r="N993" s="110">
        <v>1</v>
      </c>
      <c r="O993" s="156"/>
    </row>
    <row r="994" spans="1:15" ht="15" hidden="1" thickBot="1" x14ac:dyDescent="0.35">
      <c r="A994" s="20">
        <v>183</v>
      </c>
      <c r="B994" s="14" t="s">
        <v>809</v>
      </c>
      <c r="C994" s="14" t="s">
        <v>664</v>
      </c>
      <c r="D994" s="14" t="s">
        <v>522</v>
      </c>
      <c r="E994" s="15" t="s">
        <v>502</v>
      </c>
      <c r="F994" s="15">
        <v>4</v>
      </c>
      <c r="G994" s="16">
        <f t="shared" si="55"/>
        <v>8564</v>
      </c>
      <c r="H994" s="16">
        <v>9064</v>
      </c>
      <c r="I994" s="16">
        <f t="shared" si="54"/>
        <v>0</v>
      </c>
      <c r="J994" s="31">
        <v>9064</v>
      </c>
      <c r="K994" s="69">
        <f t="shared" si="56"/>
        <v>0</v>
      </c>
      <c r="L994" s="50">
        <v>500</v>
      </c>
      <c r="M994" s="109">
        <v>500</v>
      </c>
      <c r="N994" s="110">
        <v>1</v>
      </c>
      <c r="O994" s="156"/>
    </row>
    <row r="995" spans="1:15" ht="15" hidden="1" thickBot="1" x14ac:dyDescent="0.35">
      <c r="A995" s="20">
        <v>183</v>
      </c>
      <c r="B995" s="14" t="s">
        <v>809</v>
      </c>
      <c r="C995" s="14" t="s">
        <v>664</v>
      </c>
      <c r="D995" s="14" t="s">
        <v>1830</v>
      </c>
      <c r="E995" s="15" t="s">
        <v>502</v>
      </c>
      <c r="F995" s="15"/>
      <c r="G995" s="16">
        <f t="shared" si="55"/>
        <v>6001</v>
      </c>
      <c r="H995" s="16">
        <v>6001</v>
      </c>
      <c r="I995" s="16">
        <f t="shared" si="54"/>
        <v>0</v>
      </c>
      <c r="J995" s="31">
        <v>6001</v>
      </c>
      <c r="K995" s="69">
        <f t="shared" si="56"/>
        <v>0</v>
      </c>
      <c r="L995" s="50"/>
      <c r="M995" s="109"/>
      <c r="N995" s="110"/>
      <c r="O995" s="156"/>
    </row>
    <row r="996" spans="1:15" ht="15" hidden="1" thickBot="1" x14ac:dyDescent="0.35">
      <c r="A996" s="20">
        <v>183</v>
      </c>
      <c r="B996" s="14" t="s">
        <v>809</v>
      </c>
      <c r="C996" s="14" t="s">
        <v>664</v>
      </c>
      <c r="D996" s="14" t="s">
        <v>1102</v>
      </c>
      <c r="E996" s="15" t="s">
        <v>500</v>
      </c>
      <c r="F996" s="15">
        <v>2</v>
      </c>
      <c r="G996" s="16">
        <f t="shared" si="55"/>
        <v>4726</v>
      </c>
      <c r="H996" s="16">
        <v>4726</v>
      </c>
      <c r="I996" s="16">
        <f>J996-H996</f>
        <v>0</v>
      </c>
      <c r="J996" s="31">
        <v>4726</v>
      </c>
      <c r="K996" s="69">
        <f t="shared" si="56"/>
        <v>0</v>
      </c>
      <c r="L996" s="50"/>
      <c r="M996" s="109"/>
      <c r="N996" s="110"/>
      <c r="O996" s="156"/>
    </row>
    <row r="997" spans="1:15" ht="15" hidden="1" thickBot="1" x14ac:dyDescent="0.35">
      <c r="A997" s="20">
        <v>183</v>
      </c>
      <c r="B997" s="14" t="s">
        <v>809</v>
      </c>
      <c r="C997" s="14" t="s">
        <v>664</v>
      </c>
      <c r="D997" s="14" t="s">
        <v>638</v>
      </c>
      <c r="E997" s="15" t="s">
        <v>504</v>
      </c>
      <c r="F997" s="15">
        <v>3</v>
      </c>
      <c r="G997" s="16">
        <f t="shared" si="55"/>
        <v>21242</v>
      </c>
      <c r="H997" s="16">
        <v>21242</v>
      </c>
      <c r="I997" s="16">
        <f>J997-H997</f>
        <v>0</v>
      </c>
      <c r="J997" s="31">
        <v>21242</v>
      </c>
      <c r="K997" s="69">
        <f t="shared" si="56"/>
        <v>0</v>
      </c>
      <c r="L997" s="50"/>
      <c r="M997" s="109"/>
      <c r="N997" s="110">
        <v>0.95</v>
      </c>
      <c r="O997" s="156"/>
    </row>
    <row r="998" spans="1:15" ht="15" hidden="1" thickBot="1" x14ac:dyDescent="0.35">
      <c r="A998" s="20">
        <v>183</v>
      </c>
      <c r="B998" s="14" t="s">
        <v>809</v>
      </c>
      <c r="C998" s="14" t="s">
        <v>664</v>
      </c>
      <c r="D998" s="14" t="s">
        <v>1570</v>
      </c>
      <c r="E998" s="15" t="s">
        <v>504</v>
      </c>
      <c r="F998" s="15">
        <v>2</v>
      </c>
      <c r="G998" s="16">
        <f t="shared" si="55"/>
        <v>15034</v>
      </c>
      <c r="H998" s="16">
        <v>15034</v>
      </c>
      <c r="I998" s="16">
        <f>J998-H998</f>
        <v>0</v>
      </c>
      <c r="J998" s="31">
        <v>15034</v>
      </c>
      <c r="K998" s="69">
        <f t="shared" si="56"/>
        <v>0</v>
      </c>
      <c r="L998" s="50"/>
      <c r="M998" s="109"/>
      <c r="N998" s="110"/>
      <c r="O998" s="156"/>
    </row>
    <row r="999" spans="1:15" ht="15" hidden="1" thickBot="1" x14ac:dyDescent="0.35">
      <c r="A999" s="20">
        <v>183</v>
      </c>
      <c r="B999" s="14" t="s">
        <v>809</v>
      </c>
      <c r="C999" s="14" t="s">
        <v>664</v>
      </c>
      <c r="D999" s="14" t="s">
        <v>614</v>
      </c>
      <c r="E999" s="15" t="s">
        <v>503</v>
      </c>
      <c r="F999" s="15">
        <v>11</v>
      </c>
      <c r="G999" s="16">
        <f t="shared" si="55"/>
        <v>46555</v>
      </c>
      <c r="H999" s="16">
        <v>49275</v>
      </c>
      <c r="I999" s="16">
        <f t="shared" si="54"/>
        <v>0</v>
      </c>
      <c r="J999" s="31">
        <v>49275</v>
      </c>
      <c r="K999" s="69">
        <f t="shared" si="56"/>
        <v>0</v>
      </c>
      <c r="L999" s="50">
        <v>2720</v>
      </c>
      <c r="M999" s="109">
        <v>2720</v>
      </c>
      <c r="N999" s="110">
        <v>1</v>
      </c>
      <c r="O999" s="156"/>
    </row>
    <row r="1000" spans="1:15" ht="15" hidden="1" thickBot="1" x14ac:dyDescent="0.35">
      <c r="A1000" s="20">
        <v>183</v>
      </c>
      <c r="B1000" s="14" t="s">
        <v>809</v>
      </c>
      <c r="C1000" s="14" t="s">
        <v>664</v>
      </c>
      <c r="D1000" s="14" t="s">
        <v>1228</v>
      </c>
      <c r="E1000" s="15" t="s">
        <v>500</v>
      </c>
      <c r="F1000" s="15">
        <v>1</v>
      </c>
      <c r="G1000" s="16">
        <f t="shared" si="55"/>
        <v>2531</v>
      </c>
      <c r="H1000" s="16">
        <v>2531</v>
      </c>
      <c r="I1000" s="16">
        <f t="shared" si="54"/>
        <v>0</v>
      </c>
      <c r="J1000" s="31">
        <v>2531</v>
      </c>
      <c r="K1000" s="69">
        <f t="shared" si="56"/>
        <v>0</v>
      </c>
      <c r="L1000" s="50"/>
      <c r="M1000" s="109"/>
      <c r="N1000" s="110">
        <v>0.9</v>
      </c>
      <c r="O1000" s="156"/>
    </row>
    <row r="1001" spans="1:15" ht="15" hidden="1" thickBot="1" x14ac:dyDescent="0.35">
      <c r="A1001" s="20">
        <v>183</v>
      </c>
      <c r="B1001" s="14" t="s">
        <v>809</v>
      </c>
      <c r="C1001" s="14" t="s">
        <v>664</v>
      </c>
      <c r="D1001" s="14" t="s">
        <v>510</v>
      </c>
      <c r="E1001" s="15" t="s">
        <v>506</v>
      </c>
      <c r="F1001" s="15">
        <v>6</v>
      </c>
      <c r="G1001" s="16">
        <f t="shared" si="55"/>
        <v>26332</v>
      </c>
      <c r="H1001" s="16">
        <v>28352</v>
      </c>
      <c r="I1001" s="16">
        <f t="shared" si="54"/>
        <v>0</v>
      </c>
      <c r="J1001" s="31">
        <v>28352</v>
      </c>
      <c r="K1001" s="69">
        <f t="shared" si="56"/>
        <v>0</v>
      </c>
      <c r="L1001" s="50">
        <v>2020</v>
      </c>
      <c r="M1001" s="109">
        <v>2020</v>
      </c>
      <c r="N1001" s="110">
        <v>1</v>
      </c>
      <c r="O1001" s="156"/>
    </row>
    <row r="1002" spans="1:15" ht="15" hidden="1" thickBot="1" x14ac:dyDescent="0.35">
      <c r="A1002" s="14">
        <v>184</v>
      </c>
      <c r="B1002" s="14" t="s">
        <v>810</v>
      </c>
      <c r="C1002" s="14" t="s">
        <v>664</v>
      </c>
      <c r="D1002" s="14" t="s">
        <v>614</v>
      </c>
      <c r="E1002" s="15" t="s">
        <v>499</v>
      </c>
      <c r="F1002" s="15">
        <v>10</v>
      </c>
      <c r="G1002" s="16">
        <f t="shared" si="55"/>
        <v>45130</v>
      </c>
      <c r="H1002" s="16">
        <v>47255</v>
      </c>
      <c r="I1002" s="16">
        <f t="shared" si="54"/>
        <v>0</v>
      </c>
      <c r="J1002" s="31">
        <v>47255</v>
      </c>
      <c r="K1002" s="69">
        <f t="shared" si="56"/>
        <v>0</v>
      </c>
      <c r="L1002" s="50">
        <v>2125</v>
      </c>
      <c r="M1002" s="109">
        <v>2125</v>
      </c>
      <c r="N1002" s="110">
        <v>0.95</v>
      </c>
    </row>
    <row r="1003" spans="1:15" ht="15" hidden="1" thickBot="1" x14ac:dyDescent="0.35">
      <c r="A1003" s="14">
        <v>184</v>
      </c>
      <c r="B1003" s="14" t="s">
        <v>810</v>
      </c>
      <c r="C1003" s="14" t="s">
        <v>721</v>
      </c>
      <c r="D1003" s="14" t="s">
        <v>614</v>
      </c>
      <c r="E1003" s="15" t="s">
        <v>499</v>
      </c>
      <c r="F1003" s="15">
        <v>2</v>
      </c>
      <c r="G1003" s="16">
        <f t="shared" si="55"/>
        <v>3272</v>
      </c>
      <c r="H1003" s="16">
        <v>3272</v>
      </c>
      <c r="I1003" s="16">
        <f t="shared" si="54"/>
        <v>0</v>
      </c>
      <c r="J1003" s="31">
        <v>3272</v>
      </c>
      <c r="K1003" s="69">
        <f t="shared" si="56"/>
        <v>0</v>
      </c>
      <c r="L1003" s="50"/>
      <c r="M1003" s="109"/>
      <c r="N1003" s="110"/>
    </row>
    <row r="1004" spans="1:15" ht="15" hidden="1" thickBot="1" x14ac:dyDescent="0.35">
      <c r="A1004" s="14">
        <v>184</v>
      </c>
      <c r="B1004" s="14" t="s">
        <v>810</v>
      </c>
      <c r="C1004" s="14" t="s">
        <v>664</v>
      </c>
      <c r="D1004" s="14" t="s">
        <v>775</v>
      </c>
      <c r="E1004" s="15" t="s">
        <v>499</v>
      </c>
      <c r="F1004" s="15"/>
      <c r="G1004" s="16">
        <f t="shared" si="55"/>
        <v>14820</v>
      </c>
      <c r="H1004" s="16">
        <v>14820</v>
      </c>
      <c r="I1004" s="16">
        <f t="shared" si="54"/>
        <v>0</v>
      </c>
      <c r="J1004" s="31">
        <v>14820</v>
      </c>
      <c r="K1004" s="69">
        <f t="shared" si="56"/>
        <v>0</v>
      </c>
      <c r="L1004" s="50"/>
      <c r="M1004" s="109"/>
      <c r="N1004" s="110"/>
    </row>
    <row r="1005" spans="1:15" ht="15" hidden="1" thickBot="1" x14ac:dyDescent="0.35">
      <c r="A1005" s="14">
        <v>184</v>
      </c>
      <c r="B1005" s="14" t="s">
        <v>810</v>
      </c>
      <c r="C1005" s="14" t="s">
        <v>664</v>
      </c>
      <c r="D1005" s="14" t="s">
        <v>510</v>
      </c>
      <c r="E1005" s="15" t="s">
        <v>499</v>
      </c>
      <c r="F1005" s="15"/>
      <c r="G1005" s="16">
        <f t="shared" si="55"/>
        <v>5700</v>
      </c>
      <c r="H1005" s="16">
        <v>5700</v>
      </c>
      <c r="I1005" s="16">
        <f t="shared" si="54"/>
        <v>0</v>
      </c>
      <c r="J1005" s="31">
        <v>5700</v>
      </c>
      <c r="K1005" s="69">
        <f t="shared" si="56"/>
        <v>0</v>
      </c>
      <c r="L1005" s="50"/>
      <c r="M1005" s="109"/>
      <c r="N1005" s="110"/>
    </row>
    <row r="1006" spans="1:15" ht="15" hidden="1" thickBot="1" x14ac:dyDescent="0.35">
      <c r="A1006" s="14">
        <v>185</v>
      </c>
      <c r="B1006" s="14" t="s">
        <v>811</v>
      </c>
      <c r="C1006" s="14" t="s">
        <v>602</v>
      </c>
      <c r="D1006" s="14" t="s">
        <v>529</v>
      </c>
      <c r="E1006" s="15" t="s">
        <v>500</v>
      </c>
      <c r="F1006" s="15">
        <v>5</v>
      </c>
      <c r="G1006" s="16">
        <f t="shared" si="55"/>
        <v>4553</v>
      </c>
      <c r="H1006" s="16">
        <v>4973</v>
      </c>
      <c r="I1006" s="16">
        <f t="shared" si="54"/>
        <v>0</v>
      </c>
      <c r="J1006" s="31">
        <v>4973</v>
      </c>
      <c r="K1006" s="69">
        <f t="shared" si="56"/>
        <v>0</v>
      </c>
      <c r="L1006" s="50">
        <v>420</v>
      </c>
      <c r="M1006" s="109">
        <v>420</v>
      </c>
      <c r="N1006" s="110"/>
    </row>
    <row r="1007" spans="1:15" ht="15" hidden="1" thickBot="1" x14ac:dyDescent="0.35">
      <c r="A1007" s="14">
        <v>185</v>
      </c>
      <c r="B1007" s="14" t="s">
        <v>811</v>
      </c>
      <c r="C1007" s="14" t="s">
        <v>602</v>
      </c>
      <c r="D1007" s="14" t="s">
        <v>530</v>
      </c>
      <c r="E1007" s="15" t="s">
        <v>500</v>
      </c>
      <c r="F1007" s="15">
        <v>5</v>
      </c>
      <c r="G1007" s="16">
        <f t="shared" si="55"/>
        <v>5416</v>
      </c>
      <c r="H1007" s="16">
        <v>5836</v>
      </c>
      <c r="I1007" s="16">
        <f t="shared" si="54"/>
        <v>0</v>
      </c>
      <c r="J1007" s="31">
        <v>5836</v>
      </c>
      <c r="K1007" s="69">
        <f t="shared" si="56"/>
        <v>0</v>
      </c>
      <c r="L1007" s="50">
        <v>420</v>
      </c>
      <c r="M1007" s="109">
        <v>420</v>
      </c>
      <c r="N1007" s="110"/>
    </row>
    <row r="1008" spans="1:15" ht="15" hidden="1" thickBot="1" x14ac:dyDescent="0.35">
      <c r="A1008" s="14">
        <v>185</v>
      </c>
      <c r="B1008" s="14" t="s">
        <v>811</v>
      </c>
      <c r="C1008" s="14" t="s">
        <v>602</v>
      </c>
      <c r="D1008" s="14" t="s">
        <v>806</v>
      </c>
      <c r="E1008" s="15" t="s">
        <v>506</v>
      </c>
      <c r="F1008" s="15">
        <v>7</v>
      </c>
      <c r="G1008" s="16">
        <f t="shared" ref="G1008:G1072" si="57">H1008-M1008</f>
        <v>7491</v>
      </c>
      <c r="H1008" s="16">
        <v>7941</v>
      </c>
      <c r="I1008" s="16">
        <f t="shared" si="54"/>
        <v>0</v>
      </c>
      <c r="J1008" s="31">
        <v>7941</v>
      </c>
      <c r="K1008" s="69">
        <f t="shared" si="56"/>
        <v>0</v>
      </c>
      <c r="L1008" s="50">
        <v>450</v>
      </c>
      <c r="M1008" s="109">
        <v>450</v>
      </c>
      <c r="N1008" s="110"/>
    </row>
    <row r="1009" spans="1:14" ht="15" hidden="1" thickBot="1" x14ac:dyDescent="0.35">
      <c r="A1009" s="14">
        <v>186</v>
      </c>
      <c r="B1009" s="14" t="s">
        <v>812</v>
      </c>
      <c r="C1009" s="14" t="s">
        <v>1903</v>
      </c>
      <c r="D1009" s="14" t="s">
        <v>679</v>
      </c>
      <c r="E1009" s="15" t="s">
        <v>502</v>
      </c>
      <c r="F1009" s="15">
        <v>13</v>
      </c>
      <c r="G1009" s="16">
        <f t="shared" si="57"/>
        <v>139850</v>
      </c>
      <c r="H1009" s="16">
        <v>143519</v>
      </c>
      <c r="I1009" s="16">
        <f t="shared" ref="I1009:I1076" si="58">J1009-H1009</f>
        <v>0</v>
      </c>
      <c r="J1009" s="31">
        <v>143519</v>
      </c>
      <c r="K1009" s="69">
        <f t="shared" si="56"/>
        <v>0</v>
      </c>
      <c r="L1009" s="50">
        <v>3669</v>
      </c>
      <c r="M1009" s="109">
        <v>3669</v>
      </c>
      <c r="N1009" s="110">
        <v>0.95</v>
      </c>
    </row>
    <row r="1010" spans="1:14" ht="15" hidden="1" thickBot="1" x14ac:dyDescent="0.35">
      <c r="A1010" s="14">
        <v>186</v>
      </c>
      <c r="B1010" s="14" t="s">
        <v>812</v>
      </c>
      <c r="C1010" s="14" t="s">
        <v>1903</v>
      </c>
      <c r="D1010" s="14" t="s">
        <v>614</v>
      </c>
      <c r="E1010" s="15" t="s">
        <v>508</v>
      </c>
      <c r="F1010" s="15">
        <v>3</v>
      </c>
      <c r="G1010" s="16">
        <f t="shared" si="57"/>
        <v>15920</v>
      </c>
      <c r="H1010" s="16">
        <v>18400</v>
      </c>
      <c r="I1010" s="16">
        <f t="shared" si="58"/>
        <v>0</v>
      </c>
      <c r="J1010" s="31">
        <v>18400</v>
      </c>
      <c r="K1010" s="69">
        <f t="shared" ref="K1010:K1074" si="59">M1010-L1010</f>
        <v>0</v>
      </c>
      <c r="L1010" s="50">
        <v>2480</v>
      </c>
      <c r="M1010" s="109">
        <v>2480</v>
      </c>
      <c r="N1010" s="110"/>
    </row>
    <row r="1011" spans="1:14" ht="15" hidden="1" thickBot="1" x14ac:dyDescent="0.35">
      <c r="A1011" s="14">
        <v>186</v>
      </c>
      <c r="B1011" s="14" t="s">
        <v>812</v>
      </c>
      <c r="C1011" s="14" t="s">
        <v>1903</v>
      </c>
      <c r="D1011" s="14" t="s">
        <v>692</v>
      </c>
      <c r="E1011" s="15" t="s">
        <v>502</v>
      </c>
      <c r="F1011" s="15">
        <v>2</v>
      </c>
      <c r="G1011" s="16">
        <f t="shared" si="57"/>
        <v>8055</v>
      </c>
      <c r="H1011" s="16">
        <v>8055</v>
      </c>
      <c r="I1011" s="16">
        <f t="shared" si="58"/>
        <v>0</v>
      </c>
      <c r="J1011" s="31">
        <v>8055</v>
      </c>
      <c r="K1011" s="69">
        <f t="shared" si="59"/>
        <v>0</v>
      </c>
      <c r="L1011" s="50"/>
      <c r="M1011" s="109"/>
      <c r="N1011" s="110"/>
    </row>
    <row r="1012" spans="1:14" ht="15" hidden="1" thickBot="1" x14ac:dyDescent="0.35">
      <c r="A1012" s="14">
        <v>186</v>
      </c>
      <c r="B1012" s="14" t="s">
        <v>812</v>
      </c>
      <c r="C1012" s="14" t="s">
        <v>1903</v>
      </c>
      <c r="D1012" s="14" t="s">
        <v>622</v>
      </c>
      <c r="E1012" s="15" t="s">
        <v>502</v>
      </c>
      <c r="F1012" s="15">
        <v>5</v>
      </c>
      <c r="G1012" s="16">
        <f t="shared" si="57"/>
        <v>8811</v>
      </c>
      <c r="H1012" s="16">
        <v>8811</v>
      </c>
      <c r="I1012" s="16">
        <f t="shared" si="58"/>
        <v>0</v>
      </c>
      <c r="J1012" s="31">
        <v>8811</v>
      </c>
      <c r="K1012" s="69">
        <f t="shared" si="59"/>
        <v>0</v>
      </c>
      <c r="L1012" s="50"/>
      <c r="M1012" s="109"/>
      <c r="N1012" s="110"/>
    </row>
    <row r="1013" spans="1:14" ht="15" hidden="1" thickBot="1" x14ac:dyDescent="0.35">
      <c r="A1013" s="14">
        <v>186</v>
      </c>
      <c r="B1013" s="14" t="s">
        <v>812</v>
      </c>
      <c r="C1013" s="14" t="s">
        <v>1903</v>
      </c>
      <c r="D1013" s="14" t="s">
        <v>510</v>
      </c>
      <c r="E1013" s="15" t="s">
        <v>508</v>
      </c>
      <c r="F1013" s="15">
        <v>2</v>
      </c>
      <c r="G1013" s="16">
        <f t="shared" si="57"/>
        <v>3296</v>
      </c>
      <c r="H1013" s="16">
        <v>9776</v>
      </c>
      <c r="I1013" s="16">
        <f t="shared" si="58"/>
        <v>0</v>
      </c>
      <c r="J1013" s="31">
        <v>9776</v>
      </c>
      <c r="K1013" s="69">
        <f t="shared" si="59"/>
        <v>0</v>
      </c>
      <c r="L1013" s="50">
        <v>6480</v>
      </c>
      <c r="M1013" s="109">
        <v>6480</v>
      </c>
      <c r="N1013" s="110"/>
    </row>
    <row r="1014" spans="1:14" ht="15" hidden="1" thickBot="1" x14ac:dyDescent="0.35">
      <c r="A1014" s="14">
        <v>186</v>
      </c>
      <c r="B1014" s="14" t="s">
        <v>812</v>
      </c>
      <c r="C1014" s="14" t="s">
        <v>1903</v>
      </c>
      <c r="D1014" s="14" t="s">
        <v>547</v>
      </c>
      <c r="E1014" s="15" t="s">
        <v>502</v>
      </c>
      <c r="F1014" s="15">
        <v>5</v>
      </c>
      <c r="G1014" s="16">
        <f t="shared" si="57"/>
        <v>23386</v>
      </c>
      <c r="H1014" s="16">
        <v>23386</v>
      </c>
      <c r="I1014" s="16">
        <f t="shared" si="58"/>
        <v>0</v>
      </c>
      <c r="J1014" s="31">
        <v>23386</v>
      </c>
      <c r="K1014" s="69">
        <f t="shared" si="59"/>
        <v>0</v>
      </c>
      <c r="L1014" s="50"/>
      <c r="M1014" s="109"/>
      <c r="N1014" s="110"/>
    </row>
    <row r="1015" spans="1:14" ht="15" hidden="1" thickBot="1" x14ac:dyDescent="0.35">
      <c r="A1015" s="14">
        <v>186</v>
      </c>
      <c r="B1015" s="14" t="s">
        <v>812</v>
      </c>
      <c r="C1015" s="14" t="s">
        <v>1903</v>
      </c>
      <c r="D1015" s="14" t="s">
        <v>522</v>
      </c>
      <c r="E1015" s="15" t="s">
        <v>502</v>
      </c>
      <c r="F1015" s="15">
        <v>11</v>
      </c>
      <c r="G1015" s="16">
        <f t="shared" si="57"/>
        <v>44817</v>
      </c>
      <c r="H1015" s="16">
        <v>44937</v>
      </c>
      <c r="I1015" s="16">
        <f t="shared" si="58"/>
        <v>0</v>
      </c>
      <c r="J1015" s="31">
        <v>44937</v>
      </c>
      <c r="K1015" s="69">
        <f t="shared" si="59"/>
        <v>0</v>
      </c>
      <c r="L1015" s="50">
        <v>120</v>
      </c>
      <c r="M1015" s="109">
        <v>120</v>
      </c>
      <c r="N1015" s="110"/>
    </row>
    <row r="1016" spans="1:14" ht="15" hidden="1" thickBot="1" x14ac:dyDescent="0.35">
      <c r="A1016" s="14">
        <v>186</v>
      </c>
      <c r="B1016" s="14" t="s">
        <v>812</v>
      </c>
      <c r="C1016" s="14" t="s">
        <v>1903</v>
      </c>
      <c r="D1016" s="14" t="s">
        <v>678</v>
      </c>
      <c r="E1016" s="15" t="s">
        <v>502</v>
      </c>
      <c r="F1016" s="15">
        <v>7</v>
      </c>
      <c r="G1016" s="16">
        <f t="shared" si="57"/>
        <v>23213</v>
      </c>
      <c r="H1016" s="16">
        <v>23633</v>
      </c>
      <c r="I1016" s="16">
        <f t="shared" si="58"/>
        <v>0</v>
      </c>
      <c r="J1016" s="31">
        <v>23633</v>
      </c>
      <c r="K1016" s="69">
        <f t="shared" si="59"/>
        <v>0</v>
      </c>
      <c r="L1016" s="50">
        <v>420</v>
      </c>
      <c r="M1016" s="109">
        <v>420</v>
      </c>
      <c r="N1016" s="110">
        <v>0.9</v>
      </c>
    </row>
    <row r="1017" spans="1:14" ht="15" hidden="1" thickBot="1" x14ac:dyDescent="0.35">
      <c r="A1017" s="20">
        <v>187</v>
      </c>
      <c r="B1017" s="14" t="s">
        <v>813</v>
      </c>
      <c r="C1017" s="14" t="s">
        <v>668</v>
      </c>
      <c r="D1017" s="14" t="s">
        <v>981</v>
      </c>
      <c r="E1017" s="15" t="s">
        <v>502</v>
      </c>
      <c r="F1017" s="15">
        <v>1</v>
      </c>
      <c r="G1017" s="16">
        <f t="shared" si="57"/>
        <v>3362</v>
      </c>
      <c r="H1017" s="16">
        <v>3362</v>
      </c>
      <c r="I1017" s="16">
        <f t="shared" si="58"/>
        <v>0</v>
      </c>
      <c r="J1017" s="31">
        <v>3362</v>
      </c>
      <c r="K1017" s="69">
        <f t="shared" si="59"/>
        <v>0</v>
      </c>
      <c r="L1017" s="50"/>
      <c r="M1017" s="109"/>
      <c r="N1017" s="110"/>
    </row>
    <row r="1018" spans="1:14" ht="15" hidden="1" thickBot="1" x14ac:dyDescent="0.35">
      <c r="A1018" s="20">
        <v>187</v>
      </c>
      <c r="B1018" s="14" t="s">
        <v>813</v>
      </c>
      <c r="C1018" s="14" t="s">
        <v>940</v>
      </c>
      <c r="D1018" s="14" t="s">
        <v>1133</v>
      </c>
      <c r="E1018" s="15" t="s">
        <v>502</v>
      </c>
      <c r="F1018" s="15">
        <v>5</v>
      </c>
      <c r="G1018" s="16">
        <f t="shared" si="57"/>
        <v>20236</v>
      </c>
      <c r="H1018" s="16">
        <v>21386</v>
      </c>
      <c r="I1018" s="16">
        <f t="shared" si="58"/>
        <v>0</v>
      </c>
      <c r="J1018" s="31">
        <v>21386</v>
      </c>
      <c r="K1018" s="69">
        <f t="shared" si="59"/>
        <v>0</v>
      </c>
      <c r="L1018" s="50">
        <v>1150</v>
      </c>
      <c r="M1018" s="109">
        <v>1150</v>
      </c>
      <c r="N1018" s="110">
        <v>0.9</v>
      </c>
    </row>
    <row r="1019" spans="1:14" ht="15" hidden="1" thickBot="1" x14ac:dyDescent="0.35">
      <c r="A1019" s="20">
        <v>187</v>
      </c>
      <c r="B1019" s="14" t="s">
        <v>813</v>
      </c>
      <c r="C1019" s="14" t="s">
        <v>940</v>
      </c>
      <c r="D1019" s="14" t="s">
        <v>708</v>
      </c>
      <c r="E1019" s="15" t="s">
        <v>502</v>
      </c>
      <c r="F1019" s="15">
        <v>8</v>
      </c>
      <c r="G1019" s="16">
        <f t="shared" si="57"/>
        <v>47500</v>
      </c>
      <c r="H1019" s="16">
        <v>47500</v>
      </c>
      <c r="I1019" s="16">
        <f t="shared" si="58"/>
        <v>0</v>
      </c>
      <c r="J1019" s="31">
        <v>47500</v>
      </c>
      <c r="K1019" s="69">
        <f t="shared" si="59"/>
        <v>0</v>
      </c>
      <c r="L1019" s="50"/>
      <c r="M1019" s="109"/>
      <c r="N1019" s="110"/>
    </row>
    <row r="1020" spans="1:14" ht="15" hidden="1" thickBot="1" x14ac:dyDescent="0.35">
      <c r="A1020" s="20">
        <v>187</v>
      </c>
      <c r="B1020" s="14" t="s">
        <v>813</v>
      </c>
      <c r="C1020" s="14" t="s">
        <v>940</v>
      </c>
      <c r="D1020" s="14" t="s">
        <v>1054</v>
      </c>
      <c r="E1020" s="15" t="s">
        <v>1054</v>
      </c>
      <c r="F1020" s="15">
        <v>10</v>
      </c>
      <c r="G1020" s="16">
        <f t="shared" si="57"/>
        <v>65759</v>
      </c>
      <c r="H1020" s="16">
        <v>69043</v>
      </c>
      <c r="I1020" s="16">
        <f>J1020-H1020</f>
        <v>0</v>
      </c>
      <c r="J1020" s="31">
        <v>69043</v>
      </c>
      <c r="K1020" s="69">
        <f t="shared" si="59"/>
        <v>0</v>
      </c>
      <c r="L1020" s="50">
        <v>3284</v>
      </c>
      <c r="M1020" s="109">
        <v>3284</v>
      </c>
      <c r="N1020" s="110">
        <v>0.9</v>
      </c>
    </row>
    <row r="1021" spans="1:14" ht="15" hidden="1" thickBot="1" x14ac:dyDescent="0.35">
      <c r="A1021" s="20">
        <v>187</v>
      </c>
      <c r="B1021" s="14" t="s">
        <v>813</v>
      </c>
      <c r="C1021" s="14" t="s">
        <v>940</v>
      </c>
      <c r="D1021" s="14" t="s">
        <v>981</v>
      </c>
      <c r="E1021" s="15" t="s">
        <v>502</v>
      </c>
      <c r="F1021" s="15">
        <v>9</v>
      </c>
      <c r="G1021" s="16">
        <f t="shared" si="57"/>
        <v>142359</v>
      </c>
      <c r="H1021" s="16">
        <v>142779</v>
      </c>
      <c r="I1021" s="16">
        <f>J1021-H1021</f>
        <v>0</v>
      </c>
      <c r="J1021" s="31">
        <v>142779</v>
      </c>
      <c r="K1021" s="69">
        <f t="shared" si="59"/>
        <v>0</v>
      </c>
      <c r="L1021" s="50">
        <v>420</v>
      </c>
      <c r="M1021" s="109">
        <v>420</v>
      </c>
      <c r="N1021" s="110">
        <v>0.9</v>
      </c>
    </row>
    <row r="1022" spans="1:14" ht="15" hidden="1" thickBot="1" x14ac:dyDescent="0.35">
      <c r="A1022" s="20">
        <v>187</v>
      </c>
      <c r="B1022" s="14" t="s">
        <v>813</v>
      </c>
      <c r="C1022" s="14" t="s">
        <v>940</v>
      </c>
      <c r="D1022" s="14" t="s">
        <v>510</v>
      </c>
      <c r="E1022" s="15" t="s">
        <v>502</v>
      </c>
      <c r="F1022" s="15">
        <v>6</v>
      </c>
      <c r="G1022" s="16">
        <f t="shared" si="57"/>
        <v>30972</v>
      </c>
      <c r="H1022" s="16">
        <v>31412</v>
      </c>
      <c r="I1022" s="16">
        <f t="shared" si="58"/>
        <v>0</v>
      </c>
      <c r="J1022" s="31">
        <v>31412</v>
      </c>
      <c r="K1022" s="69">
        <f t="shared" si="59"/>
        <v>0</v>
      </c>
      <c r="L1022" s="50">
        <v>440</v>
      </c>
      <c r="M1022" s="109">
        <v>440</v>
      </c>
      <c r="N1022" s="110"/>
    </row>
    <row r="1023" spans="1:14" ht="15" hidden="1" thickBot="1" x14ac:dyDescent="0.35">
      <c r="A1023" s="20">
        <v>187</v>
      </c>
      <c r="B1023" s="14" t="s">
        <v>813</v>
      </c>
      <c r="C1023" s="14" t="s">
        <v>940</v>
      </c>
      <c r="D1023" s="14" t="s">
        <v>614</v>
      </c>
      <c r="E1023" s="15" t="s">
        <v>502</v>
      </c>
      <c r="F1023" s="15">
        <v>10</v>
      </c>
      <c r="G1023" s="16">
        <f t="shared" si="57"/>
        <v>52762</v>
      </c>
      <c r="H1023" s="16">
        <v>55437</v>
      </c>
      <c r="I1023" s="16">
        <f t="shared" si="58"/>
        <v>0</v>
      </c>
      <c r="J1023" s="31">
        <v>55437</v>
      </c>
      <c r="K1023" s="69">
        <f t="shared" si="59"/>
        <v>0</v>
      </c>
      <c r="L1023" s="50">
        <v>2675</v>
      </c>
      <c r="M1023" s="109">
        <v>2675</v>
      </c>
      <c r="N1023" s="110"/>
    </row>
    <row r="1024" spans="1:14" ht="15" hidden="1" thickBot="1" x14ac:dyDescent="0.35">
      <c r="A1024" s="20">
        <v>187</v>
      </c>
      <c r="B1024" s="14" t="s">
        <v>813</v>
      </c>
      <c r="C1024" s="14" t="s">
        <v>940</v>
      </c>
      <c r="D1024" s="14" t="s">
        <v>701</v>
      </c>
      <c r="E1024" s="15" t="s">
        <v>504</v>
      </c>
      <c r="F1024" s="15">
        <v>6</v>
      </c>
      <c r="G1024" s="16">
        <f t="shared" si="57"/>
        <v>9975</v>
      </c>
      <c r="H1024" s="16">
        <v>9975</v>
      </c>
      <c r="I1024" s="16">
        <f t="shared" si="58"/>
        <v>0</v>
      </c>
      <c r="J1024" s="31">
        <v>9975</v>
      </c>
      <c r="K1024" s="69">
        <f t="shared" si="59"/>
        <v>0</v>
      </c>
      <c r="L1024" s="50"/>
      <c r="M1024" s="109"/>
      <c r="N1024" s="110"/>
    </row>
    <row r="1025" spans="1:14" ht="15" hidden="1" thickBot="1" x14ac:dyDescent="0.35">
      <c r="A1025" s="14">
        <v>188</v>
      </c>
      <c r="B1025" s="14" t="s">
        <v>814</v>
      </c>
      <c r="C1025" s="14" t="s">
        <v>940</v>
      </c>
      <c r="D1025" s="14" t="s">
        <v>757</v>
      </c>
      <c r="E1025" s="15" t="s">
        <v>512</v>
      </c>
      <c r="F1025" s="15"/>
      <c r="G1025" s="16">
        <f t="shared" si="57"/>
        <v>1710</v>
      </c>
      <c r="H1025" s="16">
        <v>1710</v>
      </c>
      <c r="I1025" s="16">
        <f t="shared" si="58"/>
        <v>0</v>
      </c>
      <c r="J1025" s="31">
        <v>1710</v>
      </c>
      <c r="K1025" s="69">
        <f t="shared" si="59"/>
        <v>0</v>
      </c>
      <c r="L1025" s="50"/>
      <c r="M1025" s="109"/>
      <c r="N1025" s="110"/>
    </row>
    <row r="1026" spans="1:14" ht="15" hidden="1" thickBot="1" x14ac:dyDescent="0.35">
      <c r="A1026" s="14">
        <v>188</v>
      </c>
      <c r="B1026" s="14" t="s">
        <v>814</v>
      </c>
      <c r="C1026" s="14" t="s">
        <v>940</v>
      </c>
      <c r="D1026" s="14" t="s">
        <v>614</v>
      </c>
      <c r="E1026" s="15" t="s">
        <v>509</v>
      </c>
      <c r="F1026" s="15"/>
      <c r="G1026" s="16">
        <f t="shared" si="57"/>
        <v>788</v>
      </c>
      <c r="H1026" s="16">
        <v>788</v>
      </c>
      <c r="I1026" s="16">
        <f t="shared" si="58"/>
        <v>0</v>
      </c>
      <c r="J1026" s="31">
        <v>788</v>
      </c>
      <c r="K1026" s="69">
        <f t="shared" si="59"/>
        <v>0</v>
      </c>
      <c r="L1026" s="50"/>
      <c r="M1026" s="109"/>
      <c r="N1026" s="110"/>
    </row>
    <row r="1027" spans="1:14" ht="15" hidden="1" thickBot="1" x14ac:dyDescent="0.35">
      <c r="A1027" s="14">
        <v>188</v>
      </c>
      <c r="B1027" s="14" t="s">
        <v>814</v>
      </c>
      <c r="C1027" s="14" t="s">
        <v>940</v>
      </c>
      <c r="D1027" s="14" t="s">
        <v>513</v>
      </c>
      <c r="E1027" s="15" t="s">
        <v>546</v>
      </c>
      <c r="F1027" s="15"/>
      <c r="G1027" s="16">
        <f t="shared" si="57"/>
        <v>1014</v>
      </c>
      <c r="H1027" s="16">
        <v>1014</v>
      </c>
      <c r="I1027" s="16">
        <f t="shared" si="58"/>
        <v>0</v>
      </c>
      <c r="J1027" s="31">
        <v>1014</v>
      </c>
      <c r="K1027" s="69">
        <f t="shared" si="59"/>
        <v>0</v>
      </c>
      <c r="L1027" s="50"/>
      <c r="M1027" s="109"/>
      <c r="N1027" s="110"/>
    </row>
    <row r="1028" spans="1:14" ht="15" hidden="1" thickBot="1" x14ac:dyDescent="0.35">
      <c r="A1028" s="14">
        <v>189</v>
      </c>
      <c r="B1028" s="14" t="s">
        <v>815</v>
      </c>
      <c r="C1028" s="14" t="s">
        <v>668</v>
      </c>
      <c r="D1028" s="14" t="s">
        <v>515</v>
      </c>
      <c r="E1028" s="15" t="s">
        <v>512</v>
      </c>
      <c r="F1028" s="15">
        <v>3</v>
      </c>
      <c r="G1028" s="16">
        <f t="shared" si="57"/>
        <v>19060</v>
      </c>
      <c r="H1028" s="16">
        <v>19060</v>
      </c>
      <c r="I1028" s="16">
        <f t="shared" si="58"/>
        <v>0</v>
      </c>
      <c r="J1028" s="31">
        <v>19060</v>
      </c>
      <c r="K1028" s="69">
        <f t="shared" si="59"/>
        <v>0</v>
      </c>
      <c r="L1028" s="50"/>
      <c r="M1028" s="109"/>
      <c r="N1028" s="110"/>
    </row>
    <row r="1029" spans="1:14" ht="15" hidden="1" thickBot="1" x14ac:dyDescent="0.35">
      <c r="A1029" s="14">
        <v>189</v>
      </c>
      <c r="B1029" s="14" t="s">
        <v>815</v>
      </c>
      <c r="C1029" s="14" t="s">
        <v>668</v>
      </c>
      <c r="D1029" s="14" t="s">
        <v>614</v>
      </c>
      <c r="E1029" s="15" t="s">
        <v>500</v>
      </c>
      <c r="F1029" s="15">
        <v>4</v>
      </c>
      <c r="G1029" s="16">
        <f t="shared" si="57"/>
        <v>28314.5</v>
      </c>
      <c r="H1029" s="16">
        <v>29784.5</v>
      </c>
      <c r="I1029" s="16">
        <f t="shared" si="58"/>
        <v>0</v>
      </c>
      <c r="J1029" s="31">
        <v>29784.5</v>
      </c>
      <c r="K1029" s="69">
        <f t="shared" si="59"/>
        <v>0</v>
      </c>
      <c r="L1029" s="50">
        <v>1470</v>
      </c>
      <c r="M1029" s="109">
        <v>1470</v>
      </c>
      <c r="N1029" s="110">
        <v>0.95499999999999996</v>
      </c>
    </row>
    <row r="1030" spans="1:14" ht="15" hidden="1" thickBot="1" x14ac:dyDescent="0.35">
      <c r="A1030" s="14">
        <v>189</v>
      </c>
      <c r="B1030" s="14" t="s">
        <v>815</v>
      </c>
      <c r="C1030" s="14" t="s">
        <v>668</v>
      </c>
      <c r="D1030" s="14" t="s">
        <v>760</v>
      </c>
      <c r="E1030" s="15" t="s">
        <v>500</v>
      </c>
      <c r="F1030" s="15">
        <v>2</v>
      </c>
      <c r="G1030" s="16">
        <f t="shared" si="57"/>
        <v>1539</v>
      </c>
      <c r="H1030" s="16">
        <v>1539</v>
      </c>
      <c r="I1030" s="16">
        <f t="shared" si="58"/>
        <v>0</v>
      </c>
      <c r="J1030" s="31">
        <v>1539</v>
      </c>
      <c r="K1030" s="69">
        <f t="shared" si="59"/>
        <v>0</v>
      </c>
      <c r="L1030" s="50"/>
      <c r="M1030" s="109"/>
      <c r="N1030" s="110"/>
    </row>
    <row r="1031" spans="1:14" ht="15" hidden="1" thickBot="1" x14ac:dyDescent="0.35">
      <c r="A1031" s="14">
        <v>189</v>
      </c>
      <c r="B1031" s="14" t="s">
        <v>815</v>
      </c>
      <c r="C1031" s="14" t="s">
        <v>668</v>
      </c>
      <c r="D1031" s="14" t="s">
        <v>521</v>
      </c>
      <c r="E1031" s="15" t="s">
        <v>500</v>
      </c>
      <c r="F1031" s="15">
        <v>4</v>
      </c>
      <c r="G1031" s="16">
        <f t="shared" si="57"/>
        <v>13040</v>
      </c>
      <c r="H1031" s="16">
        <v>17320</v>
      </c>
      <c r="I1031" s="16">
        <f t="shared" si="58"/>
        <v>0</v>
      </c>
      <c r="J1031" s="31">
        <v>17320</v>
      </c>
      <c r="K1031" s="69">
        <f t="shared" si="59"/>
        <v>0</v>
      </c>
      <c r="L1031" s="50">
        <v>4280</v>
      </c>
      <c r="M1031" s="109">
        <v>4280</v>
      </c>
      <c r="N1031" s="110"/>
    </row>
    <row r="1032" spans="1:14" ht="15" hidden="1" thickBot="1" x14ac:dyDescent="0.35">
      <c r="A1032" s="14">
        <v>189</v>
      </c>
      <c r="B1032" s="14" t="s">
        <v>815</v>
      </c>
      <c r="C1032" s="14" t="s">
        <v>668</v>
      </c>
      <c r="D1032" s="14" t="s">
        <v>510</v>
      </c>
      <c r="E1032" s="15" t="s">
        <v>500</v>
      </c>
      <c r="F1032" s="15">
        <v>1</v>
      </c>
      <c r="G1032" s="16">
        <f t="shared" si="57"/>
        <v>19156</v>
      </c>
      <c r="H1032" s="16">
        <v>19656</v>
      </c>
      <c r="I1032" s="16">
        <f t="shared" si="58"/>
        <v>0</v>
      </c>
      <c r="J1032" s="31">
        <v>19656</v>
      </c>
      <c r="K1032" s="69">
        <f t="shared" si="59"/>
        <v>0</v>
      </c>
      <c r="L1032" s="50">
        <v>500</v>
      </c>
      <c r="M1032" s="109">
        <v>500</v>
      </c>
      <c r="N1032" s="110"/>
    </row>
    <row r="1033" spans="1:14" ht="15" hidden="1" thickBot="1" x14ac:dyDescent="0.35">
      <c r="A1033" s="14">
        <v>189</v>
      </c>
      <c r="B1033" s="14" t="s">
        <v>815</v>
      </c>
      <c r="C1033" s="14" t="s">
        <v>668</v>
      </c>
      <c r="D1033" s="14" t="s">
        <v>761</v>
      </c>
      <c r="E1033" s="15" t="s">
        <v>500</v>
      </c>
      <c r="F1033" s="15">
        <v>2</v>
      </c>
      <c r="G1033" s="16">
        <f t="shared" si="57"/>
        <v>8761</v>
      </c>
      <c r="H1033" s="16">
        <v>10501</v>
      </c>
      <c r="I1033" s="16">
        <f t="shared" si="58"/>
        <v>0</v>
      </c>
      <c r="J1033" s="31">
        <v>10501</v>
      </c>
      <c r="K1033" s="69">
        <f t="shared" si="59"/>
        <v>0</v>
      </c>
      <c r="L1033" s="50">
        <v>1740</v>
      </c>
      <c r="M1033" s="109">
        <v>1740</v>
      </c>
      <c r="N1033" s="110"/>
    </row>
    <row r="1034" spans="1:14" ht="15" hidden="1" thickBot="1" x14ac:dyDescent="0.35">
      <c r="A1034" s="14">
        <v>189</v>
      </c>
      <c r="B1034" s="14" t="s">
        <v>815</v>
      </c>
      <c r="C1034" s="14" t="s">
        <v>668</v>
      </c>
      <c r="D1034" s="14" t="s">
        <v>527</v>
      </c>
      <c r="E1034" s="15" t="s">
        <v>500</v>
      </c>
      <c r="F1034" s="15">
        <v>3</v>
      </c>
      <c r="G1034" s="16">
        <f t="shared" si="57"/>
        <v>16840</v>
      </c>
      <c r="H1034" s="16">
        <v>17320</v>
      </c>
      <c r="I1034" s="16">
        <f t="shared" si="58"/>
        <v>0</v>
      </c>
      <c r="J1034" s="31">
        <v>17320</v>
      </c>
      <c r="K1034" s="69">
        <f t="shared" si="59"/>
        <v>0</v>
      </c>
      <c r="L1034" s="50">
        <v>480</v>
      </c>
      <c r="M1034" s="109">
        <v>480</v>
      </c>
      <c r="N1034" s="110"/>
    </row>
    <row r="1035" spans="1:14" ht="15" hidden="1" thickBot="1" x14ac:dyDescent="0.35">
      <c r="A1035" s="14">
        <v>189</v>
      </c>
      <c r="B1035" s="14" t="s">
        <v>815</v>
      </c>
      <c r="C1035" s="14" t="s">
        <v>668</v>
      </c>
      <c r="D1035" s="14" t="s">
        <v>525</v>
      </c>
      <c r="E1035" s="15" t="s">
        <v>509</v>
      </c>
      <c r="F1035" s="15">
        <v>2</v>
      </c>
      <c r="G1035" s="16">
        <f t="shared" si="57"/>
        <v>19890</v>
      </c>
      <c r="H1035" s="16">
        <v>20680</v>
      </c>
      <c r="I1035" s="16">
        <f t="shared" si="58"/>
        <v>0</v>
      </c>
      <c r="J1035" s="31">
        <v>20680</v>
      </c>
      <c r="K1035" s="69">
        <f t="shared" si="59"/>
        <v>0</v>
      </c>
      <c r="L1035" s="50">
        <v>790</v>
      </c>
      <c r="M1035" s="109">
        <v>790</v>
      </c>
      <c r="N1035" s="110"/>
    </row>
    <row r="1036" spans="1:14" ht="15" hidden="1" thickBot="1" x14ac:dyDescent="0.35">
      <c r="A1036" s="14">
        <v>189</v>
      </c>
      <c r="B1036" s="14" t="s">
        <v>815</v>
      </c>
      <c r="C1036" s="14" t="s">
        <v>668</v>
      </c>
      <c r="D1036" s="14" t="s">
        <v>526</v>
      </c>
      <c r="E1036" s="15" t="s">
        <v>509</v>
      </c>
      <c r="F1036" s="15">
        <v>4</v>
      </c>
      <c r="G1036" s="16">
        <f t="shared" si="57"/>
        <v>14260.25</v>
      </c>
      <c r="H1036" s="16">
        <v>14860.25</v>
      </c>
      <c r="I1036" s="16">
        <f t="shared" si="58"/>
        <v>0</v>
      </c>
      <c r="J1036" s="31">
        <v>14860.25</v>
      </c>
      <c r="K1036" s="69">
        <f t="shared" si="59"/>
        <v>0</v>
      </c>
      <c r="L1036" s="50">
        <v>600</v>
      </c>
      <c r="M1036" s="109">
        <v>600</v>
      </c>
      <c r="N1036" s="110"/>
    </row>
    <row r="1037" spans="1:14" ht="15" hidden="1" thickBot="1" x14ac:dyDescent="0.35">
      <c r="A1037" s="14">
        <v>189</v>
      </c>
      <c r="B1037" s="14" t="s">
        <v>815</v>
      </c>
      <c r="C1037" s="14" t="s">
        <v>719</v>
      </c>
      <c r="D1037" s="14" t="s">
        <v>526</v>
      </c>
      <c r="E1037" s="15" t="s">
        <v>509</v>
      </c>
      <c r="F1037" s="15">
        <v>3</v>
      </c>
      <c r="G1037" s="16">
        <f t="shared" si="57"/>
        <v>3919</v>
      </c>
      <c r="H1037" s="16">
        <v>4399</v>
      </c>
      <c r="I1037" s="16">
        <f t="shared" si="58"/>
        <v>0</v>
      </c>
      <c r="J1037" s="31">
        <v>4399</v>
      </c>
      <c r="K1037" s="69">
        <f t="shared" si="59"/>
        <v>0</v>
      </c>
      <c r="L1037" s="50">
        <v>480</v>
      </c>
      <c r="M1037" s="109">
        <v>480</v>
      </c>
      <c r="N1037" s="110"/>
    </row>
    <row r="1038" spans="1:14" ht="15" hidden="1" thickBot="1" x14ac:dyDescent="0.35">
      <c r="A1038" s="14">
        <v>189</v>
      </c>
      <c r="B1038" s="14" t="s">
        <v>815</v>
      </c>
      <c r="C1038" s="14" t="s">
        <v>719</v>
      </c>
      <c r="D1038" s="14" t="s">
        <v>515</v>
      </c>
      <c r="E1038" s="15" t="s">
        <v>512</v>
      </c>
      <c r="F1038" s="15">
        <v>3</v>
      </c>
      <c r="G1038" s="16">
        <f t="shared" si="57"/>
        <v>6239</v>
      </c>
      <c r="H1038" s="16">
        <v>6479</v>
      </c>
      <c r="I1038" s="16">
        <f t="shared" si="58"/>
        <v>0</v>
      </c>
      <c r="J1038" s="31">
        <v>6479</v>
      </c>
      <c r="K1038" s="69">
        <f t="shared" si="59"/>
        <v>0</v>
      </c>
      <c r="L1038" s="50">
        <v>240</v>
      </c>
      <c r="M1038" s="109">
        <v>240</v>
      </c>
      <c r="N1038" s="110"/>
    </row>
    <row r="1039" spans="1:14" ht="15" hidden="1" thickBot="1" x14ac:dyDescent="0.35">
      <c r="A1039" s="14">
        <v>189</v>
      </c>
      <c r="B1039" s="14" t="s">
        <v>815</v>
      </c>
      <c r="C1039" s="14" t="s">
        <v>719</v>
      </c>
      <c r="D1039" s="14" t="s">
        <v>525</v>
      </c>
      <c r="E1039" s="15" t="s">
        <v>509</v>
      </c>
      <c r="F1039" s="15">
        <v>2</v>
      </c>
      <c r="G1039" s="16">
        <f t="shared" si="57"/>
        <v>7942</v>
      </c>
      <c r="H1039" s="16">
        <v>7942</v>
      </c>
      <c r="I1039" s="16">
        <f t="shared" si="58"/>
        <v>0</v>
      </c>
      <c r="J1039" s="31">
        <v>7942</v>
      </c>
      <c r="K1039" s="69">
        <f t="shared" si="59"/>
        <v>0</v>
      </c>
      <c r="L1039" s="50"/>
      <c r="M1039" s="109"/>
      <c r="N1039" s="110"/>
    </row>
    <row r="1040" spans="1:14" ht="15" hidden="1" thickBot="1" x14ac:dyDescent="0.35">
      <c r="A1040" s="14">
        <v>189</v>
      </c>
      <c r="B1040" s="14" t="s">
        <v>815</v>
      </c>
      <c r="C1040" s="14" t="s">
        <v>719</v>
      </c>
      <c r="D1040" s="14" t="s">
        <v>1831</v>
      </c>
      <c r="E1040" s="15" t="s">
        <v>504</v>
      </c>
      <c r="F1040" s="15">
        <v>3</v>
      </c>
      <c r="G1040" s="16">
        <f t="shared" si="57"/>
        <v>2727</v>
      </c>
      <c r="H1040" s="16">
        <v>2967</v>
      </c>
      <c r="I1040" s="16">
        <f t="shared" si="58"/>
        <v>0</v>
      </c>
      <c r="J1040" s="31">
        <v>2967</v>
      </c>
      <c r="K1040" s="69">
        <f t="shared" si="59"/>
        <v>0</v>
      </c>
      <c r="L1040" s="50">
        <v>240</v>
      </c>
      <c r="M1040" s="109">
        <v>240</v>
      </c>
      <c r="N1040" s="110"/>
    </row>
    <row r="1041" spans="1:14" ht="15" hidden="1" thickBot="1" x14ac:dyDescent="0.35">
      <c r="A1041" s="14">
        <v>190</v>
      </c>
      <c r="B1041" s="14" t="s">
        <v>817</v>
      </c>
      <c r="C1041" s="14" t="s">
        <v>668</v>
      </c>
      <c r="D1041" s="14" t="s">
        <v>532</v>
      </c>
      <c r="E1041" s="15" t="s">
        <v>500</v>
      </c>
      <c r="F1041" s="15">
        <v>2</v>
      </c>
      <c r="G1041" s="16">
        <f t="shared" si="57"/>
        <v>16911</v>
      </c>
      <c r="H1041" s="16">
        <v>17271</v>
      </c>
      <c r="I1041" s="16">
        <f t="shared" si="58"/>
        <v>0</v>
      </c>
      <c r="J1041" s="31">
        <v>17271</v>
      </c>
      <c r="K1041" s="69">
        <f t="shared" si="59"/>
        <v>0</v>
      </c>
      <c r="L1041" s="50">
        <v>360</v>
      </c>
      <c r="M1041" s="109">
        <v>360</v>
      </c>
      <c r="N1041" s="110"/>
    </row>
    <row r="1042" spans="1:14" ht="15" hidden="1" thickBot="1" x14ac:dyDescent="0.35">
      <c r="A1042" s="14">
        <v>191</v>
      </c>
      <c r="B1042" s="14" t="s">
        <v>818</v>
      </c>
      <c r="C1042" s="14" t="s">
        <v>668</v>
      </c>
      <c r="D1042" s="14" t="s">
        <v>510</v>
      </c>
      <c r="E1042" s="15" t="s">
        <v>506</v>
      </c>
      <c r="F1042" s="15">
        <v>3</v>
      </c>
      <c r="G1042" s="16">
        <f t="shared" si="57"/>
        <v>21846.6</v>
      </c>
      <c r="H1042" s="16">
        <v>22206.6</v>
      </c>
      <c r="I1042" s="16">
        <f t="shared" si="58"/>
        <v>0</v>
      </c>
      <c r="J1042" s="31">
        <v>22206.6</v>
      </c>
      <c r="K1042" s="69">
        <f t="shared" si="59"/>
        <v>0</v>
      </c>
      <c r="L1042" s="50">
        <v>360</v>
      </c>
      <c r="M1042" s="109">
        <v>360</v>
      </c>
      <c r="N1042" s="110"/>
    </row>
    <row r="1043" spans="1:14" ht="15" hidden="1" thickBot="1" x14ac:dyDescent="0.35">
      <c r="A1043" s="14">
        <v>191</v>
      </c>
      <c r="B1043" s="14" t="s">
        <v>818</v>
      </c>
      <c r="C1043" s="14" t="s">
        <v>668</v>
      </c>
      <c r="D1043" s="14" t="s">
        <v>510</v>
      </c>
      <c r="E1043" s="15" t="s">
        <v>504</v>
      </c>
      <c r="F1043" s="15">
        <v>3</v>
      </c>
      <c r="G1043" s="16">
        <f t="shared" si="57"/>
        <v>19313.55</v>
      </c>
      <c r="H1043" s="16">
        <v>20213.55</v>
      </c>
      <c r="I1043" s="16">
        <f t="shared" si="58"/>
        <v>0</v>
      </c>
      <c r="J1043" s="31">
        <v>20213.55</v>
      </c>
      <c r="K1043" s="69">
        <f t="shared" si="59"/>
        <v>0</v>
      </c>
      <c r="L1043" s="50">
        <v>900</v>
      </c>
      <c r="M1043" s="109">
        <v>900</v>
      </c>
      <c r="N1043" s="110">
        <v>0.94499999999999995</v>
      </c>
    </row>
    <row r="1044" spans="1:14" ht="15" hidden="1" thickBot="1" x14ac:dyDescent="0.35">
      <c r="A1044" s="14">
        <v>191</v>
      </c>
      <c r="B1044" s="14" t="s">
        <v>818</v>
      </c>
      <c r="C1044" s="14" t="s">
        <v>668</v>
      </c>
      <c r="D1044" s="14" t="s">
        <v>510</v>
      </c>
      <c r="E1044" s="15" t="s">
        <v>509</v>
      </c>
      <c r="F1044" s="15">
        <v>3</v>
      </c>
      <c r="G1044" s="16">
        <f t="shared" si="57"/>
        <v>19315.75</v>
      </c>
      <c r="H1044" s="16">
        <v>19785.75</v>
      </c>
      <c r="I1044" s="16">
        <f t="shared" si="58"/>
        <v>0</v>
      </c>
      <c r="J1044" s="31">
        <v>19785.75</v>
      </c>
      <c r="K1044" s="69">
        <f t="shared" si="59"/>
        <v>0</v>
      </c>
      <c r="L1044" s="50">
        <v>470</v>
      </c>
      <c r="M1044" s="109">
        <v>470</v>
      </c>
      <c r="N1044" s="110">
        <v>0.92500000000000004</v>
      </c>
    </row>
    <row r="1045" spans="1:14" ht="15" hidden="1" thickBot="1" x14ac:dyDescent="0.35">
      <c r="A1045" s="14">
        <v>191</v>
      </c>
      <c r="B1045" s="14" t="s">
        <v>818</v>
      </c>
      <c r="C1045" s="14" t="s">
        <v>668</v>
      </c>
      <c r="D1045" s="14" t="s">
        <v>510</v>
      </c>
      <c r="E1045" s="15" t="s">
        <v>503</v>
      </c>
      <c r="F1045" s="15">
        <v>2</v>
      </c>
      <c r="G1045" s="16">
        <f t="shared" si="57"/>
        <v>21667</v>
      </c>
      <c r="H1045" s="16">
        <v>22207</v>
      </c>
      <c r="I1045" s="16">
        <f t="shared" si="58"/>
        <v>0</v>
      </c>
      <c r="J1045" s="31">
        <v>22207</v>
      </c>
      <c r="K1045" s="69">
        <f t="shared" si="59"/>
        <v>0</v>
      </c>
      <c r="L1045" s="50">
        <v>540</v>
      </c>
      <c r="M1045" s="109">
        <v>540</v>
      </c>
      <c r="N1045" s="110"/>
    </row>
    <row r="1046" spans="1:14" ht="15" hidden="1" thickBot="1" x14ac:dyDescent="0.35">
      <c r="A1046" s="14">
        <v>191</v>
      </c>
      <c r="B1046" s="14" t="s">
        <v>818</v>
      </c>
      <c r="C1046" s="14" t="s">
        <v>668</v>
      </c>
      <c r="D1046" s="14" t="s">
        <v>510</v>
      </c>
      <c r="E1046" s="15" t="s">
        <v>499</v>
      </c>
      <c r="F1046" s="15">
        <v>3</v>
      </c>
      <c r="G1046" s="16">
        <f t="shared" si="57"/>
        <v>7366</v>
      </c>
      <c r="H1046" s="16">
        <v>8166</v>
      </c>
      <c r="I1046" s="16">
        <f t="shared" si="58"/>
        <v>0</v>
      </c>
      <c r="J1046" s="31">
        <v>8166</v>
      </c>
      <c r="K1046" s="69">
        <f t="shared" si="59"/>
        <v>0</v>
      </c>
      <c r="L1046" s="50">
        <v>800</v>
      </c>
      <c r="M1046" s="109">
        <v>800</v>
      </c>
      <c r="N1046" s="110">
        <v>0.98</v>
      </c>
    </row>
    <row r="1047" spans="1:14" ht="15" hidden="1" thickBot="1" x14ac:dyDescent="0.35">
      <c r="A1047" s="14">
        <v>191</v>
      </c>
      <c r="B1047" s="14" t="s">
        <v>818</v>
      </c>
      <c r="C1047" s="14" t="s">
        <v>668</v>
      </c>
      <c r="D1047" s="14" t="s">
        <v>614</v>
      </c>
      <c r="E1047" s="15" t="s">
        <v>504</v>
      </c>
      <c r="F1047" s="15">
        <v>2</v>
      </c>
      <c r="G1047" s="16">
        <f t="shared" si="57"/>
        <v>2660</v>
      </c>
      <c r="H1047" s="16">
        <v>3060</v>
      </c>
      <c r="I1047" s="16">
        <f t="shared" si="58"/>
        <v>0</v>
      </c>
      <c r="J1047" s="31">
        <v>3060</v>
      </c>
      <c r="K1047" s="69">
        <f t="shared" si="59"/>
        <v>0</v>
      </c>
      <c r="L1047" s="50">
        <v>400</v>
      </c>
      <c r="M1047" s="109">
        <v>400</v>
      </c>
      <c r="N1047" s="110">
        <v>1</v>
      </c>
    </row>
    <row r="1048" spans="1:14" ht="15" hidden="1" thickBot="1" x14ac:dyDescent="0.35">
      <c r="A1048" s="14">
        <v>191</v>
      </c>
      <c r="B1048" s="14" t="s">
        <v>818</v>
      </c>
      <c r="C1048" s="14" t="s">
        <v>668</v>
      </c>
      <c r="D1048" s="14" t="s">
        <v>614</v>
      </c>
      <c r="E1048" s="15" t="s">
        <v>509</v>
      </c>
      <c r="F1048" s="15">
        <v>2</v>
      </c>
      <c r="G1048" s="16">
        <f t="shared" si="57"/>
        <v>27732</v>
      </c>
      <c r="H1048" s="16">
        <v>27912</v>
      </c>
      <c r="I1048" s="16">
        <f t="shared" si="58"/>
        <v>0</v>
      </c>
      <c r="J1048" s="31">
        <v>27912</v>
      </c>
      <c r="K1048" s="69">
        <f t="shared" si="59"/>
        <v>0</v>
      </c>
      <c r="L1048" s="50">
        <v>180</v>
      </c>
      <c r="M1048" s="109">
        <v>180</v>
      </c>
      <c r="N1048" s="110"/>
    </row>
    <row r="1049" spans="1:14" ht="15" hidden="1" thickBot="1" x14ac:dyDescent="0.35">
      <c r="A1049" s="14">
        <v>191</v>
      </c>
      <c r="B1049" s="14" t="s">
        <v>818</v>
      </c>
      <c r="C1049" s="14" t="s">
        <v>668</v>
      </c>
      <c r="D1049" s="14" t="s">
        <v>614</v>
      </c>
      <c r="E1049" s="15" t="s">
        <v>506</v>
      </c>
      <c r="F1049" s="15">
        <v>3</v>
      </c>
      <c r="G1049" s="16">
        <f t="shared" si="57"/>
        <v>28754</v>
      </c>
      <c r="H1049" s="16">
        <v>29634</v>
      </c>
      <c r="I1049" s="16">
        <f t="shared" si="58"/>
        <v>0</v>
      </c>
      <c r="J1049" s="31">
        <v>29634</v>
      </c>
      <c r="K1049" s="69">
        <f t="shared" si="59"/>
        <v>0</v>
      </c>
      <c r="L1049" s="50">
        <v>880</v>
      </c>
      <c r="M1049" s="109">
        <v>880</v>
      </c>
      <c r="N1049" s="110"/>
    </row>
    <row r="1050" spans="1:14" ht="15" hidden="1" thickBot="1" x14ac:dyDescent="0.35">
      <c r="A1050" s="14">
        <v>191</v>
      </c>
      <c r="B1050" s="14" t="s">
        <v>818</v>
      </c>
      <c r="C1050" s="14" t="s">
        <v>668</v>
      </c>
      <c r="D1050" s="14" t="s">
        <v>510</v>
      </c>
      <c r="E1050" s="15" t="s">
        <v>502</v>
      </c>
      <c r="F1050" s="15">
        <v>4</v>
      </c>
      <c r="G1050" s="16">
        <f t="shared" si="57"/>
        <v>22086.3</v>
      </c>
      <c r="H1050" s="16">
        <v>22206.3</v>
      </c>
      <c r="I1050" s="16">
        <f t="shared" si="58"/>
        <v>0</v>
      </c>
      <c r="J1050" s="31">
        <v>22206.3</v>
      </c>
      <c r="K1050" s="69">
        <f t="shared" si="59"/>
        <v>0</v>
      </c>
      <c r="L1050" s="50">
        <v>120</v>
      </c>
      <c r="M1050" s="109">
        <v>120</v>
      </c>
      <c r="N1050" s="110"/>
    </row>
    <row r="1051" spans="1:14" ht="15" hidden="1" thickBot="1" x14ac:dyDescent="0.35">
      <c r="A1051" s="14">
        <v>191</v>
      </c>
      <c r="B1051" s="14" t="s">
        <v>818</v>
      </c>
      <c r="C1051" s="14" t="s">
        <v>668</v>
      </c>
      <c r="D1051" s="14" t="s">
        <v>547</v>
      </c>
      <c r="E1051" s="15" t="s">
        <v>502</v>
      </c>
      <c r="F1051" s="15">
        <v>2</v>
      </c>
      <c r="G1051" s="16">
        <f t="shared" si="57"/>
        <v>12961</v>
      </c>
      <c r="H1051" s="16">
        <v>12961</v>
      </c>
      <c r="I1051" s="16">
        <f t="shared" si="58"/>
        <v>0</v>
      </c>
      <c r="J1051" s="31">
        <v>12961</v>
      </c>
      <c r="K1051" s="69">
        <f t="shared" si="59"/>
        <v>0</v>
      </c>
      <c r="L1051" s="50"/>
      <c r="M1051" s="109"/>
      <c r="N1051" s="110"/>
    </row>
    <row r="1052" spans="1:14" ht="15" hidden="1" thickBot="1" x14ac:dyDescent="0.35">
      <c r="A1052" s="14">
        <v>192</v>
      </c>
      <c r="B1052" s="14" t="s">
        <v>819</v>
      </c>
      <c r="C1052" s="14" t="s">
        <v>668</v>
      </c>
      <c r="D1052" s="14" t="s">
        <v>518</v>
      </c>
      <c r="E1052" s="15" t="s">
        <v>503</v>
      </c>
      <c r="F1052" s="15">
        <v>3</v>
      </c>
      <c r="G1052" s="16">
        <f t="shared" si="57"/>
        <v>16702</v>
      </c>
      <c r="H1052" s="16">
        <v>17692</v>
      </c>
      <c r="I1052" s="16">
        <f t="shared" si="58"/>
        <v>0</v>
      </c>
      <c r="J1052" s="31">
        <v>17692</v>
      </c>
      <c r="K1052" s="69">
        <f t="shared" si="59"/>
        <v>0</v>
      </c>
      <c r="L1052" s="50">
        <v>990</v>
      </c>
      <c r="M1052" s="109">
        <v>990</v>
      </c>
      <c r="N1052" s="110"/>
    </row>
    <row r="1053" spans="1:14" ht="15" hidden="1" thickBot="1" x14ac:dyDescent="0.35">
      <c r="A1053" s="14">
        <v>192</v>
      </c>
      <c r="B1053" s="14" t="s">
        <v>819</v>
      </c>
      <c r="C1053" s="14" t="s">
        <v>668</v>
      </c>
      <c r="D1053" s="14" t="s">
        <v>1831</v>
      </c>
      <c r="E1053" s="15" t="s">
        <v>504</v>
      </c>
      <c r="F1053" s="15"/>
      <c r="G1053" s="16">
        <f t="shared" si="57"/>
        <v>5940</v>
      </c>
      <c r="H1053" s="16">
        <v>5940</v>
      </c>
      <c r="I1053" s="16">
        <f t="shared" si="58"/>
        <v>0</v>
      </c>
      <c r="J1053" s="31">
        <v>5940</v>
      </c>
      <c r="K1053" s="69">
        <f t="shared" si="59"/>
        <v>0</v>
      </c>
      <c r="L1053" s="50"/>
      <c r="M1053" s="109"/>
      <c r="N1053" s="110"/>
    </row>
    <row r="1054" spans="1:14" ht="15" hidden="1" thickBot="1" x14ac:dyDescent="0.35">
      <c r="A1054" s="14">
        <v>192</v>
      </c>
      <c r="B1054" s="14" t="s">
        <v>819</v>
      </c>
      <c r="C1054" s="14" t="s">
        <v>668</v>
      </c>
      <c r="D1054" s="14" t="s">
        <v>547</v>
      </c>
      <c r="E1054" s="15" t="s">
        <v>502</v>
      </c>
      <c r="F1054" s="15"/>
      <c r="G1054" s="16">
        <f t="shared" si="57"/>
        <v>4555</v>
      </c>
      <c r="H1054" s="16">
        <v>4555</v>
      </c>
      <c r="I1054" s="16">
        <f t="shared" si="58"/>
        <v>0</v>
      </c>
      <c r="J1054" s="31">
        <v>4555</v>
      </c>
      <c r="K1054" s="69">
        <f t="shared" si="59"/>
        <v>0</v>
      </c>
      <c r="L1054" s="50"/>
      <c r="M1054" s="109"/>
      <c r="N1054" s="110"/>
    </row>
    <row r="1055" spans="1:14" ht="15" hidden="1" thickBot="1" x14ac:dyDescent="0.35">
      <c r="A1055" s="14">
        <v>192</v>
      </c>
      <c r="B1055" s="14" t="s">
        <v>819</v>
      </c>
      <c r="C1055" s="20" t="s">
        <v>820</v>
      </c>
      <c r="D1055" s="14" t="s">
        <v>522</v>
      </c>
      <c r="E1055" s="15" t="s">
        <v>502</v>
      </c>
      <c r="F1055" s="15">
        <v>1</v>
      </c>
      <c r="G1055" s="16">
        <f t="shared" si="57"/>
        <v>270</v>
      </c>
      <c r="H1055" s="16">
        <v>270</v>
      </c>
      <c r="I1055" s="16">
        <f t="shared" si="58"/>
        <v>0</v>
      </c>
      <c r="J1055" s="31">
        <v>270</v>
      </c>
      <c r="K1055" s="69">
        <f t="shared" si="59"/>
        <v>0</v>
      </c>
      <c r="L1055" s="50"/>
      <c r="M1055" s="109"/>
      <c r="N1055" s="110"/>
    </row>
    <row r="1056" spans="1:14" ht="15" hidden="1" thickBot="1" x14ac:dyDescent="0.35">
      <c r="A1056" s="14">
        <v>192</v>
      </c>
      <c r="B1056" s="14" t="s">
        <v>819</v>
      </c>
      <c r="C1056" s="20" t="s">
        <v>820</v>
      </c>
      <c r="D1056" s="14" t="s">
        <v>547</v>
      </c>
      <c r="E1056" s="15" t="s">
        <v>502</v>
      </c>
      <c r="F1056" s="15">
        <v>1</v>
      </c>
      <c r="G1056" s="16">
        <f t="shared" si="57"/>
        <v>270</v>
      </c>
      <c r="H1056" s="16">
        <v>270</v>
      </c>
      <c r="I1056" s="16">
        <f t="shared" si="58"/>
        <v>0</v>
      </c>
      <c r="J1056" s="31">
        <v>270</v>
      </c>
      <c r="K1056" s="69">
        <f t="shared" si="59"/>
        <v>0</v>
      </c>
      <c r="L1056" s="50"/>
      <c r="M1056" s="109"/>
      <c r="N1056" s="110"/>
    </row>
    <row r="1057" spans="1:14" ht="15" hidden="1" thickBot="1" x14ac:dyDescent="0.35">
      <c r="A1057" s="14">
        <v>192</v>
      </c>
      <c r="B1057" s="14" t="s">
        <v>819</v>
      </c>
      <c r="C1057" s="20" t="s">
        <v>820</v>
      </c>
      <c r="D1057" s="14" t="s">
        <v>614</v>
      </c>
      <c r="E1057" s="15" t="s">
        <v>502</v>
      </c>
      <c r="F1057" s="15">
        <v>1</v>
      </c>
      <c r="G1057" s="16">
        <f t="shared" si="57"/>
        <v>330</v>
      </c>
      <c r="H1057" s="16">
        <v>450</v>
      </c>
      <c r="I1057" s="16">
        <f t="shared" si="58"/>
        <v>0</v>
      </c>
      <c r="J1057" s="31">
        <v>450</v>
      </c>
      <c r="K1057" s="69">
        <f t="shared" si="59"/>
        <v>0</v>
      </c>
      <c r="L1057" s="50">
        <v>120</v>
      </c>
      <c r="M1057" s="109">
        <v>120</v>
      </c>
      <c r="N1057" s="110"/>
    </row>
    <row r="1058" spans="1:14" ht="15" hidden="1" thickBot="1" x14ac:dyDescent="0.35">
      <c r="A1058" s="14">
        <v>192</v>
      </c>
      <c r="B1058" s="14" t="s">
        <v>819</v>
      </c>
      <c r="C1058" s="20" t="s">
        <v>668</v>
      </c>
      <c r="D1058" s="14" t="s">
        <v>614</v>
      </c>
      <c r="E1058" s="15" t="s">
        <v>502</v>
      </c>
      <c r="F1058" s="15">
        <v>4</v>
      </c>
      <c r="G1058" s="16">
        <f t="shared" si="57"/>
        <v>27444</v>
      </c>
      <c r="H1058" s="16">
        <v>29634</v>
      </c>
      <c r="I1058" s="16">
        <f t="shared" si="58"/>
        <v>0</v>
      </c>
      <c r="J1058" s="31">
        <v>29634</v>
      </c>
      <c r="K1058" s="69">
        <f t="shared" si="59"/>
        <v>0</v>
      </c>
      <c r="L1058" s="50">
        <v>2190</v>
      </c>
      <c r="M1058" s="109">
        <v>2190</v>
      </c>
      <c r="N1058" s="110"/>
    </row>
    <row r="1059" spans="1:14" ht="15" hidden="1" thickBot="1" x14ac:dyDescent="0.35">
      <c r="A1059" s="14">
        <v>192</v>
      </c>
      <c r="B1059" s="14" t="s">
        <v>819</v>
      </c>
      <c r="C1059" s="20" t="s">
        <v>668</v>
      </c>
      <c r="D1059" s="14" t="s">
        <v>517</v>
      </c>
      <c r="E1059" s="15" t="s">
        <v>502</v>
      </c>
      <c r="F1059" s="15">
        <v>3</v>
      </c>
      <c r="G1059" s="16">
        <f t="shared" si="57"/>
        <v>15627</v>
      </c>
      <c r="H1059" s="16">
        <v>16587</v>
      </c>
      <c r="I1059" s="16">
        <f t="shared" si="58"/>
        <v>0</v>
      </c>
      <c r="J1059" s="31">
        <v>16587</v>
      </c>
      <c r="K1059" s="69">
        <f t="shared" si="59"/>
        <v>0</v>
      </c>
      <c r="L1059" s="50">
        <v>960</v>
      </c>
      <c r="M1059" s="109">
        <v>960</v>
      </c>
      <c r="N1059" s="110"/>
    </row>
    <row r="1060" spans="1:14" ht="15" hidden="1" thickBot="1" x14ac:dyDescent="0.35">
      <c r="A1060" s="14">
        <v>192</v>
      </c>
      <c r="B1060" s="14" t="s">
        <v>819</v>
      </c>
      <c r="C1060" s="20" t="s">
        <v>668</v>
      </c>
      <c r="D1060" s="14" t="s">
        <v>638</v>
      </c>
      <c r="E1060" s="15" t="s">
        <v>500</v>
      </c>
      <c r="F1060" s="15">
        <v>3</v>
      </c>
      <c r="G1060" s="16">
        <f t="shared" si="57"/>
        <v>18748.75</v>
      </c>
      <c r="H1060" s="16">
        <v>20068.75</v>
      </c>
      <c r="I1060" s="16">
        <f t="shared" si="58"/>
        <v>0</v>
      </c>
      <c r="J1060" s="31">
        <v>20068.75</v>
      </c>
      <c r="K1060" s="69">
        <f t="shared" si="59"/>
        <v>0</v>
      </c>
      <c r="L1060" s="50">
        <v>1320</v>
      </c>
      <c r="M1060" s="109">
        <v>1320</v>
      </c>
      <c r="N1060" s="110">
        <v>0.95</v>
      </c>
    </row>
    <row r="1061" spans="1:14" ht="15" hidden="1" thickBot="1" x14ac:dyDescent="0.35">
      <c r="A1061" s="14">
        <v>192</v>
      </c>
      <c r="B1061" s="14" t="s">
        <v>819</v>
      </c>
      <c r="C1061" s="20" t="s">
        <v>668</v>
      </c>
      <c r="D1061" s="14" t="s">
        <v>513</v>
      </c>
      <c r="E1061" s="15" t="s">
        <v>546</v>
      </c>
      <c r="F1061" s="15">
        <v>2</v>
      </c>
      <c r="G1061" s="16">
        <f t="shared" si="57"/>
        <v>3930</v>
      </c>
      <c r="H1061" s="16">
        <v>4590</v>
      </c>
      <c r="I1061" s="16">
        <f t="shared" si="58"/>
        <v>0</v>
      </c>
      <c r="J1061" s="31">
        <v>4590</v>
      </c>
      <c r="K1061" s="69">
        <f t="shared" si="59"/>
        <v>0</v>
      </c>
      <c r="L1061" s="50">
        <v>660</v>
      </c>
      <c r="M1061" s="109">
        <v>660</v>
      </c>
      <c r="N1061" s="110"/>
    </row>
    <row r="1062" spans="1:14" ht="15" hidden="1" thickBot="1" x14ac:dyDescent="0.35">
      <c r="A1062" s="14">
        <v>192</v>
      </c>
      <c r="B1062" s="14" t="s">
        <v>819</v>
      </c>
      <c r="C1062" s="20" t="s">
        <v>668</v>
      </c>
      <c r="D1062" s="14" t="s">
        <v>522</v>
      </c>
      <c r="E1062" s="15" t="s">
        <v>502</v>
      </c>
      <c r="F1062" s="15">
        <v>3</v>
      </c>
      <c r="G1062" s="16">
        <f t="shared" si="57"/>
        <v>16541.3</v>
      </c>
      <c r="H1062" s="16">
        <v>17681.3</v>
      </c>
      <c r="I1062" s="16">
        <f t="shared" si="58"/>
        <v>0</v>
      </c>
      <c r="J1062" s="31">
        <v>17681.3</v>
      </c>
      <c r="K1062" s="69">
        <f t="shared" si="59"/>
        <v>0</v>
      </c>
      <c r="L1062" s="50">
        <v>1140</v>
      </c>
      <c r="M1062" s="109">
        <v>1140</v>
      </c>
      <c r="N1062" s="110"/>
    </row>
    <row r="1063" spans="1:14" ht="15" hidden="1" thickBot="1" x14ac:dyDescent="0.35">
      <c r="A1063" s="14">
        <v>192</v>
      </c>
      <c r="B1063" s="14" t="s">
        <v>819</v>
      </c>
      <c r="C1063" s="20" t="s">
        <v>668</v>
      </c>
      <c r="D1063" s="14" t="s">
        <v>547</v>
      </c>
      <c r="E1063" s="15" t="s">
        <v>502</v>
      </c>
      <c r="F1063" s="15">
        <v>1</v>
      </c>
      <c r="G1063" s="16">
        <f t="shared" si="57"/>
        <v>4082</v>
      </c>
      <c r="H1063" s="16">
        <v>4982</v>
      </c>
      <c r="I1063" s="16">
        <f>J1063-H1063</f>
        <v>0</v>
      </c>
      <c r="J1063" s="31">
        <v>4982</v>
      </c>
      <c r="K1063" s="69">
        <f t="shared" si="59"/>
        <v>0</v>
      </c>
      <c r="L1063" s="50">
        <v>900</v>
      </c>
      <c r="M1063" s="109">
        <v>900</v>
      </c>
      <c r="N1063" s="110"/>
    </row>
    <row r="1064" spans="1:14" ht="15" hidden="1" thickBot="1" x14ac:dyDescent="0.35">
      <c r="A1064" s="14">
        <v>192</v>
      </c>
      <c r="B1064" s="14" t="s">
        <v>819</v>
      </c>
      <c r="C1064" s="20" t="s">
        <v>668</v>
      </c>
      <c r="D1064" s="14" t="s">
        <v>507</v>
      </c>
      <c r="E1064" s="15" t="s">
        <v>504</v>
      </c>
      <c r="F1064" s="15">
        <v>5</v>
      </c>
      <c r="G1064" s="16">
        <f t="shared" si="57"/>
        <v>15047</v>
      </c>
      <c r="H1064" s="16">
        <v>15767</v>
      </c>
      <c r="I1064" s="16">
        <f t="shared" si="58"/>
        <v>0</v>
      </c>
      <c r="J1064" s="31">
        <v>15767</v>
      </c>
      <c r="K1064" s="69">
        <f t="shared" si="59"/>
        <v>0</v>
      </c>
      <c r="L1064" s="50">
        <v>720</v>
      </c>
      <c r="M1064" s="109">
        <v>720</v>
      </c>
      <c r="N1064" s="110"/>
    </row>
    <row r="1065" spans="1:14" ht="15" hidden="1" thickBot="1" x14ac:dyDescent="0.35">
      <c r="A1065" s="14">
        <v>192</v>
      </c>
      <c r="B1065" s="14" t="s">
        <v>819</v>
      </c>
      <c r="C1065" s="20" t="s">
        <v>668</v>
      </c>
      <c r="D1065" s="14" t="s">
        <v>757</v>
      </c>
      <c r="E1065" s="15" t="s">
        <v>512</v>
      </c>
      <c r="F1065" s="15">
        <v>4</v>
      </c>
      <c r="G1065" s="16">
        <f t="shared" si="57"/>
        <v>4318</v>
      </c>
      <c r="H1065" s="16">
        <v>5400</v>
      </c>
      <c r="I1065" s="16">
        <f t="shared" si="58"/>
        <v>0</v>
      </c>
      <c r="J1065" s="31">
        <v>5400</v>
      </c>
      <c r="K1065" s="69">
        <f t="shared" si="59"/>
        <v>0</v>
      </c>
      <c r="L1065" s="50">
        <v>1082</v>
      </c>
      <c r="M1065" s="109">
        <v>1082</v>
      </c>
      <c r="N1065" s="110"/>
    </row>
    <row r="1066" spans="1:14" ht="15" hidden="1" thickBot="1" x14ac:dyDescent="0.35">
      <c r="A1066" s="14">
        <v>192</v>
      </c>
      <c r="B1066" s="14" t="s">
        <v>819</v>
      </c>
      <c r="C1066" s="20" t="s">
        <v>668</v>
      </c>
      <c r="D1066" s="14" t="s">
        <v>505</v>
      </c>
      <c r="E1066" s="15" t="s">
        <v>504</v>
      </c>
      <c r="F1066" s="15">
        <v>3</v>
      </c>
      <c r="G1066" s="16">
        <f t="shared" si="57"/>
        <v>14928</v>
      </c>
      <c r="H1066" s="16">
        <v>15498</v>
      </c>
      <c r="I1066" s="16">
        <f t="shared" si="58"/>
        <v>0</v>
      </c>
      <c r="J1066" s="31">
        <v>15498</v>
      </c>
      <c r="K1066" s="69">
        <f t="shared" si="59"/>
        <v>0</v>
      </c>
      <c r="L1066" s="50">
        <v>570</v>
      </c>
      <c r="M1066" s="109">
        <v>570</v>
      </c>
      <c r="N1066" s="110"/>
    </row>
    <row r="1067" spans="1:14" ht="15" hidden="1" thickBot="1" x14ac:dyDescent="0.35">
      <c r="A1067" s="14">
        <v>192</v>
      </c>
      <c r="B1067" s="14" t="s">
        <v>819</v>
      </c>
      <c r="C1067" s="20" t="s">
        <v>668</v>
      </c>
      <c r="D1067" s="14" t="s">
        <v>510</v>
      </c>
      <c r="E1067" s="15" t="s">
        <v>499</v>
      </c>
      <c r="F1067" s="15">
        <v>5</v>
      </c>
      <c r="G1067" s="16">
        <f t="shared" si="57"/>
        <v>14290</v>
      </c>
      <c r="H1067" s="16">
        <v>14290</v>
      </c>
      <c r="I1067" s="16">
        <f t="shared" si="58"/>
        <v>0</v>
      </c>
      <c r="J1067" s="31">
        <v>14290</v>
      </c>
      <c r="K1067" s="69">
        <f t="shared" si="59"/>
        <v>0</v>
      </c>
      <c r="L1067" s="50"/>
      <c r="M1067" s="109"/>
      <c r="N1067" s="110"/>
    </row>
    <row r="1068" spans="1:14" ht="15" hidden="1" thickBot="1" x14ac:dyDescent="0.35">
      <c r="A1068" s="14">
        <v>192</v>
      </c>
      <c r="B1068" s="14" t="s">
        <v>819</v>
      </c>
      <c r="C1068" s="20" t="s">
        <v>668</v>
      </c>
      <c r="D1068" s="14" t="s">
        <v>523</v>
      </c>
      <c r="E1068" s="15" t="s">
        <v>508</v>
      </c>
      <c r="F1068" s="15">
        <v>2</v>
      </c>
      <c r="G1068" s="16">
        <f t="shared" si="57"/>
        <v>4862</v>
      </c>
      <c r="H1068" s="16">
        <v>4982</v>
      </c>
      <c r="I1068" s="16">
        <f t="shared" si="58"/>
        <v>0</v>
      </c>
      <c r="J1068" s="31">
        <v>4982</v>
      </c>
      <c r="K1068" s="69">
        <f t="shared" si="59"/>
        <v>0</v>
      </c>
      <c r="L1068" s="50">
        <v>120</v>
      </c>
      <c r="M1068" s="109">
        <v>120</v>
      </c>
      <c r="N1068" s="110"/>
    </row>
    <row r="1069" spans="1:14" ht="15" hidden="1" thickBot="1" x14ac:dyDescent="0.35">
      <c r="A1069" s="14">
        <v>192</v>
      </c>
      <c r="B1069" s="14" t="s">
        <v>819</v>
      </c>
      <c r="C1069" s="20" t="s">
        <v>668</v>
      </c>
      <c r="D1069" s="14" t="s">
        <v>524</v>
      </c>
      <c r="E1069" s="15" t="s">
        <v>503</v>
      </c>
      <c r="F1069" s="15">
        <v>2</v>
      </c>
      <c r="G1069" s="16">
        <f t="shared" si="57"/>
        <v>17570</v>
      </c>
      <c r="H1069" s="16">
        <v>18050</v>
      </c>
      <c r="I1069" s="16">
        <f t="shared" si="58"/>
        <v>0</v>
      </c>
      <c r="J1069" s="31">
        <v>18050</v>
      </c>
      <c r="K1069" s="69">
        <f t="shared" si="59"/>
        <v>0</v>
      </c>
      <c r="L1069" s="50">
        <v>480</v>
      </c>
      <c r="M1069" s="109">
        <v>480</v>
      </c>
      <c r="N1069" s="110"/>
    </row>
    <row r="1070" spans="1:14" ht="15" hidden="1" thickBot="1" x14ac:dyDescent="0.35">
      <c r="A1070" s="14">
        <v>192</v>
      </c>
      <c r="B1070" s="14" t="s">
        <v>819</v>
      </c>
      <c r="C1070" s="20" t="s">
        <v>668</v>
      </c>
      <c r="D1070" s="14" t="s">
        <v>760</v>
      </c>
      <c r="E1070" s="15" t="s">
        <v>500</v>
      </c>
      <c r="F1070" s="15">
        <v>2</v>
      </c>
      <c r="G1070" s="16">
        <f t="shared" si="57"/>
        <v>6345</v>
      </c>
      <c r="H1070" s="16">
        <v>6345</v>
      </c>
      <c r="I1070" s="16">
        <f t="shared" si="58"/>
        <v>0</v>
      </c>
      <c r="J1070" s="31">
        <v>6345</v>
      </c>
      <c r="K1070" s="69">
        <f t="shared" si="59"/>
        <v>0</v>
      </c>
      <c r="L1070" s="50"/>
      <c r="M1070" s="109"/>
      <c r="N1070" s="110"/>
    </row>
    <row r="1071" spans="1:14" ht="15" hidden="1" thickBot="1" x14ac:dyDescent="0.35">
      <c r="A1071" s="14">
        <v>192</v>
      </c>
      <c r="B1071" s="14" t="s">
        <v>819</v>
      </c>
      <c r="C1071" s="20" t="s">
        <v>668</v>
      </c>
      <c r="D1071" s="14" t="s">
        <v>1044</v>
      </c>
      <c r="E1071" s="15"/>
      <c r="F1071" s="15">
        <v>1</v>
      </c>
      <c r="G1071" s="16">
        <f t="shared" si="57"/>
        <v>2808</v>
      </c>
      <c r="H1071" s="16">
        <v>2808</v>
      </c>
      <c r="I1071" s="16">
        <f>J1071-H1071</f>
        <v>0</v>
      </c>
      <c r="J1071" s="31">
        <v>2808</v>
      </c>
      <c r="K1071" s="69">
        <f t="shared" si="59"/>
        <v>0</v>
      </c>
      <c r="L1071" s="50"/>
      <c r="M1071" s="109"/>
      <c r="N1071" s="110"/>
    </row>
    <row r="1072" spans="1:14" ht="15" hidden="1" thickBot="1" x14ac:dyDescent="0.35">
      <c r="A1072" s="14">
        <v>192</v>
      </c>
      <c r="B1072" s="14" t="s">
        <v>819</v>
      </c>
      <c r="C1072" s="20" t="s">
        <v>668</v>
      </c>
      <c r="D1072" s="14" t="s">
        <v>510</v>
      </c>
      <c r="E1072" s="15" t="s">
        <v>502</v>
      </c>
      <c r="F1072" s="15">
        <v>1</v>
      </c>
      <c r="G1072" s="16">
        <f t="shared" si="57"/>
        <v>240</v>
      </c>
      <c r="H1072" s="16">
        <v>360</v>
      </c>
      <c r="I1072" s="16">
        <f t="shared" si="58"/>
        <v>0</v>
      </c>
      <c r="J1072" s="31">
        <v>360</v>
      </c>
      <c r="K1072" s="69">
        <f t="shared" si="59"/>
        <v>0</v>
      </c>
      <c r="L1072" s="50">
        <v>120</v>
      </c>
      <c r="M1072" s="109">
        <v>120</v>
      </c>
      <c r="N1072" s="110"/>
    </row>
    <row r="1073" spans="1:15" ht="15" hidden="1" thickBot="1" x14ac:dyDescent="0.35">
      <c r="A1073" s="14">
        <v>192</v>
      </c>
      <c r="B1073" s="14" t="s">
        <v>819</v>
      </c>
      <c r="C1073" s="20" t="s">
        <v>668</v>
      </c>
      <c r="D1073" s="14" t="s">
        <v>638</v>
      </c>
      <c r="E1073" s="15" t="s">
        <v>509</v>
      </c>
      <c r="F1073" s="15">
        <v>3</v>
      </c>
      <c r="G1073" s="16">
        <f t="shared" ref="G1073:G1136" si="60">H1073-M1073</f>
        <v>13955</v>
      </c>
      <c r="H1073" s="16">
        <v>13955</v>
      </c>
      <c r="I1073" s="16">
        <f t="shared" si="58"/>
        <v>0</v>
      </c>
      <c r="J1073" s="31">
        <v>13955</v>
      </c>
      <c r="K1073" s="69">
        <f t="shared" si="59"/>
        <v>0</v>
      </c>
      <c r="L1073" s="50"/>
      <c r="M1073" s="109"/>
      <c r="N1073" s="110">
        <v>0.95</v>
      </c>
    </row>
    <row r="1074" spans="1:15" ht="15" hidden="1" thickBot="1" x14ac:dyDescent="0.35">
      <c r="A1074" s="14">
        <v>192</v>
      </c>
      <c r="B1074" s="14" t="s">
        <v>819</v>
      </c>
      <c r="C1074" s="20" t="s">
        <v>668</v>
      </c>
      <c r="D1074" s="14" t="s">
        <v>1831</v>
      </c>
      <c r="E1074" s="15" t="s">
        <v>504</v>
      </c>
      <c r="F1074" s="15">
        <v>1</v>
      </c>
      <c r="G1074" s="16">
        <f t="shared" si="60"/>
        <v>7236</v>
      </c>
      <c r="H1074" s="16">
        <v>7236</v>
      </c>
      <c r="I1074" s="16">
        <f t="shared" si="58"/>
        <v>0</v>
      </c>
      <c r="J1074" s="31">
        <v>7236</v>
      </c>
      <c r="K1074" s="69">
        <f t="shared" si="59"/>
        <v>0</v>
      </c>
      <c r="L1074" s="50"/>
      <c r="M1074" s="109"/>
      <c r="N1074" s="110"/>
    </row>
    <row r="1075" spans="1:15" ht="15" hidden="1" thickBot="1" x14ac:dyDescent="0.35">
      <c r="A1075" s="14">
        <v>193</v>
      </c>
      <c r="B1075" s="14" t="s">
        <v>821</v>
      </c>
      <c r="C1075" s="14" t="s">
        <v>668</v>
      </c>
      <c r="D1075" s="14" t="s">
        <v>614</v>
      </c>
      <c r="E1075" s="15" t="s">
        <v>503</v>
      </c>
      <c r="F1075" s="15">
        <v>3</v>
      </c>
      <c r="G1075" s="16">
        <f t="shared" si="60"/>
        <v>29434</v>
      </c>
      <c r="H1075" s="16">
        <v>29634</v>
      </c>
      <c r="I1075" s="16">
        <f t="shared" si="58"/>
        <v>0</v>
      </c>
      <c r="J1075" s="31">
        <v>29634</v>
      </c>
      <c r="K1075" s="69">
        <f t="shared" ref="K1075:K1138" si="61">M1075-L1075</f>
        <v>0</v>
      </c>
      <c r="L1075" s="50">
        <v>200</v>
      </c>
      <c r="M1075" s="109">
        <v>200</v>
      </c>
      <c r="N1075" s="110"/>
    </row>
    <row r="1076" spans="1:15" ht="15" hidden="1" thickBot="1" x14ac:dyDescent="0.35">
      <c r="A1076" s="14">
        <v>194</v>
      </c>
      <c r="B1076" s="14" t="s">
        <v>822</v>
      </c>
      <c r="C1076" s="14" t="s">
        <v>668</v>
      </c>
      <c r="D1076" s="14" t="s">
        <v>530</v>
      </c>
      <c r="E1076" s="15" t="s">
        <v>500</v>
      </c>
      <c r="F1076" s="15"/>
      <c r="G1076" s="16">
        <f t="shared" si="60"/>
        <v>4810</v>
      </c>
      <c r="H1076" s="16">
        <v>5110</v>
      </c>
      <c r="I1076" s="16">
        <f t="shared" si="58"/>
        <v>0</v>
      </c>
      <c r="J1076" s="31">
        <v>5110</v>
      </c>
      <c r="K1076" s="69">
        <f t="shared" si="61"/>
        <v>0</v>
      </c>
      <c r="L1076" s="50">
        <v>300</v>
      </c>
      <c r="M1076" s="109">
        <v>300</v>
      </c>
      <c r="N1076" s="110"/>
    </row>
    <row r="1077" spans="1:15" ht="15" hidden="1" thickBot="1" x14ac:dyDescent="0.35">
      <c r="A1077" s="14">
        <v>194</v>
      </c>
      <c r="B1077" s="14" t="s">
        <v>822</v>
      </c>
      <c r="C1077" s="14" t="s">
        <v>668</v>
      </c>
      <c r="D1077" s="14" t="s">
        <v>767</v>
      </c>
      <c r="E1077" s="15" t="s">
        <v>500</v>
      </c>
      <c r="F1077" s="15"/>
      <c r="G1077" s="16">
        <f t="shared" si="60"/>
        <v>7800</v>
      </c>
      <c r="H1077" s="16">
        <v>8100</v>
      </c>
      <c r="I1077" s="16">
        <f t="shared" ref="I1077:I1140" si="62">J1077-H1077</f>
        <v>0</v>
      </c>
      <c r="J1077" s="31">
        <v>8100</v>
      </c>
      <c r="K1077" s="69">
        <f t="shared" si="61"/>
        <v>0</v>
      </c>
      <c r="L1077" s="50">
        <v>300</v>
      </c>
      <c r="M1077" s="109">
        <v>300</v>
      </c>
      <c r="N1077" s="110"/>
    </row>
    <row r="1078" spans="1:15" ht="15" hidden="1" thickBot="1" x14ac:dyDescent="0.35">
      <c r="A1078" s="14">
        <v>194</v>
      </c>
      <c r="B1078" s="14" t="s">
        <v>822</v>
      </c>
      <c r="C1078" s="14" t="s">
        <v>668</v>
      </c>
      <c r="D1078" s="14" t="s">
        <v>806</v>
      </c>
      <c r="E1078" s="15" t="s">
        <v>506</v>
      </c>
      <c r="F1078" s="15">
        <v>4</v>
      </c>
      <c r="G1078" s="16">
        <f t="shared" si="60"/>
        <v>9584</v>
      </c>
      <c r="H1078" s="16">
        <v>9709</v>
      </c>
      <c r="I1078" s="16">
        <f t="shared" si="62"/>
        <v>0</v>
      </c>
      <c r="J1078" s="31">
        <v>9709</v>
      </c>
      <c r="K1078" s="69">
        <f t="shared" si="61"/>
        <v>0</v>
      </c>
      <c r="L1078" s="50">
        <v>125</v>
      </c>
      <c r="M1078" s="109">
        <v>125</v>
      </c>
      <c r="N1078" s="110"/>
    </row>
    <row r="1079" spans="1:15" ht="15" hidden="1" thickBot="1" x14ac:dyDescent="0.35">
      <c r="A1079" s="14">
        <v>194</v>
      </c>
      <c r="B1079" s="14" t="s">
        <v>822</v>
      </c>
      <c r="C1079" s="14" t="s">
        <v>668</v>
      </c>
      <c r="D1079" s="14" t="s">
        <v>1831</v>
      </c>
      <c r="E1079" s="15" t="s">
        <v>504</v>
      </c>
      <c r="F1079" s="15">
        <v>2</v>
      </c>
      <c r="G1079" s="16">
        <f t="shared" si="60"/>
        <v>4980</v>
      </c>
      <c r="H1079" s="16">
        <v>5580</v>
      </c>
      <c r="I1079" s="16">
        <f t="shared" si="62"/>
        <v>0</v>
      </c>
      <c r="J1079" s="31">
        <v>5580</v>
      </c>
      <c r="K1079" s="69">
        <f t="shared" si="61"/>
        <v>0</v>
      </c>
      <c r="L1079" s="50">
        <v>600</v>
      </c>
      <c r="M1079" s="109">
        <v>600</v>
      </c>
      <c r="N1079" s="110">
        <v>0.72</v>
      </c>
    </row>
    <row r="1080" spans="1:15" ht="15" hidden="1" thickBot="1" x14ac:dyDescent="0.35">
      <c r="A1080" s="14">
        <v>194</v>
      </c>
      <c r="B1080" s="14" t="s">
        <v>822</v>
      </c>
      <c r="C1080" s="14" t="s">
        <v>668</v>
      </c>
      <c r="D1080" s="14" t="s">
        <v>637</v>
      </c>
      <c r="E1080" s="15"/>
      <c r="F1080" s="15"/>
      <c r="G1080" s="16">
        <f t="shared" si="60"/>
        <v>11400</v>
      </c>
      <c r="H1080" s="16">
        <v>13800</v>
      </c>
      <c r="I1080" s="16">
        <f t="shared" si="62"/>
        <v>0</v>
      </c>
      <c r="J1080" s="31">
        <v>13800</v>
      </c>
      <c r="K1080" s="69">
        <f t="shared" si="61"/>
        <v>0</v>
      </c>
      <c r="L1080" s="50">
        <v>2400</v>
      </c>
      <c r="M1080" s="109">
        <v>2400</v>
      </c>
      <c r="N1080" s="110"/>
    </row>
    <row r="1081" spans="1:15" ht="15" hidden="1" thickBot="1" x14ac:dyDescent="0.35">
      <c r="A1081" s="14">
        <v>194</v>
      </c>
      <c r="B1081" s="14" t="s">
        <v>822</v>
      </c>
      <c r="C1081" s="14" t="s">
        <v>668</v>
      </c>
      <c r="D1081" s="14" t="s">
        <v>529</v>
      </c>
      <c r="E1081" s="15" t="s">
        <v>500</v>
      </c>
      <c r="F1081" s="15">
        <v>2</v>
      </c>
      <c r="G1081" s="16">
        <f t="shared" si="60"/>
        <v>5133</v>
      </c>
      <c r="H1081" s="16">
        <v>5913</v>
      </c>
      <c r="I1081" s="16">
        <f t="shared" si="62"/>
        <v>0</v>
      </c>
      <c r="J1081" s="31">
        <v>5913</v>
      </c>
      <c r="K1081" s="69">
        <f t="shared" si="61"/>
        <v>0</v>
      </c>
      <c r="L1081" s="50">
        <v>780</v>
      </c>
      <c r="M1081" s="109">
        <v>780</v>
      </c>
      <c r="N1081" s="110">
        <v>0.81</v>
      </c>
    </row>
    <row r="1082" spans="1:15" ht="15" hidden="1" thickBot="1" x14ac:dyDescent="0.35">
      <c r="A1082" s="14">
        <v>195</v>
      </c>
      <c r="B1082" s="14" t="s">
        <v>823</v>
      </c>
      <c r="C1082" s="14" t="s">
        <v>668</v>
      </c>
      <c r="D1082" s="14" t="s">
        <v>1832</v>
      </c>
      <c r="E1082" s="15" t="s">
        <v>499</v>
      </c>
      <c r="F1082" s="15">
        <v>5</v>
      </c>
      <c r="G1082" s="16">
        <f t="shared" si="60"/>
        <v>11242</v>
      </c>
      <c r="H1082" s="16">
        <v>11242</v>
      </c>
      <c r="I1082" s="161">
        <f t="shared" si="62"/>
        <v>0</v>
      </c>
      <c r="J1082" s="31">
        <v>11242</v>
      </c>
      <c r="K1082" s="69">
        <f t="shared" si="61"/>
        <v>0</v>
      </c>
      <c r="L1082" s="50"/>
      <c r="M1082" s="109"/>
      <c r="N1082" s="110"/>
    </row>
    <row r="1083" spans="1:15" ht="15" hidden="1" thickBot="1" x14ac:dyDescent="0.35">
      <c r="A1083" s="14">
        <v>195</v>
      </c>
      <c r="B1083" s="14" t="s">
        <v>823</v>
      </c>
      <c r="C1083" s="14" t="s">
        <v>668</v>
      </c>
      <c r="D1083" s="14" t="s">
        <v>519</v>
      </c>
      <c r="E1083" s="15" t="s">
        <v>503</v>
      </c>
      <c r="F1083" s="15">
        <v>4</v>
      </c>
      <c r="G1083" s="16">
        <f t="shared" si="60"/>
        <v>22094</v>
      </c>
      <c r="H1083" s="16">
        <v>22094</v>
      </c>
      <c r="I1083" s="161">
        <f t="shared" si="62"/>
        <v>0</v>
      </c>
      <c r="J1083" s="31">
        <v>22094</v>
      </c>
      <c r="K1083" s="69">
        <f t="shared" si="61"/>
        <v>0</v>
      </c>
      <c r="L1083" s="50"/>
      <c r="M1083" s="109"/>
      <c r="N1083" s="110"/>
    </row>
    <row r="1084" spans="1:15" ht="15" hidden="1" thickBot="1" x14ac:dyDescent="0.35">
      <c r="A1084" s="14">
        <v>195</v>
      </c>
      <c r="B1084" s="14" t="s">
        <v>823</v>
      </c>
      <c r="C1084" s="14" t="s">
        <v>668</v>
      </c>
      <c r="D1084" s="14" t="s">
        <v>511</v>
      </c>
      <c r="E1084" s="15" t="s">
        <v>503</v>
      </c>
      <c r="F1084" s="15">
        <v>4</v>
      </c>
      <c r="G1084" s="16">
        <f t="shared" si="60"/>
        <v>-11526</v>
      </c>
      <c r="H1084" s="16">
        <v>10384</v>
      </c>
      <c r="I1084" s="161">
        <f t="shared" si="62"/>
        <v>0</v>
      </c>
      <c r="J1084" s="31">
        <v>10384</v>
      </c>
      <c r="K1084" s="162">
        <f t="shared" si="61"/>
        <v>0</v>
      </c>
      <c r="L1084" s="50">
        <v>21910</v>
      </c>
      <c r="M1084" s="109">
        <v>21910</v>
      </c>
      <c r="N1084" s="110"/>
      <c r="O1084" s="163" t="s">
        <v>1411</v>
      </c>
    </row>
    <row r="1085" spans="1:15" ht="15" hidden="1" thickBot="1" x14ac:dyDescent="0.35">
      <c r="A1085" s="14">
        <v>195</v>
      </c>
      <c r="B1085" s="14" t="s">
        <v>823</v>
      </c>
      <c r="C1085" s="14" t="s">
        <v>668</v>
      </c>
      <c r="D1085" s="14" t="s">
        <v>720</v>
      </c>
      <c r="E1085" s="15" t="s">
        <v>508</v>
      </c>
      <c r="F1085" s="15">
        <v>5</v>
      </c>
      <c r="G1085" s="16">
        <f t="shared" si="60"/>
        <v>12409.5</v>
      </c>
      <c r="H1085" s="16">
        <v>12409.5</v>
      </c>
      <c r="I1085" s="161">
        <f t="shared" si="62"/>
        <v>0</v>
      </c>
      <c r="J1085" s="31">
        <v>12409.5</v>
      </c>
      <c r="K1085" s="69">
        <f t="shared" si="61"/>
        <v>0</v>
      </c>
      <c r="L1085" s="50"/>
      <c r="M1085" s="109"/>
      <c r="N1085" s="110"/>
    </row>
    <row r="1086" spans="1:15" ht="15" hidden="1" thickBot="1" x14ac:dyDescent="0.35">
      <c r="A1086" s="14">
        <v>195</v>
      </c>
      <c r="B1086" s="14" t="s">
        <v>823</v>
      </c>
      <c r="C1086" s="14" t="s">
        <v>668</v>
      </c>
      <c r="D1086" s="14" t="s">
        <v>523</v>
      </c>
      <c r="E1086" s="15" t="s">
        <v>508</v>
      </c>
      <c r="F1086" s="15">
        <v>2</v>
      </c>
      <c r="G1086" s="16">
        <f t="shared" si="60"/>
        <v>13025</v>
      </c>
      <c r="H1086" s="16">
        <v>13025</v>
      </c>
      <c r="I1086" s="161">
        <f t="shared" si="62"/>
        <v>0</v>
      </c>
      <c r="J1086" s="31">
        <v>13025</v>
      </c>
      <c r="K1086" s="69">
        <f t="shared" si="61"/>
        <v>0</v>
      </c>
      <c r="L1086" s="50"/>
      <c r="M1086" s="109"/>
      <c r="N1086" s="110"/>
    </row>
    <row r="1087" spans="1:15" ht="15" hidden="1" thickBot="1" x14ac:dyDescent="0.35">
      <c r="A1087" s="14">
        <v>195</v>
      </c>
      <c r="B1087" s="14" t="s">
        <v>823</v>
      </c>
      <c r="C1087" s="14" t="s">
        <v>668</v>
      </c>
      <c r="D1087" s="14" t="s">
        <v>614</v>
      </c>
      <c r="E1087" s="15" t="s">
        <v>499</v>
      </c>
      <c r="F1087" s="15">
        <v>3</v>
      </c>
      <c r="G1087" s="16">
        <f t="shared" si="60"/>
        <v>29634.3</v>
      </c>
      <c r="H1087" s="16">
        <v>29634.3</v>
      </c>
      <c r="I1087" s="16">
        <f t="shared" si="62"/>
        <v>0</v>
      </c>
      <c r="J1087" s="31">
        <v>29634.3</v>
      </c>
      <c r="K1087" s="69">
        <f t="shared" si="61"/>
        <v>0</v>
      </c>
      <c r="L1087" s="50"/>
      <c r="M1087" s="109"/>
      <c r="N1087" s="110"/>
    </row>
    <row r="1088" spans="1:15" ht="15" hidden="1" thickBot="1" x14ac:dyDescent="0.35">
      <c r="A1088" s="14">
        <v>196</v>
      </c>
      <c r="B1088" s="14" t="s">
        <v>824</v>
      </c>
      <c r="C1088" s="15" t="s">
        <v>762</v>
      </c>
      <c r="D1088" s="14" t="s">
        <v>708</v>
      </c>
      <c r="E1088" s="15" t="s">
        <v>502</v>
      </c>
      <c r="F1088" s="15"/>
      <c r="G1088" s="16">
        <f t="shared" si="60"/>
        <v>-1500</v>
      </c>
      <c r="H1088" s="16">
        <v>0</v>
      </c>
      <c r="I1088" s="16">
        <f t="shared" si="62"/>
        <v>0</v>
      </c>
      <c r="J1088" s="31">
        <v>0</v>
      </c>
      <c r="K1088" s="69">
        <f t="shared" si="61"/>
        <v>0</v>
      </c>
      <c r="L1088" s="50">
        <v>1500</v>
      </c>
      <c r="M1088" s="109">
        <v>1500</v>
      </c>
      <c r="N1088" s="110"/>
    </row>
    <row r="1089" spans="1:14" ht="15" hidden="1" thickBot="1" x14ac:dyDescent="0.35">
      <c r="A1089" s="14">
        <v>196</v>
      </c>
      <c r="B1089" s="14" t="s">
        <v>824</v>
      </c>
      <c r="C1089" s="15" t="s">
        <v>762</v>
      </c>
      <c r="D1089" s="14" t="s">
        <v>659</v>
      </c>
      <c r="E1089" s="15" t="s">
        <v>502</v>
      </c>
      <c r="F1089" s="15"/>
      <c r="G1089" s="16">
        <f t="shared" si="60"/>
        <v>-6000</v>
      </c>
      <c r="H1089" s="16">
        <v>0</v>
      </c>
      <c r="I1089" s="16">
        <f t="shared" si="62"/>
        <v>0</v>
      </c>
      <c r="J1089" s="31">
        <v>0</v>
      </c>
      <c r="K1089" s="69">
        <f t="shared" si="61"/>
        <v>0</v>
      </c>
      <c r="L1089" s="50">
        <v>6000</v>
      </c>
      <c r="M1089" s="109">
        <v>6000</v>
      </c>
      <c r="N1089" s="110"/>
    </row>
    <row r="1090" spans="1:14" ht="15" hidden="1" thickBot="1" x14ac:dyDescent="0.35">
      <c r="A1090" s="14">
        <v>196</v>
      </c>
      <c r="B1090" s="14" t="s">
        <v>824</v>
      </c>
      <c r="C1090" s="15" t="s">
        <v>762</v>
      </c>
      <c r="D1090" s="14" t="s">
        <v>775</v>
      </c>
      <c r="E1090" s="15" t="s">
        <v>499</v>
      </c>
      <c r="F1090" s="15"/>
      <c r="G1090" s="16">
        <f t="shared" si="60"/>
        <v>-1500</v>
      </c>
      <c r="H1090" s="16">
        <v>0</v>
      </c>
      <c r="I1090" s="16">
        <f t="shared" si="62"/>
        <v>0</v>
      </c>
      <c r="J1090" s="31">
        <v>0</v>
      </c>
      <c r="K1090" s="69">
        <f t="shared" si="61"/>
        <v>0</v>
      </c>
      <c r="L1090" s="50">
        <v>1500</v>
      </c>
      <c r="M1090" s="109">
        <v>1500</v>
      </c>
      <c r="N1090" s="110"/>
    </row>
    <row r="1091" spans="1:14" ht="15" hidden="1" thickBot="1" x14ac:dyDescent="0.35">
      <c r="A1091" s="14">
        <v>196</v>
      </c>
      <c r="B1091" s="14" t="s">
        <v>824</v>
      </c>
      <c r="C1091" s="15" t="s">
        <v>762</v>
      </c>
      <c r="D1091" s="14" t="s">
        <v>510</v>
      </c>
      <c r="E1091" s="15" t="s">
        <v>500</v>
      </c>
      <c r="F1091" s="15"/>
      <c r="G1091" s="16">
        <f t="shared" si="60"/>
        <v>-11000</v>
      </c>
      <c r="H1091" s="16">
        <v>0</v>
      </c>
      <c r="I1091" s="16">
        <f t="shared" si="62"/>
        <v>0</v>
      </c>
      <c r="J1091" s="31">
        <v>0</v>
      </c>
      <c r="K1091" s="69">
        <f t="shared" si="61"/>
        <v>0</v>
      </c>
      <c r="L1091" s="50">
        <v>11000</v>
      </c>
      <c r="M1091" s="109">
        <v>11000</v>
      </c>
      <c r="N1091" s="110"/>
    </row>
    <row r="1092" spans="1:14" ht="15" hidden="1" thickBot="1" x14ac:dyDescent="0.35">
      <c r="A1092" s="14">
        <v>196</v>
      </c>
      <c r="B1092" s="14" t="s">
        <v>824</v>
      </c>
      <c r="C1092" s="15" t="s">
        <v>762</v>
      </c>
      <c r="D1092" s="14" t="s">
        <v>510</v>
      </c>
      <c r="E1092" s="15" t="s">
        <v>502</v>
      </c>
      <c r="F1092" s="15"/>
      <c r="G1092" s="16">
        <f t="shared" si="60"/>
        <v>-10000</v>
      </c>
      <c r="H1092" s="16">
        <v>0</v>
      </c>
      <c r="I1092" s="16">
        <f t="shared" si="62"/>
        <v>0</v>
      </c>
      <c r="J1092" s="31">
        <v>0</v>
      </c>
      <c r="K1092" s="69">
        <f t="shared" si="61"/>
        <v>0</v>
      </c>
      <c r="L1092" s="50">
        <v>10000</v>
      </c>
      <c r="M1092" s="109">
        <v>10000</v>
      </c>
      <c r="N1092" s="110"/>
    </row>
    <row r="1093" spans="1:14" ht="15" hidden="1" thickBot="1" x14ac:dyDescent="0.35">
      <c r="A1093" s="14">
        <v>196</v>
      </c>
      <c r="B1093" s="14" t="s">
        <v>824</v>
      </c>
      <c r="C1093" s="15" t="s">
        <v>762</v>
      </c>
      <c r="D1093" s="14" t="s">
        <v>510</v>
      </c>
      <c r="E1093" s="15" t="s">
        <v>499</v>
      </c>
      <c r="F1093" s="15"/>
      <c r="G1093" s="16">
        <f t="shared" si="60"/>
        <v>-15000</v>
      </c>
      <c r="H1093" s="16">
        <v>0</v>
      </c>
      <c r="I1093" s="16">
        <f t="shared" si="62"/>
        <v>0</v>
      </c>
      <c r="J1093" s="31">
        <v>0</v>
      </c>
      <c r="K1093" s="69">
        <f t="shared" si="61"/>
        <v>0</v>
      </c>
      <c r="L1093" s="50">
        <v>15000</v>
      </c>
      <c r="M1093" s="109">
        <v>15000</v>
      </c>
      <c r="N1093" s="110"/>
    </row>
    <row r="1094" spans="1:14" ht="15" hidden="1" thickBot="1" x14ac:dyDescent="0.35">
      <c r="A1094" s="14">
        <v>196</v>
      </c>
      <c r="B1094" s="14" t="s">
        <v>824</v>
      </c>
      <c r="C1094" s="14" t="s">
        <v>825</v>
      </c>
      <c r="D1094" s="14" t="s">
        <v>614</v>
      </c>
      <c r="E1094" s="15" t="s">
        <v>499</v>
      </c>
      <c r="F1094" s="15"/>
      <c r="G1094" s="16">
        <f t="shared" si="60"/>
        <v>19433</v>
      </c>
      <c r="H1094" s="16">
        <v>19433</v>
      </c>
      <c r="I1094" s="16">
        <f t="shared" si="62"/>
        <v>0</v>
      </c>
      <c r="J1094" s="31">
        <v>19433</v>
      </c>
      <c r="K1094" s="69">
        <f t="shared" si="61"/>
        <v>0</v>
      </c>
      <c r="L1094" s="50"/>
      <c r="M1094" s="109"/>
      <c r="N1094" s="110"/>
    </row>
    <row r="1095" spans="1:14" ht="15" hidden="1" thickBot="1" x14ac:dyDescent="0.35">
      <c r="A1095" s="14">
        <v>196</v>
      </c>
      <c r="B1095" s="14" t="s">
        <v>824</v>
      </c>
      <c r="C1095" s="14" t="s">
        <v>825</v>
      </c>
      <c r="D1095" s="14" t="s">
        <v>775</v>
      </c>
      <c r="E1095" s="15" t="s">
        <v>499</v>
      </c>
      <c r="F1095" s="15"/>
      <c r="G1095" s="16">
        <f t="shared" si="60"/>
        <v>14932</v>
      </c>
      <c r="H1095" s="16">
        <v>14932</v>
      </c>
      <c r="I1095" s="16">
        <f t="shared" si="62"/>
        <v>0</v>
      </c>
      <c r="J1095" s="31">
        <v>14932</v>
      </c>
      <c r="K1095" s="69">
        <f t="shared" si="61"/>
        <v>0</v>
      </c>
      <c r="L1095" s="50"/>
      <c r="M1095" s="109"/>
      <c r="N1095" s="110"/>
    </row>
    <row r="1096" spans="1:14" ht="15" hidden="1" thickBot="1" x14ac:dyDescent="0.35">
      <c r="A1096" s="14">
        <v>196</v>
      </c>
      <c r="B1096" s="14" t="s">
        <v>824</v>
      </c>
      <c r="C1096" s="14" t="s">
        <v>825</v>
      </c>
      <c r="D1096" s="14" t="s">
        <v>659</v>
      </c>
      <c r="E1096" s="15" t="s">
        <v>502</v>
      </c>
      <c r="F1096" s="15"/>
      <c r="G1096" s="16">
        <f t="shared" si="60"/>
        <v>11664</v>
      </c>
      <c r="H1096" s="16">
        <v>11664</v>
      </c>
      <c r="I1096" s="16">
        <f t="shared" si="62"/>
        <v>0</v>
      </c>
      <c r="J1096" s="31">
        <v>11664</v>
      </c>
      <c r="K1096" s="69">
        <f t="shared" si="61"/>
        <v>0</v>
      </c>
      <c r="L1096" s="50"/>
      <c r="M1096" s="109"/>
      <c r="N1096" s="110"/>
    </row>
    <row r="1097" spans="1:14" ht="15" hidden="1" thickBot="1" x14ac:dyDescent="0.35">
      <c r="A1097" s="14">
        <v>196</v>
      </c>
      <c r="B1097" s="14" t="s">
        <v>824</v>
      </c>
      <c r="C1097" s="14" t="s">
        <v>825</v>
      </c>
      <c r="D1097" s="14" t="s">
        <v>523</v>
      </c>
      <c r="E1097" s="15" t="s">
        <v>508</v>
      </c>
      <c r="F1097" s="15"/>
      <c r="G1097" s="16">
        <f t="shared" si="60"/>
        <v>13095</v>
      </c>
      <c r="H1097" s="16">
        <v>13095</v>
      </c>
      <c r="I1097" s="16">
        <f t="shared" si="62"/>
        <v>0</v>
      </c>
      <c r="J1097" s="31">
        <v>13095</v>
      </c>
      <c r="K1097" s="69">
        <f t="shared" si="61"/>
        <v>0</v>
      </c>
      <c r="L1097" s="50"/>
      <c r="M1097" s="109"/>
      <c r="N1097" s="110"/>
    </row>
    <row r="1098" spans="1:14" ht="15" hidden="1" thickBot="1" x14ac:dyDescent="0.35">
      <c r="A1098" s="14">
        <v>196</v>
      </c>
      <c r="B1098" s="14" t="s">
        <v>824</v>
      </c>
      <c r="C1098" s="14" t="s">
        <v>825</v>
      </c>
      <c r="D1098" s="14" t="s">
        <v>555</v>
      </c>
      <c r="E1098" s="15" t="s">
        <v>502</v>
      </c>
      <c r="F1098" s="15"/>
      <c r="G1098" s="16">
        <f t="shared" si="60"/>
        <v>15304</v>
      </c>
      <c r="H1098" s="16">
        <v>15304</v>
      </c>
      <c r="I1098" s="16">
        <f t="shared" si="62"/>
        <v>0</v>
      </c>
      <c r="J1098" s="31">
        <v>15304</v>
      </c>
      <c r="K1098" s="69">
        <f t="shared" si="61"/>
        <v>0</v>
      </c>
      <c r="L1098" s="50"/>
      <c r="M1098" s="109"/>
      <c r="N1098" s="110"/>
    </row>
    <row r="1099" spans="1:14" ht="15" hidden="1" thickBot="1" x14ac:dyDescent="0.35">
      <c r="A1099" s="14">
        <v>197</v>
      </c>
      <c r="B1099" s="14" t="s">
        <v>826</v>
      </c>
      <c r="C1099" s="14" t="s">
        <v>827</v>
      </c>
      <c r="D1099" s="14" t="s">
        <v>530</v>
      </c>
      <c r="E1099" s="15" t="s">
        <v>500</v>
      </c>
      <c r="F1099" s="15"/>
      <c r="G1099" s="16">
        <f t="shared" si="60"/>
        <v>330</v>
      </c>
      <c r="H1099" s="16">
        <v>330</v>
      </c>
      <c r="I1099" s="16">
        <f t="shared" si="62"/>
        <v>0</v>
      </c>
      <c r="J1099" s="31">
        <v>330</v>
      </c>
      <c r="K1099" s="69">
        <f t="shared" si="61"/>
        <v>0</v>
      </c>
      <c r="L1099" s="50"/>
      <c r="M1099" s="109"/>
      <c r="N1099" s="110"/>
    </row>
    <row r="1100" spans="1:14" ht="15" hidden="1" thickBot="1" x14ac:dyDescent="0.35">
      <c r="A1100" s="14">
        <v>197</v>
      </c>
      <c r="B1100" s="14" t="s">
        <v>826</v>
      </c>
      <c r="C1100" s="14" t="s">
        <v>827</v>
      </c>
      <c r="D1100" s="14" t="s">
        <v>529</v>
      </c>
      <c r="E1100" s="15" t="s">
        <v>500</v>
      </c>
      <c r="F1100" s="15"/>
      <c r="G1100" s="16">
        <f t="shared" si="60"/>
        <v>330</v>
      </c>
      <c r="H1100" s="16">
        <v>330</v>
      </c>
      <c r="I1100" s="16">
        <f t="shared" si="62"/>
        <v>0</v>
      </c>
      <c r="J1100" s="31">
        <v>330</v>
      </c>
      <c r="K1100" s="69">
        <f t="shared" si="61"/>
        <v>0</v>
      </c>
      <c r="L1100" s="50"/>
      <c r="M1100" s="109"/>
      <c r="N1100" s="110"/>
    </row>
    <row r="1101" spans="1:14" ht="15" hidden="1" thickBot="1" x14ac:dyDescent="0.35">
      <c r="A1101" s="14">
        <v>197</v>
      </c>
      <c r="B1101" s="14" t="s">
        <v>826</v>
      </c>
      <c r="C1101" s="14" t="s">
        <v>827</v>
      </c>
      <c r="D1101" s="14" t="s">
        <v>806</v>
      </c>
      <c r="E1101" s="15" t="s">
        <v>506</v>
      </c>
      <c r="F1101" s="15"/>
      <c r="G1101" s="16">
        <f t="shared" si="60"/>
        <v>330</v>
      </c>
      <c r="H1101" s="16">
        <v>330</v>
      </c>
      <c r="I1101" s="16">
        <f t="shared" si="62"/>
        <v>0</v>
      </c>
      <c r="J1101" s="31">
        <v>330</v>
      </c>
      <c r="K1101" s="69">
        <f t="shared" si="61"/>
        <v>0</v>
      </c>
      <c r="L1101" s="50"/>
      <c r="M1101" s="109"/>
      <c r="N1101" s="110"/>
    </row>
    <row r="1102" spans="1:14" ht="15" hidden="1" thickBot="1" x14ac:dyDescent="0.35">
      <c r="A1102" s="14">
        <v>198</v>
      </c>
      <c r="B1102" s="14" t="s">
        <v>828</v>
      </c>
      <c r="C1102" s="14" t="s">
        <v>829</v>
      </c>
      <c r="D1102" s="14" t="s">
        <v>497</v>
      </c>
      <c r="E1102" s="15" t="s">
        <v>14</v>
      </c>
      <c r="F1102" s="15"/>
      <c r="G1102" s="16">
        <f t="shared" si="60"/>
        <v>16460</v>
      </c>
      <c r="H1102" s="16">
        <v>16460</v>
      </c>
      <c r="I1102" s="16">
        <f t="shared" si="62"/>
        <v>0</v>
      </c>
      <c r="J1102" s="31">
        <v>16460</v>
      </c>
      <c r="K1102" s="69">
        <f t="shared" si="61"/>
        <v>0</v>
      </c>
      <c r="L1102" s="50"/>
      <c r="M1102" s="109"/>
      <c r="N1102" s="110"/>
    </row>
    <row r="1103" spans="1:14" ht="15" hidden="1" thickBot="1" x14ac:dyDescent="0.35">
      <c r="A1103" s="14">
        <v>198</v>
      </c>
      <c r="B1103" s="14" t="s">
        <v>828</v>
      </c>
      <c r="C1103" s="14" t="s">
        <v>830</v>
      </c>
      <c r="D1103" s="14" t="s">
        <v>831</v>
      </c>
      <c r="E1103" s="15" t="s">
        <v>499</v>
      </c>
      <c r="F1103" s="15"/>
      <c r="G1103" s="16">
        <f t="shared" si="60"/>
        <v>415</v>
      </c>
      <c r="H1103" s="16">
        <v>415</v>
      </c>
      <c r="I1103" s="16">
        <f t="shared" si="62"/>
        <v>0</v>
      </c>
      <c r="J1103" s="31">
        <v>415</v>
      </c>
      <c r="K1103" s="69">
        <f t="shared" si="61"/>
        <v>0</v>
      </c>
      <c r="L1103" s="50"/>
      <c r="M1103" s="109"/>
      <c r="N1103" s="110"/>
    </row>
    <row r="1104" spans="1:14" ht="15" hidden="1" thickBot="1" x14ac:dyDescent="0.35">
      <c r="A1104" s="14">
        <v>198</v>
      </c>
      <c r="B1104" s="14" t="s">
        <v>828</v>
      </c>
      <c r="C1104" s="14" t="s">
        <v>830</v>
      </c>
      <c r="D1104" s="14" t="s">
        <v>832</v>
      </c>
      <c r="E1104" s="15" t="s">
        <v>499</v>
      </c>
      <c r="F1104" s="15"/>
      <c r="G1104" s="16">
        <f t="shared" si="60"/>
        <v>746</v>
      </c>
      <c r="H1104" s="16">
        <v>746</v>
      </c>
      <c r="I1104" s="16">
        <f t="shared" si="62"/>
        <v>0</v>
      </c>
      <c r="J1104" s="31">
        <v>746</v>
      </c>
      <c r="K1104" s="69">
        <f t="shared" si="61"/>
        <v>0</v>
      </c>
      <c r="L1104" s="50"/>
      <c r="M1104" s="109"/>
      <c r="N1104" s="110"/>
    </row>
    <row r="1105" spans="1:14" ht="15" hidden="1" thickBot="1" x14ac:dyDescent="0.35">
      <c r="A1105" s="14">
        <v>198</v>
      </c>
      <c r="B1105" s="14" t="s">
        <v>828</v>
      </c>
      <c r="C1105" s="14" t="s">
        <v>830</v>
      </c>
      <c r="D1105" s="14" t="s">
        <v>833</v>
      </c>
      <c r="E1105" s="15" t="s">
        <v>502</v>
      </c>
      <c r="F1105" s="15"/>
      <c r="G1105" s="16">
        <f t="shared" si="60"/>
        <v>606</v>
      </c>
      <c r="H1105" s="16">
        <v>606</v>
      </c>
      <c r="I1105" s="16">
        <f t="shared" si="62"/>
        <v>0</v>
      </c>
      <c r="J1105" s="31">
        <v>606</v>
      </c>
      <c r="K1105" s="69">
        <f t="shared" si="61"/>
        <v>0</v>
      </c>
      <c r="L1105" s="50"/>
      <c r="M1105" s="109"/>
      <c r="N1105" s="110"/>
    </row>
    <row r="1106" spans="1:14" ht="15" hidden="1" thickBot="1" x14ac:dyDescent="0.35">
      <c r="A1106" s="14">
        <v>198</v>
      </c>
      <c r="B1106" s="14" t="s">
        <v>828</v>
      </c>
      <c r="C1106" s="14" t="s">
        <v>1827</v>
      </c>
      <c r="D1106" s="14" t="s">
        <v>497</v>
      </c>
      <c r="E1106" s="15" t="s">
        <v>14</v>
      </c>
      <c r="F1106" s="15"/>
      <c r="G1106" s="16">
        <f t="shared" si="60"/>
        <v>12010</v>
      </c>
      <c r="H1106" s="16">
        <v>12010</v>
      </c>
      <c r="I1106" s="16">
        <f t="shared" si="62"/>
        <v>0</v>
      </c>
      <c r="J1106" s="31">
        <v>12010</v>
      </c>
      <c r="K1106" s="69">
        <f t="shared" si="61"/>
        <v>0</v>
      </c>
      <c r="L1106" s="50"/>
      <c r="M1106" s="109"/>
      <c r="N1106" s="110"/>
    </row>
    <row r="1107" spans="1:14" ht="15" hidden="1" thickBot="1" x14ac:dyDescent="0.35">
      <c r="A1107" s="14">
        <v>198</v>
      </c>
      <c r="B1107" s="14" t="s">
        <v>828</v>
      </c>
      <c r="C1107" s="14" t="s">
        <v>830</v>
      </c>
      <c r="D1107" s="14" t="s">
        <v>633</v>
      </c>
      <c r="E1107" s="15" t="s">
        <v>499</v>
      </c>
      <c r="F1107" s="15">
        <v>1</v>
      </c>
      <c r="G1107" s="16">
        <f t="shared" si="60"/>
        <v>942</v>
      </c>
      <c r="H1107" s="16">
        <v>942</v>
      </c>
      <c r="I1107" s="16">
        <f t="shared" si="62"/>
        <v>0</v>
      </c>
      <c r="J1107" s="31">
        <v>942</v>
      </c>
      <c r="K1107" s="69">
        <f t="shared" si="61"/>
        <v>0</v>
      </c>
      <c r="L1107" s="50"/>
      <c r="M1107" s="109"/>
      <c r="N1107" s="110"/>
    </row>
    <row r="1108" spans="1:14" ht="15" hidden="1" thickBot="1" x14ac:dyDescent="0.35">
      <c r="A1108" s="14">
        <v>198</v>
      </c>
      <c r="B1108" s="14" t="s">
        <v>828</v>
      </c>
      <c r="C1108" s="14" t="s">
        <v>830</v>
      </c>
      <c r="D1108" s="14" t="s">
        <v>659</v>
      </c>
      <c r="E1108" s="15" t="s">
        <v>502</v>
      </c>
      <c r="F1108" s="15"/>
      <c r="G1108" s="16">
        <f t="shared" si="60"/>
        <v>855</v>
      </c>
      <c r="H1108" s="16">
        <v>855</v>
      </c>
      <c r="I1108" s="16">
        <f t="shared" si="62"/>
        <v>0</v>
      </c>
      <c r="J1108" s="31">
        <v>855</v>
      </c>
      <c r="K1108" s="69">
        <f t="shared" si="61"/>
        <v>0</v>
      </c>
      <c r="L1108" s="50"/>
      <c r="M1108" s="109"/>
      <c r="N1108" s="110"/>
    </row>
    <row r="1109" spans="1:14" ht="15" hidden="1" thickBot="1" x14ac:dyDescent="0.35">
      <c r="A1109" s="14">
        <v>198</v>
      </c>
      <c r="B1109" s="14" t="s">
        <v>828</v>
      </c>
      <c r="C1109" s="14" t="s">
        <v>830</v>
      </c>
      <c r="D1109" s="14" t="s">
        <v>592</v>
      </c>
      <c r="E1109" s="15" t="s">
        <v>506</v>
      </c>
      <c r="F1109" s="15"/>
      <c r="G1109" s="16">
        <f t="shared" si="60"/>
        <v>1659</v>
      </c>
      <c r="H1109" s="16">
        <v>1659</v>
      </c>
      <c r="I1109" s="16">
        <f t="shared" si="62"/>
        <v>0</v>
      </c>
      <c r="J1109" s="31">
        <v>1659</v>
      </c>
      <c r="K1109" s="69">
        <f t="shared" si="61"/>
        <v>0</v>
      </c>
      <c r="L1109" s="50"/>
      <c r="M1109" s="109"/>
      <c r="N1109" s="110"/>
    </row>
    <row r="1110" spans="1:14" ht="15" hidden="1" thickBot="1" x14ac:dyDescent="0.35">
      <c r="A1110" s="14">
        <v>198</v>
      </c>
      <c r="B1110" s="14" t="s">
        <v>828</v>
      </c>
      <c r="C1110" s="14" t="s">
        <v>830</v>
      </c>
      <c r="D1110" s="14" t="s">
        <v>653</v>
      </c>
      <c r="E1110" s="15" t="s">
        <v>512</v>
      </c>
      <c r="F1110" s="15"/>
      <c r="G1110" s="16">
        <f t="shared" si="60"/>
        <v>912</v>
      </c>
      <c r="H1110" s="16">
        <v>912</v>
      </c>
      <c r="I1110" s="16">
        <f t="shared" si="62"/>
        <v>0</v>
      </c>
      <c r="J1110" s="31">
        <v>912</v>
      </c>
      <c r="K1110" s="69">
        <f t="shared" si="61"/>
        <v>0</v>
      </c>
      <c r="L1110" s="50"/>
      <c r="M1110" s="109"/>
      <c r="N1110" s="110"/>
    </row>
    <row r="1111" spans="1:14" ht="15" hidden="1" thickBot="1" x14ac:dyDescent="0.35">
      <c r="A1111" s="14">
        <v>198</v>
      </c>
      <c r="B1111" s="14" t="s">
        <v>828</v>
      </c>
      <c r="C1111" s="14" t="s">
        <v>830</v>
      </c>
      <c r="D1111" s="14" t="s">
        <v>655</v>
      </c>
      <c r="E1111" s="15" t="s">
        <v>504</v>
      </c>
      <c r="F1111" s="15"/>
      <c r="G1111" s="16">
        <f t="shared" si="60"/>
        <v>646</v>
      </c>
      <c r="H1111" s="16">
        <v>646</v>
      </c>
      <c r="I1111" s="16">
        <f t="shared" si="62"/>
        <v>0</v>
      </c>
      <c r="J1111" s="31">
        <v>646</v>
      </c>
      <c r="K1111" s="69">
        <f t="shared" si="61"/>
        <v>0</v>
      </c>
      <c r="L1111" s="50"/>
      <c r="M1111" s="109"/>
      <c r="N1111" s="110"/>
    </row>
    <row r="1112" spans="1:14" ht="15" hidden="1" thickBot="1" x14ac:dyDescent="0.35">
      <c r="A1112" s="14">
        <v>198</v>
      </c>
      <c r="B1112" s="14" t="s">
        <v>828</v>
      </c>
      <c r="C1112" s="14" t="s">
        <v>830</v>
      </c>
      <c r="D1112" s="158" t="s">
        <v>775</v>
      </c>
      <c r="E1112" s="15" t="s">
        <v>499</v>
      </c>
      <c r="F1112" s="15">
        <v>3</v>
      </c>
      <c r="G1112" s="16">
        <f t="shared" si="60"/>
        <v>13154</v>
      </c>
      <c r="H1112" s="16">
        <v>13754</v>
      </c>
      <c r="I1112" s="16">
        <f t="shared" si="62"/>
        <v>0</v>
      </c>
      <c r="J1112" s="31">
        <v>13754</v>
      </c>
      <c r="K1112" s="69">
        <f t="shared" si="61"/>
        <v>0</v>
      </c>
      <c r="L1112" s="50">
        <v>600</v>
      </c>
      <c r="M1112" s="109">
        <v>600</v>
      </c>
      <c r="N1112" s="110"/>
    </row>
    <row r="1113" spans="1:14" ht="15" hidden="1" thickBot="1" x14ac:dyDescent="0.35">
      <c r="A1113" s="14">
        <v>198</v>
      </c>
      <c r="B1113" s="14" t="s">
        <v>828</v>
      </c>
      <c r="C1113" s="14" t="s">
        <v>830</v>
      </c>
      <c r="D1113" s="158" t="s">
        <v>834</v>
      </c>
      <c r="E1113" s="15" t="s">
        <v>508</v>
      </c>
      <c r="F1113" s="15"/>
      <c r="G1113" s="16">
        <f t="shared" si="60"/>
        <v>850</v>
      </c>
      <c r="H1113" s="16">
        <v>850</v>
      </c>
      <c r="I1113" s="16">
        <f t="shared" si="62"/>
        <v>0</v>
      </c>
      <c r="J1113" s="31">
        <v>850</v>
      </c>
      <c r="K1113" s="69">
        <f t="shared" si="61"/>
        <v>0</v>
      </c>
      <c r="L1113" s="50"/>
      <c r="M1113" s="109"/>
      <c r="N1113" s="110"/>
    </row>
    <row r="1114" spans="1:14" ht="15" hidden="1" thickBot="1" x14ac:dyDescent="0.35">
      <c r="A1114" s="14">
        <v>198</v>
      </c>
      <c r="B1114" s="14" t="s">
        <v>828</v>
      </c>
      <c r="C1114" s="14" t="s">
        <v>830</v>
      </c>
      <c r="D1114" s="158" t="s">
        <v>901</v>
      </c>
      <c r="E1114" s="15" t="s">
        <v>499</v>
      </c>
      <c r="F1114" s="15"/>
      <c r="G1114" s="16">
        <f t="shared" si="60"/>
        <v>817</v>
      </c>
      <c r="H1114" s="16">
        <v>817</v>
      </c>
      <c r="I1114" s="16">
        <f t="shared" si="62"/>
        <v>0</v>
      </c>
      <c r="J1114" s="31">
        <v>817</v>
      </c>
      <c r="K1114" s="69">
        <f t="shared" si="61"/>
        <v>0</v>
      </c>
      <c r="L1114" s="50"/>
      <c r="M1114" s="109"/>
      <c r="N1114" s="110"/>
    </row>
    <row r="1115" spans="1:14" ht="15" hidden="1" thickBot="1" x14ac:dyDescent="0.35">
      <c r="A1115" s="14">
        <v>198</v>
      </c>
      <c r="B1115" s="14" t="s">
        <v>828</v>
      </c>
      <c r="C1115" s="14" t="s">
        <v>830</v>
      </c>
      <c r="D1115" s="158" t="s">
        <v>614</v>
      </c>
      <c r="E1115" s="15" t="s">
        <v>499</v>
      </c>
      <c r="F1115" s="15">
        <v>5</v>
      </c>
      <c r="G1115" s="16">
        <f t="shared" si="60"/>
        <v>51539</v>
      </c>
      <c r="H1115" s="16">
        <v>52729</v>
      </c>
      <c r="I1115" s="16">
        <f t="shared" si="62"/>
        <v>0</v>
      </c>
      <c r="J1115" s="31">
        <v>52729</v>
      </c>
      <c r="K1115" s="69">
        <f t="shared" si="61"/>
        <v>0</v>
      </c>
      <c r="L1115" s="50">
        <v>1190</v>
      </c>
      <c r="M1115" s="109">
        <v>1190</v>
      </c>
      <c r="N1115" s="110">
        <v>0.97</v>
      </c>
    </row>
    <row r="1116" spans="1:14" ht="15" hidden="1" thickBot="1" x14ac:dyDescent="0.35">
      <c r="A1116" s="14">
        <v>198</v>
      </c>
      <c r="B1116" s="14" t="s">
        <v>828</v>
      </c>
      <c r="C1116" s="14" t="s">
        <v>830</v>
      </c>
      <c r="D1116" s="158" t="s">
        <v>652</v>
      </c>
      <c r="E1116" s="15" t="s">
        <v>499</v>
      </c>
      <c r="F1116" s="15"/>
      <c r="G1116" s="16">
        <f t="shared" si="60"/>
        <v>817</v>
      </c>
      <c r="H1116" s="16">
        <v>817</v>
      </c>
      <c r="I1116" s="16">
        <f t="shared" si="62"/>
        <v>0</v>
      </c>
      <c r="J1116" s="31">
        <v>817</v>
      </c>
      <c r="K1116" s="69">
        <f t="shared" si="61"/>
        <v>0</v>
      </c>
      <c r="L1116" s="50"/>
      <c r="M1116" s="109"/>
      <c r="N1116" s="110"/>
    </row>
    <row r="1117" spans="1:14" ht="15" hidden="1" thickBot="1" x14ac:dyDescent="0.35">
      <c r="A1117" s="14">
        <v>198</v>
      </c>
      <c r="B1117" s="14" t="s">
        <v>828</v>
      </c>
      <c r="C1117" s="14" t="s">
        <v>830</v>
      </c>
      <c r="D1117" s="158" t="s">
        <v>835</v>
      </c>
      <c r="E1117" s="15" t="s">
        <v>504</v>
      </c>
      <c r="F1117" s="15"/>
      <c r="G1117" s="16">
        <f t="shared" si="60"/>
        <v>699</v>
      </c>
      <c r="H1117" s="16">
        <v>699</v>
      </c>
      <c r="I1117" s="16">
        <f t="shared" si="62"/>
        <v>0</v>
      </c>
      <c r="J1117" s="31">
        <v>699</v>
      </c>
      <c r="K1117" s="69">
        <f t="shared" si="61"/>
        <v>0</v>
      </c>
      <c r="L1117" s="50"/>
      <c r="M1117" s="109"/>
      <c r="N1117" s="110"/>
    </row>
    <row r="1118" spans="1:14" ht="15" hidden="1" thickBot="1" x14ac:dyDescent="0.35">
      <c r="A1118" s="14">
        <v>198</v>
      </c>
      <c r="B1118" s="14" t="s">
        <v>828</v>
      </c>
      <c r="C1118" s="14" t="s">
        <v>830</v>
      </c>
      <c r="D1118" s="158" t="s">
        <v>553</v>
      </c>
      <c r="E1118" s="15" t="s">
        <v>508</v>
      </c>
      <c r="F1118" s="15"/>
      <c r="G1118" s="16">
        <f t="shared" si="60"/>
        <v>1555</v>
      </c>
      <c r="H1118" s="16">
        <v>1555</v>
      </c>
      <c r="I1118" s="16">
        <f t="shared" si="62"/>
        <v>0</v>
      </c>
      <c r="J1118" s="31">
        <v>1555</v>
      </c>
      <c r="K1118" s="69">
        <f t="shared" si="61"/>
        <v>0</v>
      </c>
      <c r="L1118" s="50"/>
      <c r="M1118" s="109"/>
      <c r="N1118" s="110"/>
    </row>
    <row r="1119" spans="1:14" ht="15" hidden="1" thickBot="1" x14ac:dyDescent="0.35">
      <c r="A1119" s="14">
        <v>198</v>
      </c>
      <c r="B1119" s="14" t="s">
        <v>828</v>
      </c>
      <c r="C1119" s="14" t="s">
        <v>830</v>
      </c>
      <c r="D1119" s="158" t="s">
        <v>687</v>
      </c>
      <c r="E1119" s="15" t="s">
        <v>499</v>
      </c>
      <c r="F1119" s="15">
        <v>1</v>
      </c>
      <c r="G1119" s="16">
        <f t="shared" si="60"/>
        <v>942</v>
      </c>
      <c r="H1119" s="16">
        <v>942</v>
      </c>
      <c r="I1119" s="16">
        <f t="shared" si="62"/>
        <v>0</v>
      </c>
      <c r="J1119" s="31">
        <v>942</v>
      </c>
      <c r="K1119" s="69">
        <f t="shared" si="61"/>
        <v>0</v>
      </c>
      <c r="L1119" s="50"/>
      <c r="M1119" s="109"/>
      <c r="N1119" s="110"/>
    </row>
    <row r="1120" spans="1:14" ht="15" hidden="1" thickBot="1" x14ac:dyDescent="0.35">
      <c r="A1120" s="14">
        <v>198</v>
      </c>
      <c r="B1120" s="14" t="s">
        <v>828</v>
      </c>
      <c r="C1120" s="14" t="s">
        <v>830</v>
      </c>
      <c r="D1120" s="158" t="s">
        <v>836</v>
      </c>
      <c r="E1120" s="15" t="s">
        <v>499</v>
      </c>
      <c r="F1120" s="15">
        <v>1</v>
      </c>
      <c r="G1120" s="16">
        <f t="shared" si="60"/>
        <v>942</v>
      </c>
      <c r="H1120" s="16">
        <v>942</v>
      </c>
      <c r="I1120" s="16">
        <f t="shared" si="62"/>
        <v>0</v>
      </c>
      <c r="J1120" s="31">
        <v>942</v>
      </c>
      <c r="K1120" s="69">
        <f t="shared" si="61"/>
        <v>0</v>
      </c>
      <c r="L1120" s="50"/>
      <c r="M1120" s="109"/>
      <c r="N1120" s="110"/>
    </row>
    <row r="1121" spans="1:14" ht="15" hidden="1" thickBot="1" x14ac:dyDescent="0.35">
      <c r="A1121" s="14">
        <v>198</v>
      </c>
      <c r="B1121" s="14" t="s">
        <v>828</v>
      </c>
      <c r="C1121" s="14" t="s">
        <v>830</v>
      </c>
      <c r="D1121" s="158" t="s">
        <v>528</v>
      </c>
      <c r="E1121" s="15" t="s">
        <v>504</v>
      </c>
      <c r="F1121" s="15">
        <v>3</v>
      </c>
      <c r="G1121" s="16">
        <f t="shared" si="60"/>
        <v>34656</v>
      </c>
      <c r="H1121" s="16">
        <v>34656</v>
      </c>
      <c r="I1121" s="16">
        <f t="shared" si="62"/>
        <v>0</v>
      </c>
      <c r="J1121" s="31">
        <v>34656</v>
      </c>
      <c r="K1121" s="69">
        <f t="shared" si="61"/>
        <v>0</v>
      </c>
      <c r="L1121" s="50"/>
      <c r="M1121" s="109"/>
      <c r="N1121" s="110"/>
    </row>
    <row r="1122" spans="1:14" ht="15" hidden="1" thickBot="1" x14ac:dyDescent="0.35">
      <c r="A1122" s="14">
        <v>198</v>
      </c>
      <c r="B1122" s="14" t="s">
        <v>828</v>
      </c>
      <c r="C1122" s="14" t="s">
        <v>830</v>
      </c>
      <c r="D1122" s="158" t="s">
        <v>518</v>
      </c>
      <c r="E1122" s="15" t="s">
        <v>503</v>
      </c>
      <c r="F1122" s="15">
        <v>4</v>
      </c>
      <c r="G1122" s="16">
        <f t="shared" si="60"/>
        <v>9097</v>
      </c>
      <c r="H1122" s="16">
        <v>9097</v>
      </c>
      <c r="I1122" s="16">
        <f t="shared" si="62"/>
        <v>0</v>
      </c>
      <c r="J1122" s="31">
        <v>9097</v>
      </c>
      <c r="K1122" s="69">
        <f t="shared" si="61"/>
        <v>0</v>
      </c>
      <c r="L1122" s="50"/>
      <c r="M1122" s="109"/>
      <c r="N1122" s="110"/>
    </row>
    <row r="1123" spans="1:14" ht="15" hidden="1" thickBot="1" x14ac:dyDescent="0.35">
      <c r="A1123" s="14">
        <v>198</v>
      </c>
      <c r="B1123" s="14" t="s">
        <v>828</v>
      </c>
      <c r="C1123" s="14" t="s">
        <v>830</v>
      </c>
      <c r="D1123" s="158" t="s">
        <v>517</v>
      </c>
      <c r="E1123" s="15" t="s">
        <v>502</v>
      </c>
      <c r="F1123" s="15">
        <v>4</v>
      </c>
      <c r="G1123" s="16">
        <f t="shared" si="60"/>
        <v>16877</v>
      </c>
      <c r="H1123" s="16">
        <v>16877</v>
      </c>
      <c r="I1123" s="16">
        <f t="shared" si="62"/>
        <v>0</v>
      </c>
      <c r="J1123" s="31">
        <v>16877</v>
      </c>
      <c r="K1123" s="69">
        <f t="shared" si="61"/>
        <v>0</v>
      </c>
      <c r="L1123" s="50"/>
      <c r="M1123" s="109"/>
      <c r="N1123" s="110"/>
    </row>
    <row r="1124" spans="1:14" ht="15" hidden="1" thickBot="1" x14ac:dyDescent="0.35">
      <c r="A1124" s="14">
        <v>198</v>
      </c>
      <c r="B1124" s="14" t="s">
        <v>828</v>
      </c>
      <c r="C1124" s="14" t="s">
        <v>830</v>
      </c>
      <c r="D1124" s="158" t="s">
        <v>520</v>
      </c>
      <c r="E1124" s="15" t="s">
        <v>506</v>
      </c>
      <c r="F1124" s="15">
        <v>3</v>
      </c>
      <c r="G1124" s="16">
        <f t="shared" si="60"/>
        <v>6679</v>
      </c>
      <c r="H1124" s="16">
        <v>6679</v>
      </c>
      <c r="I1124" s="16">
        <f t="shared" si="62"/>
        <v>0</v>
      </c>
      <c r="J1124" s="31">
        <v>6679</v>
      </c>
      <c r="K1124" s="69">
        <f t="shared" si="61"/>
        <v>0</v>
      </c>
      <c r="L1124" s="50"/>
      <c r="M1124" s="109"/>
      <c r="N1124" s="110"/>
    </row>
    <row r="1125" spans="1:14" ht="15" hidden="1" thickBot="1" x14ac:dyDescent="0.35">
      <c r="A1125" s="14">
        <v>198</v>
      </c>
      <c r="B1125" s="14" t="s">
        <v>828</v>
      </c>
      <c r="C1125" s="20" t="s">
        <v>837</v>
      </c>
      <c r="D1125" s="14" t="s">
        <v>510</v>
      </c>
      <c r="E1125" s="15" t="s">
        <v>502</v>
      </c>
      <c r="F1125" s="15">
        <v>4</v>
      </c>
      <c r="G1125" s="16">
        <f t="shared" si="60"/>
        <v>47667</v>
      </c>
      <c r="H1125" s="16">
        <v>48987</v>
      </c>
      <c r="I1125" s="16">
        <f t="shared" si="62"/>
        <v>0</v>
      </c>
      <c r="J1125" s="31">
        <v>48987</v>
      </c>
      <c r="K1125" s="69">
        <f t="shared" si="61"/>
        <v>0</v>
      </c>
      <c r="L1125" s="50">
        <v>1320</v>
      </c>
      <c r="M1125" s="109">
        <v>1320</v>
      </c>
      <c r="N1125" s="110" t="s">
        <v>1131</v>
      </c>
    </row>
    <row r="1126" spans="1:14" ht="15" hidden="1" thickBot="1" x14ac:dyDescent="0.35">
      <c r="A1126" s="14">
        <v>198</v>
      </c>
      <c r="B1126" s="14" t="s">
        <v>828</v>
      </c>
      <c r="C1126" s="20" t="s">
        <v>837</v>
      </c>
      <c r="D1126" s="14" t="s">
        <v>510</v>
      </c>
      <c r="E1126" s="15" t="s">
        <v>506</v>
      </c>
      <c r="F1126" s="15">
        <v>4</v>
      </c>
      <c r="G1126" s="16">
        <f t="shared" si="60"/>
        <v>54832</v>
      </c>
      <c r="H1126" s="16">
        <v>54832</v>
      </c>
      <c r="I1126" s="16">
        <f t="shared" si="62"/>
        <v>0</v>
      </c>
      <c r="J1126" s="31">
        <v>54832</v>
      </c>
      <c r="K1126" s="69">
        <f t="shared" si="61"/>
        <v>0</v>
      </c>
      <c r="L1126" s="50"/>
      <c r="M1126" s="109"/>
      <c r="N1126" s="110"/>
    </row>
    <row r="1127" spans="1:14" ht="15" hidden="1" thickBot="1" x14ac:dyDescent="0.35">
      <c r="A1127" s="14">
        <v>198</v>
      </c>
      <c r="B1127" s="14" t="s">
        <v>828</v>
      </c>
      <c r="C1127" s="20" t="s">
        <v>837</v>
      </c>
      <c r="D1127" s="14" t="s">
        <v>757</v>
      </c>
      <c r="E1127" s="15" t="s">
        <v>512</v>
      </c>
      <c r="F1127" s="15">
        <v>4</v>
      </c>
      <c r="G1127" s="16">
        <f t="shared" si="60"/>
        <v>28510</v>
      </c>
      <c r="H1127" s="16">
        <v>28510</v>
      </c>
      <c r="I1127" s="16">
        <f t="shared" si="62"/>
        <v>0</v>
      </c>
      <c r="J1127" s="31">
        <v>28510</v>
      </c>
      <c r="K1127" s="69">
        <f t="shared" si="61"/>
        <v>0</v>
      </c>
      <c r="L1127" s="50"/>
      <c r="M1127" s="109"/>
      <c r="N1127" s="110"/>
    </row>
    <row r="1128" spans="1:14" ht="15" hidden="1" thickBot="1" x14ac:dyDescent="0.35">
      <c r="A1128" s="14">
        <v>198</v>
      </c>
      <c r="B1128" s="14" t="s">
        <v>828</v>
      </c>
      <c r="C1128" s="20" t="s">
        <v>837</v>
      </c>
      <c r="D1128" s="14" t="s">
        <v>525</v>
      </c>
      <c r="E1128" s="15" t="s">
        <v>509</v>
      </c>
      <c r="F1128" s="15">
        <v>3</v>
      </c>
      <c r="G1128" s="16">
        <f t="shared" si="60"/>
        <v>3848</v>
      </c>
      <c r="H1128" s="16">
        <v>3848</v>
      </c>
      <c r="I1128" s="16">
        <f t="shared" si="62"/>
        <v>0</v>
      </c>
      <c r="J1128" s="31">
        <v>3848</v>
      </c>
      <c r="K1128" s="69">
        <f t="shared" si="61"/>
        <v>0</v>
      </c>
      <c r="L1128" s="50"/>
      <c r="M1128" s="109"/>
      <c r="N1128" s="110"/>
    </row>
    <row r="1129" spans="1:14" ht="15" hidden="1" thickBot="1" x14ac:dyDescent="0.35">
      <c r="A1129" s="14">
        <v>198</v>
      </c>
      <c r="B1129" s="14" t="s">
        <v>828</v>
      </c>
      <c r="C1129" s="20" t="s">
        <v>837</v>
      </c>
      <c r="D1129" s="14" t="s">
        <v>526</v>
      </c>
      <c r="E1129" s="15" t="s">
        <v>509</v>
      </c>
      <c r="F1129" s="15">
        <v>3</v>
      </c>
      <c r="G1129" s="16">
        <f t="shared" si="60"/>
        <v>7448</v>
      </c>
      <c r="H1129" s="16">
        <v>7448</v>
      </c>
      <c r="I1129" s="16">
        <f t="shared" si="62"/>
        <v>0</v>
      </c>
      <c r="J1129" s="31">
        <v>7448</v>
      </c>
      <c r="K1129" s="69">
        <f t="shared" si="61"/>
        <v>0</v>
      </c>
      <c r="L1129" s="50"/>
      <c r="M1129" s="109"/>
      <c r="N1129" s="110"/>
    </row>
    <row r="1130" spans="1:14" ht="15" hidden="1" thickBot="1" x14ac:dyDescent="0.35">
      <c r="A1130" s="14">
        <v>198</v>
      </c>
      <c r="B1130" s="14" t="s">
        <v>828</v>
      </c>
      <c r="C1130" s="20" t="s">
        <v>837</v>
      </c>
      <c r="D1130" s="14" t="s">
        <v>516</v>
      </c>
      <c r="E1130" s="15" t="s">
        <v>509</v>
      </c>
      <c r="F1130" s="15">
        <v>3</v>
      </c>
      <c r="G1130" s="16">
        <f t="shared" si="60"/>
        <v>9548</v>
      </c>
      <c r="H1130" s="16">
        <v>9548</v>
      </c>
      <c r="I1130" s="16">
        <f t="shared" si="62"/>
        <v>0</v>
      </c>
      <c r="J1130" s="31">
        <v>9548</v>
      </c>
      <c r="K1130" s="69">
        <f t="shared" si="61"/>
        <v>0</v>
      </c>
      <c r="L1130" s="50"/>
      <c r="M1130" s="109"/>
      <c r="N1130" s="110"/>
    </row>
    <row r="1131" spans="1:14" ht="15" hidden="1" thickBot="1" x14ac:dyDescent="0.35">
      <c r="A1131" s="14">
        <v>198</v>
      </c>
      <c r="B1131" s="14" t="s">
        <v>828</v>
      </c>
      <c r="C1131" s="20" t="s">
        <v>837</v>
      </c>
      <c r="D1131" s="14" t="s">
        <v>698</v>
      </c>
      <c r="E1131" s="15" t="s">
        <v>508</v>
      </c>
      <c r="F1131" s="15">
        <v>3</v>
      </c>
      <c r="G1131" s="16">
        <f t="shared" si="60"/>
        <v>10035.799999999999</v>
      </c>
      <c r="H1131" s="16">
        <v>10035.799999999999</v>
      </c>
      <c r="I1131" s="16">
        <f t="shared" si="62"/>
        <v>0</v>
      </c>
      <c r="J1131" s="31">
        <v>10035.799999999999</v>
      </c>
      <c r="K1131" s="69">
        <f t="shared" si="61"/>
        <v>0</v>
      </c>
      <c r="L1131" s="50"/>
      <c r="M1131" s="109"/>
      <c r="N1131" s="110"/>
    </row>
    <row r="1132" spans="1:14" ht="15" hidden="1" thickBot="1" x14ac:dyDescent="0.35">
      <c r="A1132" s="14">
        <v>198</v>
      </c>
      <c r="B1132" s="14" t="s">
        <v>828</v>
      </c>
      <c r="C1132" s="20" t="s">
        <v>837</v>
      </c>
      <c r="D1132" s="14" t="s">
        <v>532</v>
      </c>
      <c r="E1132" s="15" t="s">
        <v>500</v>
      </c>
      <c r="F1132" s="15">
        <v>3</v>
      </c>
      <c r="G1132" s="16">
        <f t="shared" si="60"/>
        <v>22321</v>
      </c>
      <c r="H1132" s="16">
        <v>22321</v>
      </c>
      <c r="I1132" s="16">
        <f t="shared" si="62"/>
        <v>0</v>
      </c>
      <c r="J1132" s="31">
        <v>22321</v>
      </c>
      <c r="K1132" s="69">
        <f t="shared" si="61"/>
        <v>0</v>
      </c>
      <c r="L1132" s="50"/>
      <c r="M1132" s="109"/>
      <c r="N1132" s="110"/>
    </row>
    <row r="1133" spans="1:14" ht="15" hidden="1" thickBot="1" x14ac:dyDescent="0.35">
      <c r="A1133" s="14">
        <v>198</v>
      </c>
      <c r="B1133" s="14" t="s">
        <v>828</v>
      </c>
      <c r="C1133" s="20" t="s">
        <v>837</v>
      </c>
      <c r="D1133" s="14" t="s">
        <v>529</v>
      </c>
      <c r="E1133" s="15" t="s">
        <v>500</v>
      </c>
      <c r="F1133" s="15">
        <v>3</v>
      </c>
      <c r="G1133" s="16">
        <f t="shared" si="60"/>
        <v>12780</v>
      </c>
      <c r="H1133" s="16">
        <v>12780</v>
      </c>
      <c r="I1133" s="16">
        <f t="shared" si="62"/>
        <v>0</v>
      </c>
      <c r="J1133" s="31">
        <v>12780</v>
      </c>
      <c r="K1133" s="69">
        <f t="shared" si="61"/>
        <v>0</v>
      </c>
      <c r="L1133" s="50"/>
      <c r="M1133" s="109"/>
      <c r="N1133" s="110"/>
    </row>
    <row r="1134" spans="1:14" ht="15" hidden="1" thickBot="1" x14ac:dyDescent="0.35">
      <c r="A1134" s="14">
        <v>198</v>
      </c>
      <c r="B1134" s="14" t="s">
        <v>828</v>
      </c>
      <c r="C1134" s="20" t="s">
        <v>837</v>
      </c>
      <c r="D1134" s="14" t="s">
        <v>521</v>
      </c>
      <c r="E1134" s="15" t="s">
        <v>500</v>
      </c>
      <c r="F1134" s="15">
        <v>2</v>
      </c>
      <c r="G1134" s="16">
        <f t="shared" si="60"/>
        <v>9684</v>
      </c>
      <c r="H1134" s="16">
        <v>9684</v>
      </c>
      <c r="I1134" s="16">
        <f t="shared" si="62"/>
        <v>0</v>
      </c>
      <c r="J1134" s="31">
        <v>9684</v>
      </c>
      <c r="K1134" s="69">
        <f t="shared" si="61"/>
        <v>0</v>
      </c>
      <c r="L1134" s="50"/>
      <c r="M1134" s="109"/>
      <c r="N1134" s="110"/>
    </row>
    <row r="1135" spans="1:14" ht="15" hidden="1" thickBot="1" x14ac:dyDescent="0.35">
      <c r="A1135" s="14">
        <v>198</v>
      </c>
      <c r="B1135" s="14" t="s">
        <v>828</v>
      </c>
      <c r="C1135" s="20" t="s">
        <v>837</v>
      </c>
      <c r="D1135" s="14" t="s">
        <v>614</v>
      </c>
      <c r="E1135" s="15" t="s">
        <v>500</v>
      </c>
      <c r="F1135" s="15">
        <v>2</v>
      </c>
      <c r="G1135" s="16">
        <f t="shared" si="60"/>
        <v>19120</v>
      </c>
      <c r="H1135" s="16">
        <v>19120</v>
      </c>
      <c r="I1135" s="16">
        <f t="shared" si="62"/>
        <v>0</v>
      </c>
      <c r="J1135" s="31">
        <v>19120</v>
      </c>
      <c r="K1135" s="69">
        <f t="shared" si="61"/>
        <v>0</v>
      </c>
      <c r="L1135" s="50"/>
      <c r="M1135" s="109"/>
      <c r="N1135" s="110"/>
    </row>
    <row r="1136" spans="1:14" ht="15" hidden="1" thickBot="1" x14ac:dyDescent="0.35">
      <c r="A1136" s="14">
        <v>198</v>
      </c>
      <c r="B1136" s="14" t="s">
        <v>828</v>
      </c>
      <c r="C1136" s="20" t="s">
        <v>837</v>
      </c>
      <c r="D1136" s="14" t="s">
        <v>614</v>
      </c>
      <c r="E1136" s="15" t="s">
        <v>502</v>
      </c>
      <c r="F1136" s="15">
        <v>7</v>
      </c>
      <c r="G1136" s="16">
        <f t="shared" si="60"/>
        <v>51055</v>
      </c>
      <c r="H1136" s="16">
        <v>53020</v>
      </c>
      <c r="I1136" s="16">
        <f t="shared" si="62"/>
        <v>0</v>
      </c>
      <c r="J1136" s="31">
        <v>53020</v>
      </c>
      <c r="K1136" s="69">
        <f t="shared" si="61"/>
        <v>0</v>
      </c>
      <c r="L1136" s="50">
        <v>1965</v>
      </c>
      <c r="M1136" s="109">
        <v>1965</v>
      </c>
      <c r="N1136" s="110">
        <v>0.97</v>
      </c>
    </row>
    <row r="1137" spans="1:14" ht="15" hidden="1" thickBot="1" x14ac:dyDescent="0.35">
      <c r="A1137" s="14">
        <v>198</v>
      </c>
      <c r="B1137" s="14" t="s">
        <v>828</v>
      </c>
      <c r="C1137" s="20" t="s">
        <v>837</v>
      </c>
      <c r="D1137" s="14" t="s">
        <v>555</v>
      </c>
      <c r="E1137" s="15" t="s">
        <v>502</v>
      </c>
      <c r="F1137" s="15">
        <v>3</v>
      </c>
      <c r="G1137" s="16">
        <f t="shared" ref="G1137:G1203" si="63">H1137-M1137</f>
        <v>13989</v>
      </c>
      <c r="H1137" s="16">
        <v>13989</v>
      </c>
      <c r="I1137" s="16">
        <f t="shared" si="62"/>
        <v>0</v>
      </c>
      <c r="J1137" s="31">
        <v>13989</v>
      </c>
      <c r="K1137" s="69">
        <f t="shared" si="61"/>
        <v>0</v>
      </c>
      <c r="L1137" s="50"/>
      <c r="M1137" s="109"/>
      <c r="N1137" s="110"/>
    </row>
    <row r="1138" spans="1:14" ht="15" hidden="1" thickBot="1" x14ac:dyDescent="0.35">
      <c r="A1138" s="14">
        <v>198</v>
      </c>
      <c r="B1138" s="14" t="s">
        <v>828</v>
      </c>
      <c r="C1138" s="20" t="s">
        <v>837</v>
      </c>
      <c r="D1138" s="14" t="s">
        <v>614</v>
      </c>
      <c r="E1138" s="15" t="s">
        <v>506</v>
      </c>
      <c r="F1138" s="15">
        <v>5</v>
      </c>
      <c r="G1138" s="16">
        <f t="shared" si="63"/>
        <v>49087</v>
      </c>
      <c r="H1138" s="16">
        <v>49087</v>
      </c>
      <c r="I1138" s="16">
        <f t="shared" si="62"/>
        <v>0</v>
      </c>
      <c r="J1138" s="31">
        <v>49087</v>
      </c>
      <c r="K1138" s="69">
        <f t="shared" si="61"/>
        <v>0</v>
      </c>
      <c r="L1138" s="50"/>
      <c r="M1138" s="109"/>
      <c r="N1138" s="110"/>
    </row>
    <row r="1139" spans="1:14" ht="15" hidden="1" thickBot="1" x14ac:dyDescent="0.35">
      <c r="A1139" s="14">
        <v>198</v>
      </c>
      <c r="B1139" s="14" t="s">
        <v>828</v>
      </c>
      <c r="C1139" s="20" t="s">
        <v>837</v>
      </c>
      <c r="D1139" s="14" t="s">
        <v>524</v>
      </c>
      <c r="E1139" s="15" t="s">
        <v>503</v>
      </c>
      <c r="F1139" s="15">
        <v>5</v>
      </c>
      <c r="G1139" s="16">
        <f t="shared" si="63"/>
        <v>156836</v>
      </c>
      <c r="H1139" s="16">
        <v>156836</v>
      </c>
      <c r="I1139" s="16">
        <f t="shared" si="62"/>
        <v>0</v>
      </c>
      <c r="J1139" s="31">
        <v>156836</v>
      </c>
      <c r="K1139" s="69">
        <f t="shared" ref="K1139:K1205" si="64">M1139-L1139</f>
        <v>0</v>
      </c>
      <c r="L1139" s="50"/>
      <c r="M1139" s="109"/>
      <c r="N1139" s="110"/>
    </row>
    <row r="1140" spans="1:14" ht="15" hidden="1" thickBot="1" x14ac:dyDescent="0.35">
      <c r="A1140" s="14">
        <v>198</v>
      </c>
      <c r="B1140" s="14" t="s">
        <v>828</v>
      </c>
      <c r="C1140" s="20" t="s">
        <v>837</v>
      </c>
      <c r="D1140" s="14" t="s">
        <v>614</v>
      </c>
      <c r="E1140" s="15" t="s">
        <v>503</v>
      </c>
      <c r="F1140" s="15">
        <v>6</v>
      </c>
      <c r="G1140" s="16">
        <f t="shared" si="63"/>
        <v>49128</v>
      </c>
      <c r="H1140" s="16">
        <v>49128</v>
      </c>
      <c r="I1140" s="16">
        <f t="shared" si="62"/>
        <v>0</v>
      </c>
      <c r="J1140" s="31">
        <v>49128</v>
      </c>
      <c r="K1140" s="69">
        <f t="shared" si="64"/>
        <v>0</v>
      </c>
      <c r="L1140" s="50"/>
      <c r="M1140" s="109"/>
      <c r="N1140" s="110"/>
    </row>
    <row r="1141" spans="1:14" ht="15" hidden="1" thickBot="1" x14ac:dyDescent="0.35">
      <c r="A1141" s="14">
        <v>198</v>
      </c>
      <c r="B1141" s="14" t="s">
        <v>828</v>
      </c>
      <c r="C1141" s="20" t="s">
        <v>837</v>
      </c>
      <c r="D1141" s="14" t="s">
        <v>519</v>
      </c>
      <c r="E1141" s="15" t="s">
        <v>503</v>
      </c>
      <c r="F1141" s="15">
        <v>3</v>
      </c>
      <c r="G1141" s="16">
        <f t="shared" si="63"/>
        <v>6426</v>
      </c>
      <c r="H1141" s="16">
        <v>6426</v>
      </c>
      <c r="I1141" s="16">
        <f t="shared" ref="I1141:I1212" si="65">J1141-H1141</f>
        <v>0</v>
      </c>
      <c r="J1141" s="31">
        <v>6426</v>
      </c>
      <c r="K1141" s="69">
        <f t="shared" si="64"/>
        <v>0</v>
      </c>
      <c r="L1141" s="50"/>
      <c r="M1141" s="109"/>
      <c r="N1141" s="110"/>
    </row>
    <row r="1142" spans="1:14" ht="15" hidden="1" thickBot="1" x14ac:dyDescent="0.35">
      <c r="A1142" s="14">
        <v>198</v>
      </c>
      <c r="B1142" s="14" t="s">
        <v>828</v>
      </c>
      <c r="C1142" s="20" t="s">
        <v>837</v>
      </c>
      <c r="D1142" s="14" t="s">
        <v>806</v>
      </c>
      <c r="E1142" s="15" t="s">
        <v>506</v>
      </c>
      <c r="F1142" s="15">
        <v>4</v>
      </c>
      <c r="G1142" s="16">
        <f t="shared" si="63"/>
        <v>7780</v>
      </c>
      <c r="H1142" s="16">
        <v>7780</v>
      </c>
      <c r="I1142" s="16">
        <f t="shared" si="65"/>
        <v>0</v>
      </c>
      <c r="J1142" s="31">
        <v>7780</v>
      </c>
      <c r="K1142" s="69">
        <f t="shared" si="64"/>
        <v>0</v>
      </c>
      <c r="L1142" s="50"/>
      <c r="M1142" s="109"/>
      <c r="N1142" s="110"/>
    </row>
    <row r="1143" spans="1:14" ht="15" hidden="1" thickBot="1" x14ac:dyDescent="0.35">
      <c r="A1143" s="14">
        <v>198</v>
      </c>
      <c r="B1143" s="14" t="s">
        <v>828</v>
      </c>
      <c r="C1143" s="20" t="s">
        <v>837</v>
      </c>
      <c r="D1143" s="14" t="s">
        <v>510</v>
      </c>
      <c r="E1143" s="15" t="s">
        <v>499</v>
      </c>
      <c r="F1143" s="15">
        <v>7</v>
      </c>
      <c r="G1143" s="16">
        <f t="shared" si="63"/>
        <v>59723</v>
      </c>
      <c r="H1143" s="16">
        <v>60203</v>
      </c>
      <c r="I1143" s="16">
        <f t="shared" si="65"/>
        <v>0</v>
      </c>
      <c r="J1143" s="31">
        <v>60203</v>
      </c>
      <c r="K1143" s="69">
        <f t="shared" si="64"/>
        <v>0</v>
      </c>
      <c r="L1143" s="50">
        <v>480</v>
      </c>
      <c r="M1143" s="109">
        <v>480</v>
      </c>
      <c r="N1143" s="110">
        <v>0.96</v>
      </c>
    </row>
    <row r="1144" spans="1:14" ht="15" hidden="1" thickBot="1" x14ac:dyDescent="0.35">
      <c r="A1144" s="14">
        <v>198</v>
      </c>
      <c r="B1144" s="14" t="s">
        <v>828</v>
      </c>
      <c r="C1144" s="20" t="s">
        <v>837</v>
      </c>
      <c r="D1144" s="14" t="s">
        <v>513</v>
      </c>
      <c r="E1144" s="15" t="s">
        <v>546</v>
      </c>
      <c r="F1144" s="15">
        <v>3</v>
      </c>
      <c r="G1144" s="16">
        <f t="shared" si="63"/>
        <v>11642</v>
      </c>
      <c r="H1144" s="16">
        <v>11642</v>
      </c>
      <c r="I1144" s="16">
        <f t="shared" si="65"/>
        <v>0</v>
      </c>
      <c r="J1144" s="31">
        <v>11642</v>
      </c>
      <c r="K1144" s="69">
        <f t="shared" si="64"/>
        <v>0</v>
      </c>
      <c r="L1144" s="50"/>
      <c r="M1144" s="109"/>
      <c r="N1144" s="110"/>
    </row>
    <row r="1145" spans="1:14" ht="15" hidden="1" thickBot="1" x14ac:dyDescent="0.35">
      <c r="A1145" s="14">
        <v>198</v>
      </c>
      <c r="B1145" s="14" t="s">
        <v>828</v>
      </c>
      <c r="C1145" s="20" t="s">
        <v>837</v>
      </c>
      <c r="D1145" s="14" t="s">
        <v>657</v>
      </c>
      <c r="E1145" s="15" t="s">
        <v>502</v>
      </c>
      <c r="F1145" s="15">
        <v>1</v>
      </c>
      <c r="G1145" s="16">
        <f t="shared" si="63"/>
        <v>950</v>
      </c>
      <c r="H1145" s="16">
        <v>950</v>
      </c>
      <c r="I1145" s="16">
        <f t="shared" si="65"/>
        <v>0</v>
      </c>
      <c r="J1145" s="31">
        <v>950</v>
      </c>
      <c r="K1145" s="69">
        <f t="shared" si="64"/>
        <v>0</v>
      </c>
      <c r="L1145" s="50"/>
      <c r="M1145" s="109"/>
      <c r="N1145" s="110"/>
    </row>
    <row r="1146" spans="1:14" ht="15" hidden="1" thickBot="1" x14ac:dyDescent="0.35">
      <c r="A1146" s="14">
        <v>198</v>
      </c>
      <c r="B1146" s="14" t="s">
        <v>828</v>
      </c>
      <c r="C1146" s="20" t="s">
        <v>837</v>
      </c>
      <c r="D1146" s="14" t="s">
        <v>654</v>
      </c>
      <c r="E1146" s="15" t="s">
        <v>512</v>
      </c>
      <c r="F1146" s="15">
        <v>1</v>
      </c>
      <c r="G1146" s="16">
        <f t="shared" si="63"/>
        <v>496</v>
      </c>
      <c r="H1146" s="16">
        <v>646</v>
      </c>
      <c r="I1146" s="16">
        <f t="shared" si="65"/>
        <v>0</v>
      </c>
      <c r="J1146" s="31">
        <v>646</v>
      </c>
      <c r="K1146" s="69">
        <f t="shared" si="64"/>
        <v>0</v>
      </c>
      <c r="L1146" s="50">
        <v>150</v>
      </c>
      <c r="M1146" s="109">
        <v>150</v>
      </c>
      <c r="N1146" s="110"/>
    </row>
    <row r="1147" spans="1:14" ht="15" hidden="1" thickBot="1" x14ac:dyDescent="0.35">
      <c r="A1147" s="14">
        <v>198</v>
      </c>
      <c r="B1147" s="14" t="s">
        <v>828</v>
      </c>
      <c r="C1147" s="20" t="s">
        <v>837</v>
      </c>
      <c r="D1147" s="14" t="s">
        <v>637</v>
      </c>
      <c r="E1147" s="15" t="s">
        <v>504</v>
      </c>
      <c r="F1147" s="15">
        <v>5</v>
      </c>
      <c r="G1147" s="16">
        <f t="shared" si="63"/>
        <v>69442</v>
      </c>
      <c r="H1147" s="16">
        <v>69742</v>
      </c>
      <c r="I1147" s="16">
        <f t="shared" si="65"/>
        <v>0</v>
      </c>
      <c r="J1147" s="31">
        <v>69742</v>
      </c>
      <c r="K1147" s="69">
        <f t="shared" si="64"/>
        <v>0</v>
      </c>
      <c r="L1147" s="50">
        <v>300</v>
      </c>
      <c r="M1147" s="109">
        <v>300</v>
      </c>
      <c r="N1147" s="110"/>
    </row>
    <row r="1148" spans="1:14" ht="15" hidden="1" thickBot="1" x14ac:dyDescent="0.35">
      <c r="A1148" s="14">
        <v>198</v>
      </c>
      <c r="B1148" s="14" t="s">
        <v>828</v>
      </c>
      <c r="C1148" s="20" t="s">
        <v>837</v>
      </c>
      <c r="D1148" s="14" t="s">
        <v>673</v>
      </c>
      <c r="E1148" s="15" t="s">
        <v>512</v>
      </c>
      <c r="F1148" s="15">
        <v>1</v>
      </c>
      <c r="G1148" s="16">
        <f t="shared" si="63"/>
        <v>213</v>
      </c>
      <c r="H1148" s="16">
        <v>213</v>
      </c>
      <c r="I1148" s="16">
        <f t="shared" si="65"/>
        <v>0</v>
      </c>
      <c r="J1148" s="31">
        <v>213</v>
      </c>
      <c r="K1148" s="69">
        <f t="shared" si="64"/>
        <v>0</v>
      </c>
      <c r="L1148" s="50"/>
      <c r="M1148" s="109"/>
      <c r="N1148" s="110"/>
    </row>
    <row r="1149" spans="1:14" ht="15" hidden="1" thickBot="1" x14ac:dyDescent="0.35">
      <c r="A1149" s="14">
        <v>198</v>
      </c>
      <c r="B1149" s="14" t="s">
        <v>828</v>
      </c>
      <c r="C1149" s="20" t="s">
        <v>837</v>
      </c>
      <c r="D1149" s="14" t="s">
        <v>507</v>
      </c>
      <c r="E1149" s="15" t="s">
        <v>504</v>
      </c>
      <c r="F1149" s="15">
        <v>3</v>
      </c>
      <c r="G1149" s="16">
        <f t="shared" si="63"/>
        <v>10108</v>
      </c>
      <c r="H1149" s="16">
        <v>10108</v>
      </c>
      <c r="I1149" s="16">
        <f t="shared" si="65"/>
        <v>0</v>
      </c>
      <c r="J1149" s="31">
        <v>10108</v>
      </c>
      <c r="K1149" s="69">
        <f t="shared" si="64"/>
        <v>0</v>
      </c>
      <c r="L1149" s="50"/>
      <c r="M1149" s="109"/>
      <c r="N1149" s="110"/>
    </row>
    <row r="1150" spans="1:14" ht="15" hidden="1" thickBot="1" x14ac:dyDescent="0.35">
      <c r="A1150" s="14">
        <v>198</v>
      </c>
      <c r="B1150" s="14" t="s">
        <v>828</v>
      </c>
      <c r="C1150" s="20" t="s">
        <v>837</v>
      </c>
      <c r="D1150" s="14" t="s">
        <v>530</v>
      </c>
      <c r="E1150" s="15" t="s">
        <v>500</v>
      </c>
      <c r="F1150" s="15">
        <v>2</v>
      </c>
      <c r="G1150" s="16">
        <f t="shared" si="63"/>
        <v>3960</v>
      </c>
      <c r="H1150" s="16">
        <v>3960</v>
      </c>
      <c r="I1150" s="16">
        <f t="shared" si="65"/>
        <v>0</v>
      </c>
      <c r="J1150" s="31">
        <v>3960</v>
      </c>
      <c r="K1150" s="69">
        <f t="shared" si="64"/>
        <v>0</v>
      </c>
      <c r="L1150" s="50"/>
      <c r="M1150" s="109"/>
      <c r="N1150" s="110"/>
    </row>
    <row r="1151" spans="1:14" ht="15" hidden="1" thickBot="1" x14ac:dyDescent="0.35">
      <c r="A1151" s="14">
        <v>198</v>
      </c>
      <c r="B1151" s="14" t="s">
        <v>828</v>
      </c>
      <c r="C1151" s="20" t="s">
        <v>837</v>
      </c>
      <c r="D1151" s="14" t="s">
        <v>527</v>
      </c>
      <c r="E1151" s="15" t="s">
        <v>500</v>
      </c>
      <c r="F1151" s="15">
        <v>3</v>
      </c>
      <c r="G1151" s="16">
        <f t="shared" si="63"/>
        <v>7110</v>
      </c>
      <c r="H1151" s="16">
        <v>7110</v>
      </c>
      <c r="I1151" s="16">
        <f t="shared" si="65"/>
        <v>0</v>
      </c>
      <c r="J1151" s="31">
        <v>7110</v>
      </c>
      <c r="K1151" s="69">
        <f t="shared" si="64"/>
        <v>0</v>
      </c>
      <c r="L1151" s="50"/>
      <c r="M1151" s="109"/>
      <c r="N1151" s="110"/>
    </row>
    <row r="1152" spans="1:14" ht="15" hidden="1" thickBot="1" x14ac:dyDescent="0.35">
      <c r="A1152" s="14">
        <v>198</v>
      </c>
      <c r="B1152" s="14" t="s">
        <v>828</v>
      </c>
      <c r="C1152" s="20" t="s">
        <v>837</v>
      </c>
      <c r="D1152" s="14" t="s">
        <v>761</v>
      </c>
      <c r="E1152" s="15" t="s">
        <v>500</v>
      </c>
      <c r="F1152" s="15">
        <v>1</v>
      </c>
      <c r="G1152" s="16">
        <f t="shared" si="63"/>
        <v>5400</v>
      </c>
      <c r="H1152" s="16">
        <v>5400</v>
      </c>
      <c r="I1152" s="16">
        <f t="shared" si="65"/>
        <v>0</v>
      </c>
      <c r="J1152" s="31">
        <v>5400</v>
      </c>
      <c r="K1152" s="69">
        <f t="shared" si="64"/>
        <v>0</v>
      </c>
      <c r="L1152" s="50"/>
      <c r="M1152" s="109"/>
      <c r="N1152" s="110"/>
    </row>
    <row r="1153" spans="1:14" ht="15" hidden="1" thickBot="1" x14ac:dyDescent="0.35">
      <c r="A1153" s="14">
        <v>198</v>
      </c>
      <c r="B1153" s="14" t="s">
        <v>828</v>
      </c>
      <c r="C1153" s="20" t="s">
        <v>837</v>
      </c>
      <c r="D1153" s="14" t="s">
        <v>760</v>
      </c>
      <c r="E1153" s="15" t="s">
        <v>500</v>
      </c>
      <c r="F1153" s="15">
        <v>1</v>
      </c>
      <c r="G1153" s="16">
        <f t="shared" si="63"/>
        <v>5400</v>
      </c>
      <c r="H1153" s="16">
        <v>5400</v>
      </c>
      <c r="I1153" s="16">
        <f t="shared" si="65"/>
        <v>0</v>
      </c>
      <c r="J1153" s="31">
        <v>5400</v>
      </c>
      <c r="K1153" s="69">
        <f t="shared" si="64"/>
        <v>0</v>
      </c>
      <c r="L1153" s="50"/>
      <c r="M1153" s="109"/>
      <c r="N1153" s="110"/>
    </row>
    <row r="1154" spans="1:14" ht="15" hidden="1" thickBot="1" x14ac:dyDescent="0.35">
      <c r="A1154" s="14">
        <v>198</v>
      </c>
      <c r="B1154" s="14" t="s">
        <v>828</v>
      </c>
      <c r="C1154" s="20" t="s">
        <v>837</v>
      </c>
      <c r="D1154" s="14" t="s">
        <v>1064</v>
      </c>
      <c r="E1154" s="15" t="s">
        <v>503</v>
      </c>
      <c r="F1154" s="15">
        <v>1</v>
      </c>
      <c r="G1154" s="16">
        <f t="shared" si="63"/>
        <v>2584</v>
      </c>
      <c r="H1154" s="16">
        <v>2584</v>
      </c>
      <c r="I1154" s="16">
        <f>J1154-H1154</f>
        <v>0</v>
      </c>
      <c r="J1154" s="31">
        <v>2584</v>
      </c>
      <c r="K1154" s="69">
        <f t="shared" si="64"/>
        <v>0</v>
      </c>
      <c r="L1154" s="50"/>
      <c r="M1154" s="109"/>
      <c r="N1154" s="110"/>
    </row>
    <row r="1155" spans="1:14" ht="15" hidden="1" thickBot="1" x14ac:dyDescent="0.35">
      <c r="A1155" s="14">
        <v>198</v>
      </c>
      <c r="B1155" s="14" t="s">
        <v>828</v>
      </c>
      <c r="C1155" s="20" t="s">
        <v>837</v>
      </c>
      <c r="D1155" s="200" t="s">
        <v>497</v>
      </c>
      <c r="E1155" s="155" t="s">
        <v>14</v>
      </c>
      <c r="F1155" s="155">
        <v>1</v>
      </c>
      <c r="G1155" s="174">
        <f t="shared" si="63"/>
        <v>144000</v>
      </c>
      <c r="H1155" s="174">
        <v>144000</v>
      </c>
      <c r="I1155" s="174">
        <f t="shared" ref="I1155" si="66">J1155-H1155</f>
        <v>0</v>
      </c>
      <c r="J1155" s="31">
        <v>144000</v>
      </c>
      <c r="K1155" s="69">
        <f t="shared" si="64"/>
        <v>0</v>
      </c>
      <c r="L1155" s="50"/>
      <c r="M1155" s="109"/>
      <c r="N1155" s="110"/>
    </row>
    <row r="1156" spans="1:14" ht="15" hidden="1" thickBot="1" x14ac:dyDescent="0.35">
      <c r="A1156" s="14">
        <v>198</v>
      </c>
      <c r="B1156" s="14" t="s">
        <v>828</v>
      </c>
      <c r="C1156" s="20" t="s">
        <v>837</v>
      </c>
      <c r="D1156" s="14" t="s">
        <v>720</v>
      </c>
      <c r="E1156" s="15" t="s">
        <v>508</v>
      </c>
      <c r="F1156" s="15">
        <v>3</v>
      </c>
      <c r="G1156" s="16">
        <f t="shared" si="63"/>
        <v>12635</v>
      </c>
      <c r="H1156" s="16">
        <v>12635</v>
      </c>
      <c r="I1156" s="16">
        <f t="shared" si="65"/>
        <v>0</v>
      </c>
      <c r="J1156" s="31">
        <v>12635</v>
      </c>
      <c r="K1156" s="69">
        <f t="shared" si="64"/>
        <v>0</v>
      </c>
      <c r="L1156" s="50"/>
      <c r="M1156" s="109"/>
      <c r="N1156" s="110"/>
    </row>
    <row r="1157" spans="1:14" ht="15" hidden="1" thickBot="1" x14ac:dyDescent="0.35">
      <c r="A1157" s="14">
        <v>198</v>
      </c>
      <c r="B1157" s="14" t="s">
        <v>828</v>
      </c>
      <c r="C1157" s="20" t="s">
        <v>837</v>
      </c>
      <c r="D1157" s="14" t="s">
        <v>511</v>
      </c>
      <c r="E1157" s="15" t="s">
        <v>503</v>
      </c>
      <c r="F1157" s="15">
        <v>4</v>
      </c>
      <c r="G1157" s="16">
        <f t="shared" si="63"/>
        <v>20306</v>
      </c>
      <c r="H1157" s="16">
        <v>20306</v>
      </c>
      <c r="I1157" s="16">
        <f t="shared" si="65"/>
        <v>0</v>
      </c>
      <c r="J1157" s="31">
        <v>20306</v>
      </c>
      <c r="K1157" s="69">
        <f t="shared" si="64"/>
        <v>0</v>
      </c>
      <c r="L1157" s="50"/>
      <c r="M1157" s="109"/>
      <c r="N1157" s="110"/>
    </row>
    <row r="1158" spans="1:14" ht="15" hidden="1" thickBot="1" x14ac:dyDescent="0.35">
      <c r="A1158" s="14">
        <v>198</v>
      </c>
      <c r="B1158" s="14" t="s">
        <v>828</v>
      </c>
      <c r="C1158" s="20" t="s">
        <v>837</v>
      </c>
      <c r="D1158" s="14" t="s">
        <v>510</v>
      </c>
      <c r="E1158" s="15" t="s">
        <v>503</v>
      </c>
      <c r="F1158" s="15">
        <v>6</v>
      </c>
      <c r="G1158" s="16">
        <f t="shared" si="63"/>
        <v>60042</v>
      </c>
      <c r="H1158" s="16">
        <v>60042</v>
      </c>
      <c r="I1158" s="16">
        <f t="shared" si="65"/>
        <v>0</v>
      </c>
      <c r="J1158" s="31">
        <v>60042</v>
      </c>
      <c r="K1158" s="69">
        <f t="shared" si="64"/>
        <v>0</v>
      </c>
      <c r="L1158" s="50"/>
      <c r="M1158" s="109"/>
      <c r="N1158" s="110"/>
    </row>
    <row r="1159" spans="1:14" ht="15" hidden="1" thickBot="1" x14ac:dyDescent="0.35">
      <c r="A1159" s="14">
        <v>198</v>
      </c>
      <c r="B1159" s="14" t="s">
        <v>828</v>
      </c>
      <c r="C1159" s="20" t="s">
        <v>837</v>
      </c>
      <c r="D1159" s="14" t="s">
        <v>510</v>
      </c>
      <c r="E1159" s="15" t="s">
        <v>508</v>
      </c>
      <c r="F1159" s="15">
        <v>4</v>
      </c>
      <c r="G1159" s="16">
        <f t="shared" si="63"/>
        <v>43700.5</v>
      </c>
      <c r="H1159" s="16">
        <v>44260.5</v>
      </c>
      <c r="I1159" s="16">
        <f t="shared" si="65"/>
        <v>0</v>
      </c>
      <c r="J1159" s="31">
        <v>44260.5</v>
      </c>
      <c r="K1159" s="69">
        <f t="shared" si="64"/>
        <v>0</v>
      </c>
      <c r="L1159" s="50">
        <v>560</v>
      </c>
      <c r="M1159" s="109">
        <v>560</v>
      </c>
      <c r="N1159" s="110"/>
    </row>
    <row r="1160" spans="1:14" ht="15" hidden="1" thickBot="1" x14ac:dyDescent="0.35">
      <c r="A1160" s="14">
        <v>198</v>
      </c>
      <c r="B1160" s="14" t="s">
        <v>828</v>
      </c>
      <c r="C1160" s="20" t="s">
        <v>837</v>
      </c>
      <c r="D1160" s="14" t="s">
        <v>614</v>
      </c>
      <c r="E1160" s="15" t="s">
        <v>508</v>
      </c>
      <c r="F1160" s="15">
        <v>6</v>
      </c>
      <c r="G1160" s="16">
        <f t="shared" si="63"/>
        <v>44095</v>
      </c>
      <c r="H1160" s="16">
        <v>45275</v>
      </c>
      <c r="I1160" s="16">
        <f t="shared" si="65"/>
        <v>0</v>
      </c>
      <c r="J1160" s="31">
        <v>45275</v>
      </c>
      <c r="K1160" s="69">
        <f t="shared" si="64"/>
        <v>0</v>
      </c>
      <c r="L1160" s="50">
        <v>1180</v>
      </c>
      <c r="M1160" s="109">
        <v>1180</v>
      </c>
      <c r="N1160" s="110">
        <v>0.95</v>
      </c>
    </row>
    <row r="1161" spans="1:14" ht="15" hidden="1" thickBot="1" x14ac:dyDescent="0.35">
      <c r="A1161" s="14">
        <v>198</v>
      </c>
      <c r="B1161" s="14" t="s">
        <v>828</v>
      </c>
      <c r="C1161" s="20" t="s">
        <v>837</v>
      </c>
      <c r="D1161" s="14" t="s">
        <v>713</v>
      </c>
      <c r="E1161" s="15" t="s">
        <v>503</v>
      </c>
      <c r="F1161" s="15">
        <v>3</v>
      </c>
      <c r="G1161" s="16">
        <f t="shared" si="63"/>
        <v>9711</v>
      </c>
      <c r="H1161" s="16">
        <v>9711</v>
      </c>
      <c r="I1161" s="16">
        <f t="shared" si="65"/>
        <v>0</v>
      </c>
      <c r="J1161" s="31">
        <v>9711</v>
      </c>
      <c r="K1161" s="69">
        <f t="shared" si="64"/>
        <v>0</v>
      </c>
      <c r="L1161" s="50"/>
      <c r="M1161" s="109"/>
      <c r="N1161" s="110"/>
    </row>
    <row r="1162" spans="1:14" ht="15" hidden="1" thickBot="1" x14ac:dyDescent="0.35">
      <c r="A1162" s="14">
        <v>198</v>
      </c>
      <c r="B1162" s="14" t="s">
        <v>828</v>
      </c>
      <c r="C1162" s="20" t="s">
        <v>837</v>
      </c>
      <c r="D1162" s="14" t="s">
        <v>1627</v>
      </c>
      <c r="E1162" s="15" t="s">
        <v>508</v>
      </c>
      <c r="F1162" s="15">
        <v>3</v>
      </c>
      <c r="G1162" s="16">
        <f t="shared" si="63"/>
        <v>13744.5</v>
      </c>
      <c r="H1162" s="16">
        <v>14944.5</v>
      </c>
      <c r="I1162" s="16">
        <f t="shared" si="65"/>
        <v>0</v>
      </c>
      <c r="J1162" s="31">
        <v>14944.5</v>
      </c>
      <c r="K1162" s="69">
        <f t="shared" si="64"/>
        <v>0</v>
      </c>
      <c r="L1162" s="50">
        <v>1200</v>
      </c>
      <c r="M1162" s="109">
        <v>1200</v>
      </c>
      <c r="N1162" s="110"/>
    </row>
    <row r="1163" spans="1:14" ht="15" hidden="1" thickBot="1" x14ac:dyDescent="0.35">
      <c r="A1163" s="14">
        <v>199</v>
      </c>
      <c r="B1163" s="14" t="s">
        <v>838</v>
      </c>
      <c r="C1163" s="14" t="s">
        <v>940</v>
      </c>
      <c r="D1163" s="14" t="s">
        <v>530</v>
      </c>
      <c r="E1163" s="15" t="s">
        <v>500</v>
      </c>
      <c r="F1163" s="15"/>
      <c r="G1163" s="16">
        <f t="shared" si="63"/>
        <v>8706</v>
      </c>
      <c r="H1163" s="16">
        <v>8706</v>
      </c>
      <c r="I1163" s="16">
        <f t="shared" si="65"/>
        <v>0</v>
      </c>
      <c r="J1163" s="31">
        <v>8706</v>
      </c>
      <c r="K1163" s="69">
        <f t="shared" si="64"/>
        <v>0</v>
      </c>
      <c r="L1163" s="50"/>
      <c r="M1163" s="109"/>
      <c r="N1163" s="110"/>
    </row>
    <row r="1164" spans="1:14" ht="15" hidden="1" thickBot="1" x14ac:dyDescent="0.35">
      <c r="A1164" s="14">
        <v>199</v>
      </c>
      <c r="B1164" s="14" t="s">
        <v>838</v>
      </c>
      <c r="C1164" s="14" t="s">
        <v>940</v>
      </c>
      <c r="D1164" s="14" t="s">
        <v>529</v>
      </c>
      <c r="E1164" s="15" t="s">
        <v>500</v>
      </c>
      <c r="F1164" s="15"/>
      <c r="G1164" s="16">
        <f t="shared" si="63"/>
        <v>8706</v>
      </c>
      <c r="H1164" s="16">
        <v>8706</v>
      </c>
      <c r="I1164" s="16">
        <f t="shared" si="65"/>
        <v>0</v>
      </c>
      <c r="J1164" s="31">
        <v>8706</v>
      </c>
      <c r="K1164" s="69">
        <f t="shared" si="64"/>
        <v>0</v>
      </c>
      <c r="L1164" s="50"/>
      <c r="M1164" s="109"/>
      <c r="N1164" s="110"/>
    </row>
    <row r="1165" spans="1:14" ht="15" hidden="1" thickBot="1" x14ac:dyDescent="0.35">
      <c r="A1165" s="14">
        <v>200</v>
      </c>
      <c r="B1165" s="14" t="s">
        <v>839</v>
      </c>
      <c r="C1165" s="14" t="s">
        <v>940</v>
      </c>
      <c r="D1165" s="14" t="s">
        <v>510</v>
      </c>
      <c r="E1165" s="15" t="s">
        <v>508</v>
      </c>
      <c r="F1165" s="15"/>
      <c r="G1165" s="16">
        <f t="shared" si="63"/>
        <v>5520</v>
      </c>
      <c r="H1165" s="16">
        <v>5520</v>
      </c>
      <c r="I1165" s="16">
        <f t="shared" si="65"/>
        <v>0</v>
      </c>
      <c r="J1165" s="31">
        <v>5520</v>
      </c>
      <c r="K1165" s="69">
        <f t="shared" si="64"/>
        <v>0</v>
      </c>
      <c r="L1165" s="50"/>
      <c r="M1165" s="109"/>
      <c r="N1165" s="110"/>
    </row>
    <row r="1166" spans="1:14" ht="15" hidden="1" thickBot="1" x14ac:dyDescent="0.35">
      <c r="A1166" s="14">
        <v>200</v>
      </c>
      <c r="B1166" s="14" t="s">
        <v>839</v>
      </c>
      <c r="C1166" s="14" t="s">
        <v>940</v>
      </c>
      <c r="D1166" s="14" t="s">
        <v>720</v>
      </c>
      <c r="E1166" s="15" t="s">
        <v>508</v>
      </c>
      <c r="F1166" s="15">
        <v>3</v>
      </c>
      <c r="G1166" s="16">
        <f t="shared" si="63"/>
        <v>9208</v>
      </c>
      <c r="H1166" s="16">
        <v>9208</v>
      </c>
      <c r="I1166" s="16">
        <f t="shared" si="65"/>
        <v>0</v>
      </c>
      <c r="J1166" s="31">
        <v>9208</v>
      </c>
      <c r="K1166" s="69">
        <f t="shared" si="64"/>
        <v>0</v>
      </c>
      <c r="L1166" s="50"/>
      <c r="M1166" s="109"/>
      <c r="N1166" s="110"/>
    </row>
    <row r="1167" spans="1:14" ht="15" hidden="1" thickBot="1" x14ac:dyDescent="0.35">
      <c r="A1167" s="14">
        <v>200</v>
      </c>
      <c r="B1167" s="14" t="s">
        <v>839</v>
      </c>
      <c r="C1167" s="14" t="s">
        <v>940</v>
      </c>
      <c r="D1167" s="14" t="s">
        <v>1627</v>
      </c>
      <c r="E1167" s="15" t="s">
        <v>508</v>
      </c>
      <c r="F1167" s="15">
        <v>2</v>
      </c>
      <c r="G1167" s="16">
        <f t="shared" si="63"/>
        <v>6254</v>
      </c>
      <c r="H1167" s="16">
        <v>6254</v>
      </c>
      <c r="I1167" s="16">
        <f t="shared" si="65"/>
        <v>0</v>
      </c>
      <c r="J1167" s="31">
        <v>6254</v>
      </c>
      <c r="K1167" s="69">
        <f t="shared" si="64"/>
        <v>0</v>
      </c>
      <c r="L1167" s="50"/>
      <c r="M1167" s="109"/>
      <c r="N1167" s="110"/>
    </row>
    <row r="1168" spans="1:14" ht="15" hidden="1" thickBot="1" x14ac:dyDescent="0.35">
      <c r="A1168" s="14">
        <v>200</v>
      </c>
      <c r="B1168" s="14" t="s">
        <v>839</v>
      </c>
      <c r="C1168" s="14" t="s">
        <v>940</v>
      </c>
      <c r="D1168" s="14" t="s">
        <v>523</v>
      </c>
      <c r="E1168" s="15" t="s">
        <v>508</v>
      </c>
      <c r="F1168" s="15">
        <v>6</v>
      </c>
      <c r="G1168" s="16">
        <f t="shared" si="63"/>
        <v>21878</v>
      </c>
      <c r="H1168" s="16">
        <v>23318</v>
      </c>
      <c r="I1168" s="16">
        <f t="shared" si="65"/>
        <v>0</v>
      </c>
      <c r="J1168" s="31">
        <v>23318</v>
      </c>
      <c r="K1168" s="69">
        <f t="shared" si="64"/>
        <v>0</v>
      </c>
      <c r="L1168" s="50">
        <v>1440</v>
      </c>
      <c r="M1168" s="109">
        <v>1440</v>
      </c>
      <c r="N1168" s="110"/>
    </row>
    <row r="1169" spans="1:14" ht="15" hidden="1" thickBot="1" x14ac:dyDescent="0.35">
      <c r="A1169" s="14">
        <v>200</v>
      </c>
      <c r="B1169" s="14" t="s">
        <v>839</v>
      </c>
      <c r="C1169" s="14" t="s">
        <v>940</v>
      </c>
      <c r="D1169" s="14" t="s">
        <v>698</v>
      </c>
      <c r="E1169" s="15" t="s">
        <v>508</v>
      </c>
      <c r="F1169" s="15">
        <v>6</v>
      </c>
      <c r="G1169" s="16">
        <f t="shared" si="63"/>
        <v>25935</v>
      </c>
      <c r="H1169" s="16">
        <v>25935</v>
      </c>
      <c r="I1169" s="16">
        <f t="shared" si="65"/>
        <v>0</v>
      </c>
      <c r="J1169" s="31">
        <v>25935</v>
      </c>
      <c r="K1169" s="69">
        <f t="shared" si="64"/>
        <v>0</v>
      </c>
      <c r="L1169" s="50"/>
      <c r="M1169" s="109"/>
      <c r="N1169" s="110"/>
    </row>
    <row r="1170" spans="1:14" ht="15" hidden="1" thickBot="1" x14ac:dyDescent="0.35">
      <c r="A1170" s="14">
        <v>200</v>
      </c>
      <c r="B1170" s="14" t="s">
        <v>839</v>
      </c>
      <c r="C1170" s="14" t="s">
        <v>940</v>
      </c>
      <c r="D1170" s="14" t="s">
        <v>614</v>
      </c>
      <c r="E1170" s="15" t="s">
        <v>508</v>
      </c>
      <c r="F1170" s="15"/>
      <c r="G1170" s="16">
        <f t="shared" si="63"/>
        <v>3402</v>
      </c>
      <c r="H1170" s="16">
        <v>3402</v>
      </c>
      <c r="I1170" s="16">
        <f t="shared" si="65"/>
        <v>0</v>
      </c>
      <c r="J1170" s="31">
        <v>3402</v>
      </c>
      <c r="K1170" s="69">
        <f t="shared" si="64"/>
        <v>0</v>
      </c>
      <c r="L1170" s="50"/>
      <c r="M1170" s="109"/>
      <c r="N1170" s="110"/>
    </row>
    <row r="1171" spans="1:14" ht="15" hidden="1" customHeight="1" thickBot="1" x14ac:dyDescent="0.35">
      <c r="A1171" s="20">
        <v>201</v>
      </c>
      <c r="B1171" s="15" t="s">
        <v>1074</v>
      </c>
      <c r="C1171" s="15" t="s">
        <v>940</v>
      </c>
      <c r="D1171" s="14" t="s">
        <v>510</v>
      </c>
      <c r="E1171" s="15" t="s">
        <v>499</v>
      </c>
      <c r="F1171" s="15">
        <v>3</v>
      </c>
      <c r="G1171" s="16">
        <f t="shared" si="63"/>
        <v>3735</v>
      </c>
      <c r="H1171" s="16">
        <v>4035</v>
      </c>
      <c r="I1171" s="16">
        <f t="shared" si="65"/>
        <v>0</v>
      </c>
      <c r="J1171" s="31">
        <v>4035</v>
      </c>
      <c r="K1171" s="69">
        <f t="shared" si="64"/>
        <v>0</v>
      </c>
      <c r="L1171" s="50">
        <v>300</v>
      </c>
      <c r="M1171" s="109">
        <v>300</v>
      </c>
      <c r="N1171" s="110">
        <v>1</v>
      </c>
    </row>
    <row r="1172" spans="1:14" ht="15" hidden="1" thickBot="1" x14ac:dyDescent="0.35">
      <c r="A1172" s="20">
        <v>201</v>
      </c>
      <c r="B1172" s="15" t="s">
        <v>1074</v>
      </c>
      <c r="C1172" s="46" t="s">
        <v>1034</v>
      </c>
      <c r="D1172" s="14" t="s">
        <v>510</v>
      </c>
      <c r="E1172" s="15" t="s">
        <v>499</v>
      </c>
      <c r="F1172" s="15">
        <v>3</v>
      </c>
      <c r="G1172" s="16">
        <f t="shared" si="63"/>
        <v>2856</v>
      </c>
      <c r="H1172" s="16">
        <v>3096</v>
      </c>
      <c r="I1172" s="16">
        <f>J1172-H1172</f>
        <v>0</v>
      </c>
      <c r="J1172" s="31">
        <v>3096</v>
      </c>
      <c r="K1172" s="69">
        <f t="shared" si="64"/>
        <v>0</v>
      </c>
      <c r="L1172" s="50">
        <v>240</v>
      </c>
      <c r="M1172" s="109">
        <v>240</v>
      </c>
      <c r="N1172" s="110"/>
    </row>
    <row r="1173" spans="1:14" ht="15" hidden="1" thickBot="1" x14ac:dyDescent="0.35">
      <c r="A1173" s="20">
        <v>201</v>
      </c>
      <c r="B1173" s="15" t="s">
        <v>1074</v>
      </c>
      <c r="C1173" s="46" t="s">
        <v>1034</v>
      </c>
      <c r="D1173" s="14" t="s">
        <v>614</v>
      </c>
      <c r="E1173" s="15" t="s">
        <v>499</v>
      </c>
      <c r="F1173" s="15">
        <v>2</v>
      </c>
      <c r="G1173" s="16">
        <f t="shared" si="63"/>
        <v>5748</v>
      </c>
      <c r="H1173" s="16">
        <v>6228</v>
      </c>
      <c r="I1173" s="16">
        <f>J1173-H1173</f>
        <v>0</v>
      </c>
      <c r="J1173" s="31">
        <v>6228</v>
      </c>
      <c r="K1173" s="69">
        <f t="shared" si="64"/>
        <v>0</v>
      </c>
      <c r="L1173" s="50">
        <v>480</v>
      </c>
      <c r="M1173" s="109">
        <v>480</v>
      </c>
      <c r="N1173" s="110"/>
    </row>
    <row r="1174" spans="1:14" ht="15" hidden="1" thickBot="1" x14ac:dyDescent="0.35">
      <c r="A1174" s="20">
        <v>201</v>
      </c>
      <c r="B1174" s="15" t="s">
        <v>1074</v>
      </c>
      <c r="C1174" s="14" t="s">
        <v>940</v>
      </c>
      <c r="D1174" s="14" t="s">
        <v>614</v>
      </c>
      <c r="E1174" s="15" t="s">
        <v>499</v>
      </c>
      <c r="F1174" s="15">
        <v>6</v>
      </c>
      <c r="G1174" s="16">
        <f t="shared" si="63"/>
        <v>18819</v>
      </c>
      <c r="H1174" s="16">
        <v>19389</v>
      </c>
      <c r="I1174" s="16">
        <f t="shared" si="65"/>
        <v>0</v>
      </c>
      <c r="J1174" s="31">
        <v>19389</v>
      </c>
      <c r="K1174" s="69">
        <f t="shared" si="64"/>
        <v>0</v>
      </c>
      <c r="L1174" s="50">
        <v>570</v>
      </c>
      <c r="M1174" s="109">
        <v>570</v>
      </c>
      <c r="N1174" s="110" t="s">
        <v>1324</v>
      </c>
    </row>
    <row r="1175" spans="1:14" ht="15" hidden="1" thickBot="1" x14ac:dyDescent="0.35">
      <c r="A1175" s="20">
        <v>201</v>
      </c>
      <c r="B1175" s="15" t="s">
        <v>1074</v>
      </c>
      <c r="C1175" s="14" t="s">
        <v>940</v>
      </c>
      <c r="D1175" s="14" t="s">
        <v>985</v>
      </c>
      <c r="E1175" s="15" t="s">
        <v>506</v>
      </c>
      <c r="F1175" s="15">
        <v>1</v>
      </c>
      <c r="G1175" s="16">
        <f t="shared" si="63"/>
        <v>7020</v>
      </c>
      <c r="H1175" s="16">
        <v>7020</v>
      </c>
      <c r="I1175" s="16">
        <f t="shared" si="65"/>
        <v>0</v>
      </c>
      <c r="J1175" s="31">
        <v>7020</v>
      </c>
      <c r="K1175" s="69">
        <f t="shared" si="64"/>
        <v>0</v>
      </c>
      <c r="L1175" s="50">
        <v>0</v>
      </c>
      <c r="M1175" s="109">
        <v>0</v>
      </c>
      <c r="N1175" s="110">
        <v>0.9</v>
      </c>
    </row>
    <row r="1176" spans="1:14" ht="15" hidden="1" thickBot="1" x14ac:dyDescent="0.35">
      <c r="A1176" s="20">
        <v>201</v>
      </c>
      <c r="B1176" s="15" t="s">
        <v>1074</v>
      </c>
      <c r="C1176" s="14" t="s">
        <v>940</v>
      </c>
      <c r="D1176" s="14" t="s">
        <v>1467</v>
      </c>
      <c r="E1176" s="15" t="s">
        <v>506</v>
      </c>
      <c r="F1176" s="15">
        <v>3</v>
      </c>
      <c r="G1176" s="16">
        <f t="shared" si="63"/>
        <v>10080</v>
      </c>
      <c r="H1176" s="16">
        <v>10080</v>
      </c>
      <c r="I1176" s="16">
        <f t="shared" si="65"/>
        <v>0</v>
      </c>
      <c r="J1176" s="31">
        <v>10080</v>
      </c>
      <c r="K1176" s="69">
        <f t="shared" si="64"/>
        <v>0</v>
      </c>
      <c r="L1176" s="50">
        <v>0</v>
      </c>
      <c r="M1176" s="109">
        <v>0</v>
      </c>
      <c r="N1176" s="110">
        <v>0.9</v>
      </c>
    </row>
    <row r="1177" spans="1:14" ht="15" hidden="1" customHeight="1" thickBot="1" x14ac:dyDescent="0.35">
      <c r="A1177" s="20">
        <v>201</v>
      </c>
      <c r="B1177" s="15" t="s">
        <v>1074</v>
      </c>
      <c r="C1177" s="14" t="s">
        <v>940</v>
      </c>
      <c r="D1177" s="14" t="s">
        <v>524</v>
      </c>
      <c r="E1177" s="15" t="s">
        <v>503</v>
      </c>
      <c r="F1177" s="15">
        <v>2</v>
      </c>
      <c r="G1177" s="16">
        <f t="shared" si="63"/>
        <v>8848</v>
      </c>
      <c r="H1177" s="16">
        <v>9348</v>
      </c>
      <c r="I1177" s="16">
        <f t="shared" si="65"/>
        <v>0</v>
      </c>
      <c r="J1177" s="31">
        <v>9348</v>
      </c>
      <c r="K1177" s="69">
        <f t="shared" si="64"/>
        <v>0</v>
      </c>
      <c r="L1177" s="50">
        <v>500</v>
      </c>
      <c r="M1177" s="109">
        <v>500</v>
      </c>
      <c r="N1177" s="110"/>
    </row>
    <row r="1178" spans="1:14" ht="15" hidden="1" thickBot="1" x14ac:dyDescent="0.35">
      <c r="A1178" s="20">
        <v>201</v>
      </c>
      <c r="B1178" s="15" t="s">
        <v>1074</v>
      </c>
      <c r="C1178" s="14" t="s">
        <v>940</v>
      </c>
      <c r="D1178" s="14" t="s">
        <v>1083</v>
      </c>
      <c r="E1178" s="15" t="s">
        <v>509</v>
      </c>
      <c r="F1178" s="15">
        <v>7</v>
      </c>
      <c r="G1178" s="16">
        <f t="shared" si="63"/>
        <v>25272</v>
      </c>
      <c r="H1178" s="16">
        <v>25272</v>
      </c>
      <c r="I1178" s="16">
        <f t="shared" si="65"/>
        <v>0</v>
      </c>
      <c r="J1178" s="32">
        <v>25272</v>
      </c>
      <c r="K1178" s="69">
        <f t="shared" si="64"/>
        <v>0</v>
      </c>
      <c r="L1178" s="71"/>
      <c r="M1178" s="109"/>
      <c r="N1178" s="110">
        <v>0.9</v>
      </c>
    </row>
    <row r="1179" spans="1:14" ht="15" hidden="1" thickBot="1" x14ac:dyDescent="0.35">
      <c r="A1179" s="20">
        <v>201</v>
      </c>
      <c r="B1179" s="15" t="s">
        <v>1074</v>
      </c>
      <c r="C1179" s="14" t="s">
        <v>940</v>
      </c>
      <c r="D1179" s="14" t="s">
        <v>775</v>
      </c>
      <c r="E1179" s="15" t="s">
        <v>499</v>
      </c>
      <c r="F1179" s="15">
        <v>6</v>
      </c>
      <c r="G1179" s="16">
        <f t="shared" si="63"/>
        <v>35576</v>
      </c>
      <c r="H1179" s="16">
        <v>35876</v>
      </c>
      <c r="I1179" s="16">
        <f t="shared" si="65"/>
        <v>0</v>
      </c>
      <c r="J1179" s="31">
        <v>35876</v>
      </c>
      <c r="K1179" s="69">
        <f t="shared" si="64"/>
        <v>0</v>
      </c>
      <c r="L1179" s="50">
        <v>300</v>
      </c>
      <c r="M1179" s="109">
        <v>300</v>
      </c>
      <c r="N1179" s="110"/>
    </row>
    <row r="1180" spans="1:14" ht="15" hidden="1" thickBot="1" x14ac:dyDescent="0.35">
      <c r="A1180" s="14">
        <v>202</v>
      </c>
      <c r="B1180" s="14" t="s">
        <v>840</v>
      </c>
      <c r="C1180" s="14" t="s">
        <v>940</v>
      </c>
      <c r="D1180" s="14" t="s">
        <v>614</v>
      </c>
      <c r="E1180" s="15" t="s">
        <v>503</v>
      </c>
      <c r="F1180" s="15"/>
      <c r="G1180" s="16">
        <f t="shared" si="63"/>
        <v>3346</v>
      </c>
      <c r="H1180" s="16">
        <v>3346</v>
      </c>
      <c r="I1180" s="16">
        <f t="shared" si="65"/>
        <v>0</v>
      </c>
      <c r="J1180" s="31">
        <v>3346</v>
      </c>
      <c r="K1180" s="69">
        <f t="shared" si="64"/>
        <v>0</v>
      </c>
      <c r="L1180" s="50"/>
      <c r="M1180" s="109"/>
      <c r="N1180" s="110"/>
    </row>
    <row r="1181" spans="1:14" ht="15" hidden="1" thickBot="1" x14ac:dyDescent="0.35">
      <c r="A1181" s="14">
        <v>203</v>
      </c>
      <c r="B1181" s="14" t="s">
        <v>465</v>
      </c>
      <c r="C1181" s="14" t="s">
        <v>940</v>
      </c>
      <c r="D1181" s="14" t="s">
        <v>614</v>
      </c>
      <c r="E1181" s="15" t="s">
        <v>506</v>
      </c>
      <c r="F1181" s="15"/>
      <c r="G1181" s="16">
        <f t="shared" si="63"/>
        <v>3650</v>
      </c>
      <c r="H1181" s="16">
        <v>3800</v>
      </c>
      <c r="I1181" s="16">
        <f t="shared" si="65"/>
        <v>0</v>
      </c>
      <c r="J1181" s="31">
        <v>3800</v>
      </c>
      <c r="K1181" s="69">
        <f t="shared" si="64"/>
        <v>0</v>
      </c>
      <c r="L1181" s="50">
        <v>150</v>
      </c>
      <c r="M1181" s="109">
        <v>150</v>
      </c>
      <c r="N1181" s="110"/>
    </row>
    <row r="1182" spans="1:14" ht="15" hidden="1" thickBot="1" x14ac:dyDescent="0.35">
      <c r="A1182" s="14">
        <v>203</v>
      </c>
      <c r="B1182" s="14" t="s">
        <v>465</v>
      </c>
      <c r="C1182" s="14" t="s">
        <v>940</v>
      </c>
      <c r="D1182" s="14" t="s">
        <v>806</v>
      </c>
      <c r="E1182" s="15" t="s">
        <v>506</v>
      </c>
      <c r="F1182" s="15">
        <v>5</v>
      </c>
      <c r="G1182" s="16">
        <f t="shared" si="63"/>
        <v>21112</v>
      </c>
      <c r="H1182" s="16">
        <v>21362</v>
      </c>
      <c r="I1182" s="16">
        <f t="shared" si="65"/>
        <v>0</v>
      </c>
      <c r="J1182" s="31">
        <v>21362</v>
      </c>
      <c r="K1182" s="69">
        <f t="shared" si="64"/>
        <v>0</v>
      </c>
      <c r="L1182" s="50">
        <v>250</v>
      </c>
      <c r="M1182" s="109">
        <v>250</v>
      </c>
      <c r="N1182" s="110"/>
    </row>
    <row r="1183" spans="1:14" ht="15" hidden="1" thickBot="1" x14ac:dyDescent="0.35">
      <c r="A1183" s="14">
        <v>204</v>
      </c>
      <c r="B1183" s="14" t="s">
        <v>841</v>
      </c>
      <c r="C1183" s="14" t="s">
        <v>940</v>
      </c>
      <c r="D1183" s="14" t="s">
        <v>614</v>
      </c>
      <c r="E1183" s="15" t="s">
        <v>499</v>
      </c>
      <c r="F1183" s="15"/>
      <c r="G1183" s="16">
        <f t="shared" si="63"/>
        <v>5593</v>
      </c>
      <c r="H1183" s="16">
        <v>5593</v>
      </c>
      <c r="I1183" s="16">
        <f t="shared" si="65"/>
        <v>0</v>
      </c>
      <c r="J1183" s="31">
        <v>5593</v>
      </c>
      <c r="K1183" s="69">
        <f t="shared" si="64"/>
        <v>0</v>
      </c>
      <c r="L1183" s="50"/>
      <c r="M1183" s="109"/>
      <c r="N1183" s="110"/>
    </row>
    <row r="1184" spans="1:14" ht="15" hidden="1" thickBot="1" x14ac:dyDescent="0.35">
      <c r="A1184" s="14">
        <v>204</v>
      </c>
      <c r="B1184" s="14" t="s">
        <v>841</v>
      </c>
      <c r="C1184" s="14" t="s">
        <v>940</v>
      </c>
      <c r="D1184" s="14" t="s">
        <v>614</v>
      </c>
      <c r="E1184" s="15" t="s">
        <v>502</v>
      </c>
      <c r="F1184" s="15"/>
      <c r="G1184" s="16">
        <f t="shared" si="63"/>
        <v>3011</v>
      </c>
      <c r="H1184" s="16">
        <v>3011</v>
      </c>
      <c r="I1184" s="16">
        <f t="shared" si="65"/>
        <v>0</v>
      </c>
      <c r="J1184" s="31">
        <v>3011</v>
      </c>
      <c r="K1184" s="69">
        <f t="shared" si="64"/>
        <v>0</v>
      </c>
      <c r="L1184" s="50"/>
      <c r="M1184" s="109"/>
      <c r="N1184" s="110"/>
    </row>
    <row r="1185" spans="1:14" ht="15" hidden="1" thickBot="1" x14ac:dyDescent="0.35">
      <c r="A1185" s="14">
        <v>205</v>
      </c>
      <c r="B1185" s="14" t="s">
        <v>842</v>
      </c>
      <c r="C1185" s="14" t="s">
        <v>602</v>
      </c>
      <c r="D1185" s="14" t="s">
        <v>843</v>
      </c>
      <c r="E1185" s="15" t="s">
        <v>509</v>
      </c>
      <c r="F1185" s="15">
        <v>2</v>
      </c>
      <c r="G1185" s="16">
        <f t="shared" si="63"/>
        <v>4901</v>
      </c>
      <c r="H1185" s="16">
        <v>4901</v>
      </c>
      <c r="I1185" s="16">
        <f t="shared" si="65"/>
        <v>0</v>
      </c>
      <c r="J1185" s="31">
        <v>4901</v>
      </c>
      <c r="K1185" s="69">
        <f t="shared" si="64"/>
        <v>0</v>
      </c>
      <c r="L1185" s="50"/>
      <c r="M1185" s="109"/>
      <c r="N1185" s="110"/>
    </row>
    <row r="1186" spans="1:14" ht="15" hidden="1" thickBot="1" x14ac:dyDescent="0.35">
      <c r="A1186" s="14">
        <v>205</v>
      </c>
      <c r="B1186" s="14" t="s">
        <v>842</v>
      </c>
      <c r="C1186" s="14" t="s">
        <v>602</v>
      </c>
      <c r="D1186" s="14" t="s">
        <v>525</v>
      </c>
      <c r="E1186" s="15" t="s">
        <v>509</v>
      </c>
      <c r="F1186" s="15"/>
      <c r="G1186" s="16">
        <f t="shared" si="63"/>
        <v>3948</v>
      </c>
      <c r="H1186" s="16">
        <v>3948</v>
      </c>
      <c r="I1186" s="16">
        <f t="shared" si="65"/>
        <v>0</v>
      </c>
      <c r="J1186" s="31">
        <v>3948</v>
      </c>
      <c r="K1186" s="69">
        <f t="shared" si="64"/>
        <v>0</v>
      </c>
      <c r="L1186" s="50"/>
      <c r="M1186" s="109"/>
      <c r="N1186" s="110"/>
    </row>
    <row r="1187" spans="1:14" ht="15" hidden="1" thickBot="1" x14ac:dyDescent="0.35">
      <c r="A1187" s="14">
        <v>205</v>
      </c>
      <c r="B1187" s="14" t="s">
        <v>842</v>
      </c>
      <c r="C1187" s="14" t="s">
        <v>602</v>
      </c>
      <c r="D1187" s="14" t="s">
        <v>516</v>
      </c>
      <c r="E1187" s="15" t="s">
        <v>509</v>
      </c>
      <c r="F1187" s="15">
        <v>7</v>
      </c>
      <c r="G1187" s="16">
        <f t="shared" si="63"/>
        <v>9113</v>
      </c>
      <c r="H1187" s="16">
        <v>9113</v>
      </c>
      <c r="I1187" s="16">
        <f t="shared" si="65"/>
        <v>0</v>
      </c>
      <c r="J1187" s="31">
        <v>9113</v>
      </c>
      <c r="K1187" s="69">
        <f t="shared" si="64"/>
        <v>0</v>
      </c>
      <c r="L1187" s="50"/>
      <c r="M1187" s="109"/>
      <c r="N1187" s="110"/>
    </row>
    <row r="1188" spans="1:14" ht="15" hidden="1" thickBot="1" x14ac:dyDescent="0.35">
      <c r="A1188" s="14">
        <v>205</v>
      </c>
      <c r="B1188" s="14" t="s">
        <v>842</v>
      </c>
      <c r="C1188" s="14" t="s">
        <v>602</v>
      </c>
      <c r="D1188" s="14" t="s">
        <v>526</v>
      </c>
      <c r="E1188" s="15" t="s">
        <v>509</v>
      </c>
      <c r="F1188" s="15">
        <v>5</v>
      </c>
      <c r="G1188" s="16">
        <f t="shared" si="63"/>
        <v>7356</v>
      </c>
      <c r="H1188" s="16">
        <v>7716</v>
      </c>
      <c r="I1188" s="16">
        <f t="shared" si="65"/>
        <v>0</v>
      </c>
      <c r="J1188" s="31">
        <v>7716</v>
      </c>
      <c r="K1188" s="69">
        <f t="shared" si="64"/>
        <v>0</v>
      </c>
      <c r="L1188" s="50">
        <v>360</v>
      </c>
      <c r="M1188" s="109">
        <v>360</v>
      </c>
      <c r="N1188" s="110"/>
    </row>
    <row r="1189" spans="1:14" ht="15" hidden="1" thickBot="1" x14ac:dyDescent="0.35">
      <c r="A1189" s="14">
        <v>206</v>
      </c>
      <c r="B1189" s="14" t="s">
        <v>844</v>
      </c>
      <c r="C1189" s="14" t="s">
        <v>664</v>
      </c>
      <c r="D1189" s="14" t="s">
        <v>713</v>
      </c>
      <c r="E1189" s="15" t="s">
        <v>503</v>
      </c>
      <c r="F1189" s="15">
        <v>3</v>
      </c>
      <c r="G1189" s="16">
        <f t="shared" si="63"/>
        <v>6783</v>
      </c>
      <c r="H1189" s="16">
        <v>6783</v>
      </c>
      <c r="I1189" s="16">
        <f t="shared" si="65"/>
        <v>0</v>
      </c>
      <c r="J1189" s="31">
        <v>6783</v>
      </c>
      <c r="K1189" s="69">
        <f t="shared" si="64"/>
        <v>0</v>
      </c>
      <c r="L1189" s="50"/>
      <c r="M1189" s="109"/>
      <c r="N1189" s="110">
        <v>0.95</v>
      </c>
    </row>
    <row r="1190" spans="1:14" ht="15" hidden="1" thickBot="1" x14ac:dyDescent="0.35">
      <c r="A1190" s="14">
        <v>206</v>
      </c>
      <c r="B1190" s="14" t="s">
        <v>844</v>
      </c>
      <c r="C1190" s="14" t="s">
        <v>664</v>
      </c>
      <c r="D1190" s="14" t="s">
        <v>524</v>
      </c>
      <c r="E1190" s="15" t="s">
        <v>503</v>
      </c>
      <c r="F1190" s="15">
        <v>3</v>
      </c>
      <c r="G1190" s="16">
        <f t="shared" si="63"/>
        <v>16662</v>
      </c>
      <c r="H1190" s="16">
        <v>16662</v>
      </c>
      <c r="I1190" s="16">
        <f t="shared" si="65"/>
        <v>0</v>
      </c>
      <c r="J1190" s="31">
        <v>16662</v>
      </c>
      <c r="K1190" s="69">
        <f t="shared" si="64"/>
        <v>0</v>
      </c>
      <c r="L1190" s="50"/>
      <c r="M1190" s="109"/>
      <c r="N1190" s="110"/>
    </row>
    <row r="1191" spans="1:14" ht="15" hidden="1" thickBot="1" x14ac:dyDescent="0.35">
      <c r="A1191" s="14">
        <v>206</v>
      </c>
      <c r="B1191" s="14" t="s">
        <v>844</v>
      </c>
      <c r="C1191" s="14" t="s">
        <v>664</v>
      </c>
      <c r="D1191" s="14" t="s">
        <v>510</v>
      </c>
      <c r="E1191" s="15" t="s">
        <v>503</v>
      </c>
      <c r="F1191" s="15">
        <v>4</v>
      </c>
      <c r="G1191" s="16">
        <f t="shared" si="63"/>
        <v>25940</v>
      </c>
      <c r="H1191" s="16">
        <v>25940</v>
      </c>
      <c r="I1191" s="16">
        <f t="shared" si="65"/>
        <v>0</v>
      </c>
      <c r="J1191" s="31">
        <v>25940</v>
      </c>
      <c r="K1191" s="69">
        <f t="shared" si="64"/>
        <v>0</v>
      </c>
      <c r="L1191" s="50"/>
      <c r="M1191" s="109"/>
      <c r="N1191" s="110"/>
    </row>
    <row r="1192" spans="1:14" ht="15" hidden="1" thickBot="1" x14ac:dyDescent="0.35">
      <c r="A1192" s="14">
        <v>207</v>
      </c>
      <c r="B1192" s="15" t="s">
        <v>1813</v>
      </c>
      <c r="C1192" s="14" t="s">
        <v>664</v>
      </c>
      <c r="D1192" s="14" t="s">
        <v>522</v>
      </c>
      <c r="E1192" s="15" t="s">
        <v>502</v>
      </c>
      <c r="F1192" s="15">
        <v>2</v>
      </c>
      <c r="G1192" s="16">
        <f t="shared" si="63"/>
        <v>6992</v>
      </c>
      <c r="H1192" s="16">
        <v>6992</v>
      </c>
      <c r="I1192" s="16">
        <f t="shared" si="65"/>
        <v>0</v>
      </c>
      <c r="J1192" s="31">
        <v>6992</v>
      </c>
      <c r="K1192" s="69">
        <f t="shared" si="64"/>
        <v>0</v>
      </c>
      <c r="L1192" s="50"/>
      <c r="M1192" s="109"/>
      <c r="N1192" s="110"/>
    </row>
    <row r="1193" spans="1:14" ht="15" hidden="1" thickBot="1" x14ac:dyDescent="0.35">
      <c r="A1193" s="14">
        <v>207</v>
      </c>
      <c r="B1193" s="15" t="s">
        <v>1813</v>
      </c>
      <c r="C1193" s="14" t="s">
        <v>664</v>
      </c>
      <c r="D1193" s="14" t="s">
        <v>547</v>
      </c>
      <c r="E1193" s="15" t="s">
        <v>502</v>
      </c>
      <c r="F1193" s="15">
        <v>3</v>
      </c>
      <c r="G1193" s="16">
        <f t="shared" si="63"/>
        <v>6482</v>
      </c>
      <c r="H1193" s="16">
        <v>6992</v>
      </c>
      <c r="I1193" s="16">
        <f t="shared" si="65"/>
        <v>0</v>
      </c>
      <c r="J1193" s="31">
        <v>6992</v>
      </c>
      <c r="K1193" s="69">
        <f t="shared" si="64"/>
        <v>0</v>
      </c>
      <c r="L1193" s="50">
        <v>510</v>
      </c>
      <c r="M1193" s="109">
        <v>510</v>
      </c>
      <c r="N1193" s="110"/>
    </row>
    <row r="1194" spans="1:14" ht="15" hidden="1" thickBot="1" x14ac:dyDescent="0.35">
      <c r="A1194" s="14">
        <v>207</v>
      </c>
      <c r="B1194" s="15" t="s">
        <v>1813</v>
      </c>
      <c r="C1194" s="14" t="s">
        <v>664</v>
      </c>
      <c r="D1194" s="14" t="s">
        <v>614</v>
      </c>
      <c r="E1194" s="15" t="s">
        <v>504</v>
      </c>
      <c r="F1194" s="15">
        <v>5</v>
      </c>
      <c r="G1194" s="16">
        <f t="shared" si="63"/>
        <v>41295</v>
      </c>
      <c r="H1194" s="16">
        <v>43475</v>
      </c>
      <c r="I1194" s="16">
        <f t="shared" si="65"/>
        <v>0</v>
      </c>
      <c r="J1194" s="31">
        <v>43475</v>
      </c>
      <c r="K1194" s="69">
        <f t="shared" si="64"/>
        <v>0</v>
      </c>
      <c r="L1194" s="50">
        <v>2180</v>
      </c>
      <c r="M1194" s="109">
        <v>2180</v>
      </c>
      <c r="N1194" s="110"/>
    </row>
    <row r="1195" spans="1:14" ht="15" hidden="1" thickBot="1" x14ac:dyDescent="0.35">
      <c r="A1195" s="14">
        <v>207</v>
      </c>
      <c r="B1195" s="15" t="s">
        <v>1813</v>
      </c>
      <c r="C1195" s="14" t="s">
        <v>664</v>
      </c>
      <c r="D1195" s="14" t="s">
        <v>614</v>
      </c>
      <c r="E1195" s="15" t="s">
        <v>512</v>
      </c>
      <c r="F1195" s="15">
        <v>5</v>
      </c>
      <c r="G1195" s="16">
        <f t="shared" si="63"/>
        <v>37715</v>
      </c>
      <c r="H1195" s="16">
        <v>38915</v>
      </c>
      <c r="I1195" s="16">
        <f t="shared" si="65"/>
        <v>0</v>
      </c>
      <c r="J1195" s="31">
        <v>38915</v>
      </c>
      <c r="K1195" s="69">
        <f t="shared" si="64"/>
        <v>0</v>
      </c>
      <c r="L1195" s="50">
        <v>1200</v>
      </c>
      <c r="M1195" s="109">
        <v>1200</v>
      </c>
      <c r="N1195" s="110"/>
    </row>
    <row r="1196" spans="1:14" ht="15" hidden="1" thickBot="1" x14ac:dyDescent="0.35">
      <c r="A1196" s="14">
        <v>207</v>
      </c>
      <c r="B1196" s="15" t="s">
        <v>1813</v>
      </c>
      <c r="C1196" s="14" t="s">
        <v>664</v>
      </c>
      <c r="D1196" s="14" t="s">
        <v>1828</v>
      </c>
      <c r="E1196" s="15" t="s">
        <v>512</v>
      </c>
      <c r="F1196" s="15">
        <v>2</v>
      </c>
      <c r="G1196" s="16">
        <f t="shared" si="63"/>
        <v>2280</v>
      </c>
      <c r="H1196" s="16">
        <v>2280</v>
      </c>
      <c r="I1196" s="16">
        <f t="shared" si="65"/>
        <v>0</v>
      </c>
      <c r="J1196" s="31">
        <v>2280</v>
      </c>
      <c r="K1196" s="69">
        <f t="shared" si="64"/>
        <v>0</v>
      </c>
      <c r="L1196" s="50"/>
      <c r="M1196" s="109"/>
      <c r="N1196" s="110"/>
    </row>
    <row r="1197" spans="1:14" ht="15" hidden="1" thickBot="1" x14ac:dyDescent="0.35">
      <c r="A1197" s="14">
        <v>207</v>
      </c>
      <c r="B1197" s="15" t="s">
        <v>1813</v>
      </c>
      <c r="C1197" s="14" t="s">
        <v>664</v>
      </c>
      <c r="D1197" s="14" t="s">
        <v>510</v>
      </c>
      <c r="E1197" s="15" t="s">
        <v>512</v>
      </c>
      <c r="F1197" s="15"/>
      <c r="G1197" s="16">
        <f t="shared" si="63"/>
        <v>1710</v>
      </c>
      <c r="H1197" s="16">
        <v>1710</v>
      </c>
      <c r="I1197" s="16">
        <f t="shared" si="65"/>
        <v>0</v>
      </c>
      <c r="J1197" s="31">
        <v>1710</v>
      </c>
      <c r="K1197" s="69">
        <f t="shared" si="64"/>
        <v>0</v>
      </c>
      <c r="L1197" s="50"/>
      <c r="M1197" s="109"/>
      <c r="N1197" s="110"/>
    </row>
    <row r="1198" spans="1:14" ht="15" hidden="1" thickBot="1" x14ac:dyDescent="0.35">
      <c r="A1198" s="14">
        <v>207</v>
      </c>
      <c r="B1198" s="15" t="s">
        <v>1813</v>
      </c>
      <c r="C1198" s="14" t="s">
        <v>664</v>
      </c>
      <c r="D1198" s="14" t="s">
        <v>667</v>
      </c>
      <c r="E1198" s="15" t="s">
        <v>504</v>
      </c>
      <c r="F1198" s="15"/>
      <c r="G1198" s="16">
        <f t="shared" si="63"/>
        <v>3870</v>
      </c>
      <c r="H1198" s="16">
        <v>3870</v>
      </c>
      <c r="I1198" s="16">
        <f t="shared" si="65"/>
        <v>0</v>
      </c>
      <c r="J1198" s="31">
        <v>3870</v>
      </c>
      <c r="K1198" s="69">
        <f t="shared" si="64"/>
        <v>0</v>
      </c>
      <c r="L1198" s="50"/>
      <c r="M1198" s="109"/>
      <c r="N1198" s="110"/>
    </row>
    <row r="1199" spans="1:14" ht="15" hidden="1" thickBot="1" x14ac:dyDescent="0.35">
      <c r="A1199" s="14">
        <v>207</v>
      </c>
      <c r="B1199" s="15" t="s">
        <v>1813</v>
      </c>
      <c r="C1199" s="14" t="s">
        <v>664</v>
      </c>
      <c r="D1199" s="14" t="s">
        <v>505</v>
      </c>
      <c r="E1199" s="15" t="s">
        <v>504</v>
      </c>
      <c r="F1199" s="15">
        <v>4</v>
      </c>
      <c r="G1199" s="16">
        <f t="shared" si="63"/>
        <v>12827</v>
      </c>
      <c r="H1199" s="16">
        <v>13167</v>
      </c>
      <c r="I1199" s="16">
        <f t="shared" si="65"/>
        <v>0</v>
      </c>
      <c r="J1199" s="31">
        <v>13167</v>
      </c>
      <c r="K1199" s="69">
        <f t="shared" si="64"/>
        <v>0</v>
      </c>
      <c r="L1199" s="50">
        <v>340</v>
      </c>
      <c r="M1199" s="109">
        <v>340</v>
      </c>
      <c r="N1199" s="110"/>
    </row>
    <row r="1200" spans="1:14" ht="15" hidden="1" thickBot="1" x14ac:dyDescent="0.35">
      <c r="A1200" s="14">
        <v>207</v>
      </c>
      <c r="B1200" s="15" t="s">
        <v>1813</v>
      </c>
      <c r="C1200" s="14" t="s">
        <v>664</v>
      </c>
      <c r="D1200" s="14" t="s">
        <v>507</v>
      </c>
      <c r="E1200" s="15" t="s">
        <v>504</v>
      </c>
      <c r="F1200" s="15">
        <v>3</v>
      </c>
      <c r="G1200" s="16">
        <f t="shared" si="63"/>
        <v>15634</v>
      </c>
      <c r="H1200" s="16">
        <v>16714</v>
      </c>
      <c r="I1200" s="16">
        <f t="shared" si="65"/>
        <v>0</v>
      </c>
      <c r="J1200" s="31">
        <v>16714</v>
      </c>
      <c r="K1200" s="69">
        <f t="shared" si="64"/>
        <v>0</v>
      </c>
      <c r="L1200" s="50">
        <v>1080</v>
      </c>
      <c r="M1200" s="109">
        <v>1080</v>
      </c>
      <c r="N1200" s="110"/>
    </row>
    <row r="1201" spans="1:14" ht="15" hidden="1" thickBot="1" x14ac:dyDescent="0.35">
      <c r="A1201" s="14">
        <v>207</v>
      </c>
      <c r="B1201" s="15" t="s">
        <v>1813</v>
      </c>
      <c r="C1201" s="14" t="s">
        <v>664</v>
      </c>
      <c r="D1201" s="14" t="s">
        <v>510</v>
      </c>
      <c r="E1201" s="15" t="s">
        <v>504</v>
      </c>
      <c r="F1201" s="15">
        <v>3</v>
      </c>
      <c r="G1201" s="16">
        <f t="shared" si="63"/>
        <v>22508</v>
      </c>
      <c r="H1201" s="16">
        <v>24448</v>
      </c>
      <c r="I1201" s="16">
        <f t="shared" si="65"/>
        <v>0</v>
      </c>
      <c r="J1201" s="31">
        <v>24448</v>
      </c>
      <c r="K1201" s="69">
        <f t="shared" si="64"/>
        <v>0</v>
      </c>
      <c r="L1201" s="50">
        <v>1940</v>
      </c>
      <c r="M1201" s="109">
        <v>1940</v>
      </c>
      <c r="N1201" s="110"/>
    </row>
    <row r="1202" spans="1:14" ht="15" hidden="1" thickBot="1" x14ac:dyDescent="0.35">
      <c r="A1202" s="20">
        <v>208</v>
      </c>
      <c r="B1202" s="14" t="s">
        <v>845</v>
      </c>
      <c r="C1202" s="14" t="s">
        <v>664</v>
      </c>
      <c r="D1202" s="14" t="s">
        <v>713</v>
      </c>
      <c r="E1202" s="15" t="s">
        <v>503</v>
      </c>
      <c r="F1202" s="15">
        <v>1</v>
      </c>
      <c r="G1202" s="16">
        <f t="shared" si="63"/>
        <v>2571</v>
      </c>
      <c r="H1202" s="16">
        <v>2571</v>
      </c>
      <c r="I1202" s="16">
        <f t="shared" si="65"/>
        <v>0</v>
      </c>
      <c r="J1202" s="31">
        <v>2571</v>
      </c>
      <c r="K1202" s="69">
        <f t="shared" si="64"/>
        <v>0</v>
      </c>
      <c r="L1202" s="50"/>
      <c r="M1202" s="109"/>
      <c r="N1202" s="110"/>
    </row>
    <row r="1203" spans="1:14" ht="15" hidden="1" thickBot="1" x14ac:dyDescent="0.35">
      <c r="A1203" s="20">
        <v>208</v>
      </c>
      <c r="B1203" s="14" t="s">
        <v>845</v>
      </c>
      <c r="C1203" s="14" t="s">
        <v>664</v>
      </c>
      <c r="D1203" s="14" t="s">
        <v>510</v>
      </c>
      <c r="E1203" s="15" t="s">
        <v>508</v>
      </c>
      <c r="F1203" s="15">
        <v>3</v>
      </c>
      <c r="G1203" s="16">
        <f t="shared" si="63"/>
        <v>12540</v>
      </c>
      <c r="H1203" s="16">
        <v>12540</v>
      </c>
      <c r="I1203" s="16">
        <f t="shared" si="65"/>
        <v>0</v>
      </c>
      <c r="J1203" s="31">
        <v>12540</v>
      </c>
      <c r="K1203" s="69">
        <f t="shared" si="64"/>
        <v>0</v>
      </c>
      <c r="L1203" s="50"/>
      <c r="M1203" s="109"/>
      <c r="N1203" s="110"/>
    </row>
    <row r="1204" spans="1:14" ht="15" hidden="1" thickBot="1" x14ac:dyDescent="0.35">
      <c r="A1204" s="14">
        <v>209</v>
      </c>
      <c r="B1204" s="14" t="s">
        <v>846</v>
      </c>
      <c r="C1204" s="14" t="s">
        <v>664</v>
      </c>
      <c r="D1204" s="14" t="s">
        <v>702</v>
      </c>
      <c r="E1204" s="15" t="s">
        <v>504</v>
      </c>
      <c r="F1204" s="15"/>
      <c r="G1204" s="16">
        <f t="shared" ref="G1204:G1273" si="67">H1204-M1204</f>
        <v>4750</v>
      </c>
      <c r="H1204" s="16">
        <v>4750</v>
      </c>
      <c r="I1204" s="16">
        <f t="shared" si="65"/>
        <v>0</v>
      </c>
      <c r="J1204" s="31">
        <v>4750</v>
      </c>
      <c r="K1204" s="69">
        <f t="shared" si="64"/>
        <v>0</v>
      </c>
      <c r="L1204" s="50"/>
      <c r="M1204" s="109"/>
      <c r="N1204" s="110"/>
    </row>
    <row r="1205" spans="1:14" ht="15" hidden="1" thickBot="1" x14ac:dyDescent="0.35">
      <c r="A1205" s="14">
        <v>209</v>
      </c>
      <c r="B1205" s="14" t="s">
        <v>846</v>
      </c>
      <c r="C1205" s="14" t="s">
        <v>664</v>
      </c>
      <c r="D1205" s="14" t="s">
        <v>666</v>
      </c>
      <c r="E1205" s="15" t="s">
        <v>504</v>
      </c>
      <c r="F1205" s="15"/>
      <c r="G1205" s="16">
        <f t="shared" si="67"/>
        <v>12920</v>
      </c>
      <c r="H1205" s="16">
        <v>12920</v>
      </c>
      <c r="I1205" s="16">
        <f t="shared" si="65"/>
        <v>0</v>
      </c>
      <c r="J1205" s="31">
        <v>12920</v>
      </c>
      <c r="K1205" s="69">
        <f t="shared" si="64"/>
        <v>0</v>
      </c>
      <c r="L1205" s="50"/>
      <c r="M1205" s="109"/>
      <c r="N1205" s="110"/>
    </row>
    <row r="1206" spans="1:14" ht="15" hidden="1" thickBot="1" x14ac:dyDescent="0.35">
      <c r="A1206" s="14">
        <v>209</v>
      </c>
      <c r="B1206" s="14" t="s">
        <v>846</v>
      </c>
      <c r="C1206" s="14" t="s">
        <v>940</v>
      </c>
      <c r="D1206" s="14" t="s">
        <v>666</v>
      </c>
      <c r="E1206" s="15" t="s">
        <v>504</v>
      </c>
      <c r="F1206" s="15"/>
      <c r="G1206" s="16">
        <f t="shared" si="67"/>
        <v>11970</v>
      </c>
      <c r="H1206" s="16">
        <v>11970</v>
      </c>
      <c r="I1206" s="16">
        <f t="shared" si="65"/>
        <v>0</v>
      </c>
      <c r="J1206" s="31">
        <v>11970</v>
      </c>
      <c r="K1206" s="69">
        <f t="shared" ref="K1206:K1276" si="68">M1206-L1206</f>
        <v>0</v>
      </c>
      <c r="L1206" s="50"/>
      <c r="M1206" s="109"/>
      <c r="N1206" s="110"/>
    </row>
    <row r="1207" spans="1:14" ht="15" hidden="1" thickBot="1" x14ac:dyDescent="0.35">
      <c r="A1207" s="14">
        <v>209</v>
      </c>
      <c r="B1207" s="14" t="s">
        <v>846</v>
      </c>
      <c r="C1207" s="14" t="s">
        <v>940</v>
      </c>
      <c r="D1207" s="14" t="s">
        <v>767</v>
      </c>
      <c r="E1207" s="15" t="s">
        <v>500</v>
      </c>
      <c r="F1207" s="15"/>
      <c r="G1207" s="16">
        <f t="shared" si="67"/>
        <v>13680</v>
      </c>
      <c r="H1207" s="16">
        <v>13680</v>
      </c>
      <c r="I1207" s="16">
        <f t="shared" si="65"/>
        <v>0</v>
      </c>
      <c r="J1207" s="31">
        <v>13680</v>
      </c>
      <c r="K1207" s="69">
        <f t="shared" si="68"/>
        <v>0</v>
      </c>
      <c r="L1207" s="50">
        <v>0</v>
      </c>
      <c r="M1207" s="109">
        <v>0</v>
      </c>
      <c r="N1207" s="110"/>
    </row>
    <row r="1208" spans="1:14" ht="15" hidden="1" thickBot="1" x14ac:dyDescent="0.35">
      <c r="A1208" s="14">
        <v>209</v>
      </c>
      <c r="B1208" s="14" t="s">
        <v>846</v>
      </c>
      <c r="C1208" s="14" t="s">
        <v>940</v>
      </c>
      <c r="D1208" s="14" t="s">
        <v>614</v>
      </c>
      <c r="E1208" s="15" t="s">
        <v>500</v>
      </c>
      <c r="F1208" s="15"/>
      <c r="G1208" s="16">
        <f t="shared" si="67"/>
        <v>1449</v>
      </c>
      <c r="H1208" s="16">
        <v>1449</v>
      </c>
      <c r="I1208" s="16">
        <f t="shared" si="65"/>
        <v>0</v>
      </c>
      <c r="J1208" s="31">
        <v>1449</v>
      </c>
      <c r="K1208" s="69">
        <f t="shared" si="68"/>
        <v>0</v>
      </c>
      <c r="L1208" s="50"/>
      <c r="M1208" s="109"/>
      <c r="N1208" s="110"/>
    </row>
    <row r="1209" spans="1:14" ht="15" hidden="1" thickBot="1" x14ac:dyDescent="0.35">
      <c r="A1209" s="14">
        <v>209</v>
      </c>
      <c r="B1209" s="14" t="s">
        <v>846</v>
      </c>
      <c r="C1209" s="14" t="s">
        <v>940</v>
      </c>
      <c r="D1209" s="14" t="s">
        <v>614</v>
      </c>
      <c r="E1209" s="15" t="s">
        <v>512</v>
      </c>
      <c r="F1209" s="15"/>
      <c r="G1209" s="16">
        <f t="shared" si="67"/>
        <v>1701</v>
      </c>
      <c r="H1209" s="16">
        <v>1701</v>
      </c>
      <c r="I1209" s="16">
        <f t="shared" si="65"/>
        <v>0</v>
      </c>
      <c r="J1209" s="31">
        <v>1701</v>
      </c>
      <c r="K1209" s="69">
        <f t="shared" si="68"/>
        <v>0</v>
      </c>
      <c r="L1209" s="50"/>
      <c r="M1209" s="109"/>
      <c r="N1209" s="110"/>
    </row>
    <row r="1210" spans="1:14" ht="15" hidden="1" thickBot="1" x14ac:dyDescent="0.35">
      <c r="A1210" s="14">
        <v>209</v>
      </c>
      <c r="B1210" s="14" t="s">
        <v>846</v>
      </c>
      <c r="C1210" s="14" t="s">
        <v>940</v>
      </c>
      <c r="D1210" s="14" t="s">
        <v>507</v>
      </c>
      <c r="E1210" s="15" t="s">
        <v>504</v>
      </c>
      <c r="F1210" s="15"/>
      <c r="G1210" s="16">
        <f t="shared" si="67"/>
        <v>788</v>
      </c>
      <c r="H1210" s="16">
        <v>788</v>
      </c>
      <c r="I1210" s="16">
        <f t="shared" si="65"/>
        <v>0</v>
      </c>
      <c r="J1210" s="31">
        <v>788</v>
      </c>
      <c r="K1210" s="69">
        <f t="shared" si="68"/>
        <v>0</v>
      </c>
      <c r="L1210" s="50"/>
      <c r="M1210" s="109"/>
      <c r="N1210" s="110"/>
    </row>
    <row r="1211" spans="1:14" ht="15" hidden="1" thickBot="1" x14ac:dyDescent="0.35">
      <c r="A1211" s="14">
        <v>209</v>
      </c>
      <c r="B1211" s="14" t="s">
        <v>846</v>
      </c>
      <c r="C1211" s="14" t="s">
        <v>940</v>
      </c>
      <c r="D1211" s="14" t="s">
        <v>614</v>
      </c>
      <c r="E1211" s="15" t="s">
        <v>500</v>
      </c>
      <c r="F1211" s="15"/>
      <c r="G1211" s="16">
        <f t="shared" si="67"/>
        <v>9311</v>
      </c>
      <c r="H1211" s="16">
        <v>9311</v>
      </c>
      <c r="I1211" s="16">
        <f t="shared" si="65"/>
        <v>0</v>
      </c>
      <c r="J1211" s="31">
        <v>9311</v>
      </c>
      <c r="K1211" s="69">
        <f t="shared" si="68"/>
        <v>0</v>
      </c>
      <c r="L1211" s="50"/>
      <c r="M1211" s="109"/>
      <c r="N1211" s="110"/>
    </row>
    <row r="1212" spans="1:14" ht="15" hidden="1" thickBot="1" x14ac:dyDescent="0.35">
      <c r="A1212" s="14">
        <v>209</v>
      </c>
      <c r="B1212" s="14" t="s">
        <v>846</v>
      </c>
      <c r="C1212" s="14" t="s">
        <v>940</v>
      </c>
      <c r="D1212" s="14" t="s">
        <v>507</v>
      </c>
      <c r="E1212" s="15" t="s">
        <v>504</v>
      </c>
      <c r="F1212" s="15"/>
      <c r="G1212" s="16">
        <f t="shared" si="67"/>
        <v>1520</v>
      </c>
      <c r="H1212" s="16">
        <v>1520</v>
      </c>
      <c r="I1212" s="16">
        <f t="shared" si="65"/>
        <v>0</v>
      </c>
      <c r="J1212" s="31">
        <v>1520</v>
      </c>
      <c r="K1212" s="69">
        <f t="shared" si="68"/>
        <v>0</v>
      </c>
      <c r="L1212" s="50"/>
      <c r="M1212" s="109"/>
      <c r="N1212" s="110"/>
    </row>
    <row r="1213" spans="1:14" ht="15" hidden="1" thickBot="1" x14ac:dyDescent="0.35">
      <c r="A1213" s="14">
        <v>209</v>
      </c>
      <c r="B1213" s="14" t="s">
        <v>846</v>
      </c>
      <c r="C1213" s="14" t="s">
        <v>940</v>
      </c>
      <c r="D1213" s="14" t="s">
        <v>614</v>
      </c>
      <c r="E1213" s="15" t="s">
        <v>512</v>
      </c>
      <c r="F1213" s="15"/>
      <c r="G1213" s="16">
        <f t="shared" si="67"/>
        <v>3800</v>
      </c>
      <c r="H1213" s="16">
        <v>3800</v>
      </c>
      <c r="I1213" s="16">
        <f t="shared" ref="I1213:I1293" si="69">J1213-H1213</f>
        <v>0</v>
      </c>
      <c r="J1213" s="31">
        <v>3800</v>
      </c>
      <c r="K1213" s="69">
        <f t="shared" si="68"/>
        <v>0</v>
      </c>
      <c r="L1213" s="50"/>
      <c r="M1213" s="109"/>
      <c r="N1213" s="110"/>
    </row>
    <row r="1214" spans="1:14" ht="15" hidden="1" thickBot="1" x14ac:dyDescent="0.35">
      <c r="A1214" s="14">
        <v>210</v>
      </c>
      <c r="B1214" s="14" t="s">
        <v>847</v>
      </c>
      <c r="C1214" s="14" t="s">
        <v>940</v>
      </c>
      <c r="D1214" s="14" t="s">
        <v>702</v>
      </c>
      <c r="E1214" s="15" t="s">
        <v>504</v>
      </c>
      <c r="F1214" s="15"/>
      <c r="G1214" s="16">
        <f t="shared" si="67"/>
        <v>4320</v>
      </c>
      <c r="H1214" s="16">
        <v>4320</v>
      </c>
      <c r="I1214" s="16">
        <f t="shared" si="69"/>
        <v>0</v>
      </c>
      <c r="J1214" s="31">
        <v>4320</v>
      </c>
      <c r="K1214" s="69">
        <f t="shared" si="68"/>
        <v>0</v>
      </c>
      <c r="L1214" s="50"/>
      <c r="M1214" s="109"/>
      <c r="N1214" s="110"/>
    </row>
    <row r="1215" spans="1:14" ht="15" hidden="1" thickBot="1" x14ac:dyDescent="0.35">
      <c r="A1215" s="14">
        <v>210</v>
      </c>
      <c r="B1215" s="14" t="s">
        <v>847</v>
      </c>
      <c r="C1215" s="14" t="s">
        <v>940</v>
      </c>
      <c r="D1215" s="14" t="s">
        <v>614</v>
      </c>
      <c r="E1215" s="15" t="s">
        <v>503</v>
      </c>
      <c r="F1215" s="15">
        <v>2</v>
      </c>
      <c r="G1215" s="16">
        <f t="shared" si="67"/>
        <v>13027</v>
      </c>
      <c r="H1215" s="16">
        <v>13027</v>
      </c>
      <c r="I1215" s="16">
        <f t="shared" si="69"/>
        <v>0</v>
      </c>
      <c r="J1215" s="31">
        <v>13027</v>
      </c>
      <c r="K1215" s="69">
        <f t="shared" si="68"/>
        <v>0</v>
      </c>
      <c r="L1215" s="50"/>
      <c r="M1215" s="109"/>
      <c r="N1215" s="110"/>
    </row>
    <row r="1216" spans="1:14" ht="15" hidden="1" thickBot="1" x14ac:dyDescent="0.35">
      <c r="A1216" s="14">
        <v>210</v>
      </c>
      <c r="B1216" s="14" t="s">
        <v>847</v>
      </c>
      <c r="C1216" s="14" t="s">
        <v>940</v>
      </c>
      <c r="D1216" s="14" t="s">
        <v>614</v>
      </c>
      <c r="E1216" s="15" t="s">
        <v>499</v>
      </c>
      <c r="F1216" s="15">
        <v>6</v>
      </c>
      <c r="G1216" s="16">
        <f t="shared" si="67"/>
        <v>35543</v>
      </c>
      <c r="H1216" s="16">
        <v>44198</v>
      </c>
      <c r="I1216" s="16">
        <f t="shared" si="69"/>
        <v>0</v>
      </c>
      <c r="J1216" s="31">
        <v>44198</v>
      </c>
      <c r="K1216" s="69">
        <f t="shared" si="68"/>
        <v>0</v>
      </c>
      <c r="L1216" s="50">
        <v>8655</v>
      </c>
      <c r="M1216" s="109">
        <v>8655</v>
      </c>
      <c r="N1216" s="110">
        <v>1</v>
      </c>
    </row>
    <row r="1217" spans="1:14" ht="15" hidden="1" thickBot="1" x14ac:dyDescent="0.35">
      <c r="A1217" s="14">
        <v>210</v>
      </c>
      <c r="B1217" s="14" t="s">
        <v>847</v>
      </c>
      <c r="C1217" s="14" t="s">
        <v>940</v>
      </c>
      <c r="D1217" s="14" t="s">
        <v>614</v>
      </c>
      <c r="E1217" s="15" t="s">
        <v>503</v>
      </c>
      <c r="F1217" s="15"/>
      <c r="G1217" s="16">
        <f t="shared" si="67"/>
        <v>9555</v>
      </c>
      <c r="H1217" s="16">
        <v>9555</v>
      </c>
      <c r="I1217" s="16">
        <f t="shared" si="69"/>
        <v>0</v>
      </c>
      <c r="J1217" s="31">
        <v>9555</v>
      </c>
      <c r="K1217" s="69">
        <f t="shared" si="68"/>
        <v>0</v>
      </c>
      <c r="L1217" s="50"/>
      <c r="M1217" s="109"/>
      <c r="N1217" s="110"/>
    </row>
    <row r="1218" spans="1:14" ht="15" hidden="1" thickBot="1" x14ac:dyDescent="0.35">
      <c r="A1218" s="14">
        <v>210</v>
      </c>
      <c r="B1218" s="14" t="s">
        <v>847</v>
      </c>
      <c r="C1218" s="14" t="s">
        <v>940</v>
      </c>
      <c r="D1218" s="14" t="s">
        <v>510</v>
      </c>
      <c r="E1218" s="15" t="s">
        <v>499</v>
      </c>
      <c r="F1218" s="15"/>
      <c r="G1218" s="16">
        <f t="shared" si="67"/>
        <v>2205</v>
      </c>
      <c r="H1218" s="16">
        <v>2205</v>
      </c>
      <c r="I1218" s="16">
        <f t="shared" si="69"/>
        <v>0</v>
      </c>
      <c r="J1218" s="31">
        <v>2205</v>
      </c>
      <c r="K1218" s="69">
        <f t="shared" si="68"/>
        <v>0</v>
      </c>
      <c r="L1218" s="50"/>
      <c r="M1218" s="109"/>
      <c r="N1218" s="110"/>
    </row>
    <row r="1219" spans="1:14" ht="15" hidden="1" thickBot="1" x14ac:dyDescent="0.35">
      <c r="A1219" s="14">
        <v>211</v>
      </c>
      <c r="B1219" s="14" t="s">
        <v>848</v>
      </c>
      <c r="C1219" s="15" t="s">
        <v>719</v>
      </c>
      <c r="D1219" s="14" t="s">
        <v>720</v>
      </c>
      <c r="E1219" s="15" t="s">
        <v>508</v>
      </c>
      <c r="F1219" s="15"/>
      <c r="G1219" s="16">
        <f t="shared" si="67"/>
        <v>7815</v>
      </c>
      <c r="H1219" s="16">
        <v>7815</v>
      </c>
      <c r="I1219" s="16">
        <f t="shared" si="69"/>
        <v>0</v>
      </c>
      <c r="J1219" s="31">
        <v>7815</v>
      </c>
      <c r="K1219" s="69">
        <f t="shared" si="68"/>
        <v>0</v>
      </c>
      <c r="L1219" s="50"/>
      <c r="M1219" s="109"/>
      <c r="N1219" s="110"/>
    </row>
    <row r="1220" spans="1:14" ht="15" hidden="1" thickBot="1" x14ac:dyDescent="0.35">
      <c r="A1220" s="14">
        <v>211</v>
      </c>
      <c r="B1220" s="14" t="s">
        <v>848</v>
      </c>
      <c r="C1220" s="15" t="s">
        <v>719</v>
      </c>
      <c r="D1220" s="14" t="s">
        <v>1832</v>
      </c>
      <c r="E1220" s="15" t="s">
        <v>499</v>
      </c>
      <c r="F1220" s="15"/>
      <c r="G1220" s="16">
        <f t="shared" si="67"/>
        <v>2192</v>
      </c>
      <c r="H1220" s="16">
        <v>2192</v>
      </c>
      <c r="I1220" s="16">
        <f t="shared" si="69"/>
        <v>0</v>
      </c>
      <c r="J1220" s="31">
        <v>2192</v>
      </c>
      <c r="K1220" s="69">
        <f t="shared" si="68"/>
        <v>0</v>
      </c>
      <c r="L1220" s="50"/>
      <c r="M1220" s="109"/>
      <c r="N1220" s="110"/>
    </row>
    <row r="1221" spans="1:14" ht="15" hidden="1" thickBot="1" x14ac:dyDescent="0.35">
      <c r="A1221" s="14">
        <v>211</v>
      </c>
      <c r="B1221" s="14" t="s">
        <v>848</v>
      </c>
      <c r="C1221" s="15" t="s">
        <v>719</v>
      </c>
      <c r="D1221" s="14" t="s">
        <v>511</v>
      </c>
      <c r="E1221" s="15" t="s">
        <v>503</v>
      </c>
      <c r="F1221" s="15"/>
      <c r="G1221" s="16">
        <f t="shared" si="67"/>
        <v>3119</v>
      </c>
      <c r="H1221" s="16">
        <v>3119</v>
      </c>
      <c r="I1221" s="16">
        <f t="shared" si="69"/>
        <v>0</v>
      </c>
      <c r="J1221" s="31">
        <v>3119</v>
      </c>
      <c r="K1221" s="69">
        <f t="shared" si="68"/>
        <v>0</v>
      </c>
      <c r="L1221" s="50"/>
      <c r="M1221" s="109"/>
      <c r="N1221" s="110"/>
    </row>
    <row r="1222" spans="1:14" ht="15" hidden="1" thickBot="1" x14ac:dyDescent="0.35">
      <c r="A1222" s="14">
        <v>212</v>
      </c>
      <c r="B1222" s="14" t="s">
        <v>849</v>
      </c>
      <c r="C1222" s="15" t="s">
        <v>719</v>
      </c>
      <c r="D1222" s="14" t="s">
        <v>511</v>
      </c>
      <c r="E1222" s="15" t="s">
        <v>503</v>
      </c>
      <c r="F1222" s="15">
        <v>2</v>
      </c>
      <c r="G1222" s="16">
        <f t="shared" si="67"/>
        <v>3969</v>
      </c>
      <c r="H1222" s="16">
        <v>3969</v>
      </c>
      <c r="I1222" s="16">
        <f t="shared" si="69"/>
        <v>0</v>
      </c>
      <c r="J1222" s="31">
        <v>3969</v>
      </c>
      <c r="K1222" s="69">
        <f t="shared" si="68"/>
        <v>0</v>
      </c>
      <c r="L1222" s="50"/>
      <c r="M1222" s="109"/>
      <c r="N1222" s="110"/>
    </row>
    <row r="1223" spans="1:14" ht="15" hidden="1" thickBot="1" x14ac:dyDescent="0.35">
      <c r="A1223" s="14">
        <v>212</v>
      </c>
      <c r="B1223" s="14" t="s">
        <v>849</v>
      </c>
      <c r="C1223" s="15" t="s">
        <v>719</v>
      </c>
      <c r="D1223" s="14" t="s">
        <v>806</v>
      </c>
      <c r="E1223" s="15" t="s">
        <v>506</v>
      </c>
      <c r="F1223" s="15">
        <v>3</v>
      </c>
      <c r="G1223" s="16">
        <f t="shared" si="67"/>
        <v>9423</v>
      </c>
      <c r="H1223" s="16">
        <v>9423</v>
      </c>
      <c r="I1223" s="16">
        <f t="shared" si="69"/>
        <v>0</v>
      </c>
      <c r="J1223" s="31">
        <v>9423</v>
      </c>
      <c r="K1223" s="69">
        <f t="shared" si="68"/>
        <v>0</v>
      </c>
      <c r="L1223" s="50"/>
      <c r="M1223" s="109"/>
      <c r="N1223" s="110"/>
    </row>
    <row r="1224" spans="1:14" ht="15" hidden="1" thickBot="1" x14ac:dyDescent="0.35">
      <c r="A1224" s="14">
        <v>213</v>
      </c>
      <c r="B1224" s="14" t="s">
        <v>850</v>
      </c>
      <c r="C1224" s="14" t="s">
        <v>827</v>
      </c>
      <c r="D1224" s="14" t="s">
        <v>513</v>
      </c>
      <c r="E1224" s="15" t="s">
        <v>512</v>
      </c>
      <c r="F1224" s="15"/>
      <c r="G1224" s="16">
        <f t="shared" si="67"/>
        <v>1800</v>
      </c>
      <c r="H1224" s="16">
        <v>1800</v>
      </c>
      <c r="I1224" s="16">
        <f t="shared" si="69"/>
        <v>0</v>
      </c>
      <c r="J1224" s="31">
        <v>1800</v>
      </c>
      <c r="K1224" s="69">
        <f t="shared" si="68"/>
        <v>0</v>
      </c>
      <c r="L1224" s="50"/>
      <c r="M1224" s="109"/>
      <c r="N1224" s="110"/>
    </row>
    <row r="1225" spans="1:14" ht="15" hidden="1" thickBot="1" x14ac:dyDescent="0.35">
      <c r="A1225" s="14">
        <v>213</v>
      </c>
      <c r="B1225" s="14" t="s">
        <v>850</v>
      </c>
      <c r="C1225" s="14" t="s">
        <v>827</v>
      </c>
      <c r="D1225" s="14" t="s">
        <v>510</v>
      </c>
      <c r="E1225" s="15" t="s">
        <v>508</v>
      </c>
      <c r="F1225" s="15"/>
      <c r="G1225" s="16">
        <f t="shared" si="67"/>
        <v>900</v>
      </c>
      <c r="H1225" s="16">
        <v>900</v>
      </c>
      <c r="I1225" s="16">
        <f t="shared" si="69"/>
        <v>0</v>
      </c>
      <c r="J1225" s="31">
        <v>900</v>
      </c>
      <c r="K1225" s="69">
        <f t="shared" si="68"/>
        <v>0</v>
      </c>
      <c r="L1225" s="50"/>
      <c r="M1225" s="109"/>
      <c r="N1225" s="110"/>
    </row>
    <row r="1226" spans="1:14" ht="15" hidden="1" thickBot="1" x14ac:dyDescent="0.35">
      <c r="A1226" s="14">
        <v>213</v>
      </c>
      <c r="B1226" s="14" t="s">
        <v>850</v>
      </c>
      <c r="C1226" s="14" t="s">
        <v>827</v>
      </c>
      <c r="D1226" s="14" t="s">
        <v>614</v>
      </c>
      <c r="E1226" s="15" t="s">
        <v>508</v>
      </c>
      <c r="F1226" s="15"/>
      <c r="G1226" s="16">
        <f t="shared" si="67"/>
        <v>900</v>
      </c>
      <c r="H1226" s="16">
        <v>900</v>
      </c>
      <c r="I1226" s="16">
        <f t="shared" si="69"/>
        <v>0</v>
      </c>
      <c r="J1226" s="31">
        <v>900</v>
      </c>
      <c r="K1226" s="69">
        <f t="shared" si="68"/>
        <v>0</v>
      </c>
      <c r="L1226" s="50"/>
      <c r="M1226" s="109"/>
      <c r="N1226" s="110"/>
    </row>
    <row r="1227" spans="1:14" ht="15" hidden="1" thickBot="1" x14ac:dyDescent="0.35">
      <c r="A1227" s="14">
        <v>213</v>
      </c>
      <c r="B1227" s="14" t="s">
        <v>850</v>
      </c>
      <c r="C1227" s="14" t="s">
        <v>827</v>
      </c>
      <c r="D1227" s="14" t="s">
        <v>614</v>
      </c>
      <c r="E1227" s="15" t="s">
        <v>509</v>
      </c>
      <c r="F1227" s="15"/>
      <c r="G1227" s="16">
        <f t="shared" si="67"/>
        <v>900</v>
      </c>
      <c r="H1227" s="16">
        <v>900</v>
      </c>
      <c r="I1227" s="16">
        <f t="shared" si="69"/>
        <v>0</v>
      </c>
      <c r="J1227" s="31">
        <v>900</v>
      </c>
      <c r="K1227" s="69">
        <f t="shared" si="68"/>
        <v>0</v>
      </c>
      <c r="L1227" s="50"/>
      <c r="M1227" s="109"/>
      <c r="N1227" s="110"/>
    </row>
    <row r="1228" spans="1:14" ht="15" hidden="1" thickBot="1" x14ac:dyDescent="0.35">
      <c r="A1228" s="14">
        <v>214</v>
      </c>
      <c r="B1228" s="14" t="s">
        <v>851</v>
      </c>
      <c r="C1228" s="14" t="s">
        <v>641</v>
      </c>
      <c r="D1228" s="14" t="s">
        <v>720</v>
      </c>
      <c r="E1228" s="15" t="s">
        <v>508</v>
      </c>
      <c r="F1228" s="15">
        <v>2</v>
      </c>
      <c r="G1228" s="16">
        <f t="shared" si="67"/>
        <v>6080</v>
      </c>
      <c r="H1228" s="16">
        <v>6080</v>
      </c>
      <c r="I1228" s="16">
        <f t="shared" si="69"/>
        <v>0</v>
      </c>
      <c r="J1228" s="31">
        <v>6080</v>
      </c>
      <c r="K1228" s="69">
        <f t="shared" si="68"/>
        <v>0</v>
      </c>
      <c r="L1228" s="50"/>
      <c r="M1228" s="109"/>
      <c r="N1228" s="110"/>
    </row>
    <row r="1229" spans="1:14" ht="14.4" hidden="1" customHeight="1" thickBot="1" x14ac:dyDescent="0.35">
      <c r="A1229" s="14">
        <v>214</v>
      </c>
      <c r="B1229" s="14" t="s">
        <v>851</v>
      </c>
      <c r="C1229" s="14" t="s">
        <v>641</v>
      </c>
      <c r="D1229" s="14" t="s">
        <v>523</v>
      </c>
      <c r="E1229" s="15" t="s">
        <v>508</v>
      </c>
      <c r="F1229" s="15">
        <v>3</v>
      </c>
      <c r="G1229" s="16">
        <f t="shared" si="67"/>
        <v>24242</v>
      </c>
      <c r="H1229" s="16">
        <v>24302</v>
      </c>
      <c r="I1229" s="16">
        <f t="shared" si="69"/>
        <v>0</v>
      </c>
      <c r="J1229" s="31">
        <v>24302</v>
      </c>
      <c r="K1229" s="69">
        <f t="shared" si="68"/>
        <v>0</v>
      </c>
      <c r="L1229" s="50">
        <v>60</v>
      </c>
      <c r="M1229" s="109">
        <v>60</v>
      </c>
      <c r="N1229" s="110"/>
    </row>
    <row r="1230" spans="1:14" ht="15" hidden="1" thickBot="1" x14ac:dyDescent="0.35">
      <c r="A1230" s="14">
        <v>214</v>
      </c>
      <c r="B1230" s="14" t="s">
        <v>851</v>
      </c>
      <c r="C1230" s="14" t="s">
        <v>641</v>
      </c>
      <c r="D1230" s="14" t="s">
        <v>511</v>
      </c>
      <c r="E1230" s="15" t="s">
        <v>503</v>
      </c>
      <c r="F1230" s="15">
        <v>2</v>
      </c>
      <c r="G1230" s="16">
        <f t="shared" si="67"/>
        <v>6650</v>
      </c>
      <c r="H1230" s="16">
        <v>6650</v>
      </c>
      <c r="I1230" s="16">
        <f t="shared" si="69"/>
        <v>0</v>
      </c>
      <c r="J1230" s="31">
        <v>6650</v>
      </c>
      <c r="K1230" s="69">
        <f t="shared" si="68"/>
        <v>0</v>
      </c>
      <c r="L1230" s="50"/>
      <c r="M1230" s="109"/>
      <c r="N1230" s="110"/>
    </row>
    <row r="1231" spans="1:14" ht="15" hidden="1" thickBot="1" x14ac:dyDescent="0.35">
      <c r="A1231" s="14">
        <v>214</v>
      </c>
      <c r="B1231" s="14" t="s">
        <v>851</v>
      </c>
      <c r="C1231" s="14" t="s">
        <v>641</v>
      </c>
      <c r="D1231" s="14" t="s">
        <v>614</v>
      </c>
      <c r="E1231" s="15" t="s">
        <v>509</v>
      </c>
      <c r="F1231" s="15">
        <v>9</v>
      </c>
      <c r="G1231" s="16">
        <f t="shared" si="67"/>
        <v>74077</v>
      </c>
      <c r="H1231" s="16">
        <v>74077</v>
      </c>
      <c r="I1231" s="16">
        <f t="shared" si="69"/>
        <v>0</v>
      </c>
      <c r="J1231" s="31">
        <v>74077</v>
      </c>
      <c r="K1231" s="69">
        <f t="shared" si="68"/>
        <v>0</v>
      </c>
      <c r="L1231" s="50"/>
      <c r="M1231" s="109"/>
      <c r="N1231" s="110"/>
    </row>
    <row r="1232" spans="1:14" ht="15" hidden="1" thickBot="1" x14ac:dyDescent="0.35">
      <c r="A1232" s="14">
        <v>214</v>
      </c>
      <c r="B1232" s="14" t="s">
        <v>851</v>
      </c>
      <c r="C1232" s="14" t="s">
        <v>641</v>
      </c>
      <c r="D1232" s="14" t="s">
        <v>510</v>
      </c>
      <c r="E1232" s="15" t="s">
        <v>509</v>
      </c>
      <c r="F1232" s="15">
        <v>8</v>
      </c>
      <c r="G1232" s="16">
        <f t="shared" si="67"/>
        <v>38078</v>
      </c>
      <c r="H1232" s="16">
        <v>38558</v>
      </c>
      <c r="I1232" s="16">
        <f t="shared" si="69"/>
        <v>0</v>
      </c>
      <c r="J1232" s="31">
        <v>38558</v>
      </c>
      <c r="K1232" s="69">
        <f t="shared" si="68"/>
        <v>0</v>
      </c>
      <c r="L1232" s="50">
        <v>480</v>
      </c>
      <c r="M1232" s="109">
        <v>480</v>
      </c>
      <c r="N1232" s="110">
        <v>0.92500000000000004</v>
      </c>
    </row>
    <row r="1233" spans="1:14" ht="15" hidden="1" thickBot="1" x14ac:dyDescent="0.35">
      <c r="A1233" s="14">
        <v>215</v>
      </c>
      <c r="B1233" s="14" t="s">
        <v>852</v>
      </c>
      <c r="C1233" s="14" t="s">
        <v>853</v>
      </c>
      <c r="D1233" s="14" t="s">
        <v>529</v>
      </c>
      <c r="E1233" s="15" t="s">
        <v>500</v>
      </c>
      <c r="F1233" s="15">
        <v>3</v>
      </c>
      <c r="G1233" s="16">
        <f t="shared" si="67"/>
        <v>6496</v>
      </c>
      <c r="H1233" s="16">
        <v>6816</v>
      </c>
      <c r="I1233" s="16">
        <f t="shared" si="69"/>
        <v>0</v>
      </c>
      <c r="J1233" s="31">
        <v>6816</v>
      </c>
      <c r="K1233" s="69">
        <f t="shared" si="68"/>
        <v>0</v>
      </c>
      <c r="L1233" s="50">
        <v>320</v>
      </c>
      <c r="M1233" s="109">
        <v>320</v>
      </c>
      <c r="N1233" s="110"/>
    </row>
    <row r="1234" spans="1:14" ht="15" hidden="1" thickBot="1" x14ac:dyDescent="0.35">
      <c r="A1234" s="14">
        <v>215</v>
      </c>
      <c r="B1234" s="14" t="s">
        <v>852</v>
      </c>
      <c r="C1234" s="14" t="s">
        <v>853</v>
      </c>
      <c r="D1234" s="14" t="s">
        <v>760</v>
      </c>
      <c r="E1234" s="15" t="s">
        <v>500</v>
      </c>
      <c r="F1234" s="15">
        <v>3</v>
      </c>
      <c r="G1234" s="16">
        <f t="shared" si="67"/>
        <v>7103.3</v>
      </c>
      <c r="H1234" s="16">
        <v>7103.3</v>
      </c>
      <c r="I1234" s="16">
        <f t="shared" si="69"/>
        <v>0</v>
      </c>
      <c r="J1234" s="31">
        <v>7103.3</v>
      </c>
      <c r="K1234" s="69">
        <f t="shared" si="68"/>
        <v>0</v>
      </c>
      <c r="L1234" s="50"/>
      <c r="M1234" s="109"/>
      <c r="N1234" s="110"/>
    </row>
    <row r="1235" spans="1:14" ht="15" hidden="1" thickBot="1" x14ac:dyDescent="0.35">
      <c r="A1235" s="14">
        <v>215</v>
      </c>
      <c r="B1235" s="14" t="s">
        <v>852</v>
      </c>
      <c r="C1235" s="14" t="s">
        <v>853</v>
      </c>
      <c r="D1235" s="14" t="s">
        <v>757</v>
      </c>
      <c r="E1235" s="15" t="s">
        <v>512</v>
      </c>
      <c r="F1235" s="15">
        <v>3</v>
      </c>
      <c r="G1235" s="16">
        <f t="shared" si="67"/>
        <v>9153</v>
      </c>
      <c r="H1235" s="16">
        <v>9153</v>
      </c>
      <c r="I1235" s="16">
        <f t="shared" si="69"/>
        <v>0</v>
      </c>
      <c r="J1235" s="31">
        <v>9153</v>
      </c>
      <c r="K1235" s="69">
        <f t="shared" si="68"/>
        <v>0</v>
      </c>
      <c r="L1235" s="50"/>
      <c r="M1235" s="109"/>
      <c r="N1235" s="110"/>
    </row>
    <row r="1236" spans="1:14" ht="15" hidden="1" thickBot="1" x14ac:dyDescent="0.35">
      <c r="A1236" s="14">
        <v>215</v>
      </c>
      <c r="B1236" s="14" t="s">
        <v>852</v>
      </c>
      <c r="C1236" s="14" t="s">
        <v>853</v>
      </c>
      <c r="D1236" s="14" t="s">
        <v>532</v>
      </c>
      <c r="E1236" s="15" t="s">
        <v>500</v>
      </c>
      <c r="F1236" s="15">
        <v>3</v>
      </c>
      <c r="G1236" s="16">
        <f t="shared" si="67"/>
        <v>10906</v>
      </c>
      <c r="H1236" s="16">
        <v>10906</v>
      </c>
      <c r="I1236" s="16">
        <f t="shared" si="69"/>
        <v>0</v>
      </c>
      <c r="J1236" s="31">
        <v>10906</v>
      </c>
      <c r="K1236" s="69">
        <f t="shared" si="68"/>
        <v>0</v>
      </c>
      <c r="L1236" s="50"/>
      <c r="M1236" s="109"/>
      <c r="N1236" s="110"/>
    </row>
    <row r="1237" spans="1:14" ht="15" hidden="1" thickBot="1" x14ac:dyDescent="0.35">
      <c r="A1237" s="14">
        <v>215</v>
      </c>
      <c r="B1237" s="14" t="s">
        <v>852</v>
      </c>
      <c r="C1237" s="14" t="s">
        <v>853</v>
      </c>
      <c r="D1237" s="14" t="s">
        <v>530</v>
      </c>
      <c r="E1237" s="15" t="s">
        <v>500</v>
      </c>
      <c r="F1237" s="15">
        <v>3</v>
      </c>
      <c r="G1237" s="16">
        <f t="shared" si="67"/>
        <v>7790</v>
      </c>
      <c r="H1237" s="16">
        <v>7790</v>
      </c>
      <c r="I1237" s="16">
        <f t="shared" si="69"/>
        <v>0</v>
      </c>
      <c r="J1237" s="31">
        <v>7790</v>
      </c>
      <c r="K1237" s="69">
        <f t="shared" si="68"/>
        <v>0</v>
      </c>
      <c r="L1237" s="50"/>
      <c r="M1237" s="109"/>
      <c r="N1237" s="110"/>
    </row>
    <row r="1238" spans="1:14" ht="15" hidden="1" thickBot="1" x14ac:dyDescent="0.35">
      <c r="A1238" s="14">
        <v>215</v>
      </c>
      <c r="B1238" s="14" t="s">
        <v>852</v>
      </c>
      <c r="C1238" s="14" t="s">
        <v>853</v>
      </c>
      <c r="D1238" s="14" t="s">
        <v>760</v>
      </c>
      <c r="E1238" s="15" t="s">
        <v>500</v>
      </c>
      <c r="F1238" s="15">
        <v>4</v>
      </c>
      <c r="G1238" s="16">
        <f t="shared" si="67"/>
        <v>7498</v>
      </c>
      <c r="H1238" s="16">
        <v>7498</v>
      </c>
      <c r="I1238" s="16">
        <f t="shared" si="69"/>
        <v>0</v>
      </c>
      <c r="J1238" s="31">
        <v>7498</v>
      </c>
      <c r="K1238" s="69">
        <f t="shared" si="68"/>
        <v>0</v>
      </c>
      <c r="L1238" s="50"/>
      <c r="M1238" s="109"/>
      <c r="N1238" s="110"/>
    </row>
    <row r="1239" spans="1:14" ht="15" hidden="1" thickBot="1" x14ac:dyDescent="0.35">
      <c r="A1239" s="14">
        <v>215</v>
      </c>
      <c r="B1239" s="14" t="s">
        <v>852</v>
      </c>
      <c r="C1239" s="14" t="s">
        <v>853</v>
      </c>
      <c r="D1239" s="14" t="s">
        <v>637</v>
      </c>
      <c r="E1239" s="15" t="s">
        <v>504</v>
      </c>
      <c r="F1239" s="15">
        <v>5</v>
      </c>
      <c r="G1239" s="16">
        <f t="shared" si="67"/>
        <v>20312</v>
      </c>
      <c r="H1239" s="16">
        <v>20312</v>
      </c>
      <c r="I1239" s="16">
        <f t="shared" si="69"/>
        <v>0</v>
      </c>
      <c r="J1239" s="31">
        <v>20312</v>
      </c>
      <c r="K1239" s="69">
        <f t="shared" si="68"/>
        <v>0</v>
      </c>
      <c r="L1239" s="50"/>
      <c r="M1239" s="109"/>
      <c r="N1239" s="110"/>
    </row>
    <row r="1240" spans="1:14" ht="15" hidden="1" thickBot="1" x14ac:dyDescent="0.35">
      <c r="A1240" s="14">
        <v>215</v>
      </c>
      <c r="B1240" s="14" t="s">
        <v>852</v>
      </c>
      <c r="C1240" s="14" t="s">
        <v>853</v>
      </c>
      <c r="D1240" s="14" t="s">
        <v>1831</v>
      </c>
      <c r="E1240" s="15" t="s">
        <v>504</v>
      </c>
      <c r="F1240" s="15">
        <v>3</v>
      </c>
      <c r="G1240" s="16">
        <f t="shared" si="67"/>
        <v>5648</v>
      </c>
      <c r="H1240" s="16">
        <v>5648</v>
      </c>
      <c r="I1240" s="16">
        <f t="shared" si="69"/>
        <v>0</v>
      </c>
      <c r="J1240" s="31">
        <v>5648</v>
      </c>
      <c r="K1240" s="69">
        <f t="shared" si="68"/>
        <v>0</v>
      </c>
      <c r="L1240" s="50"/>
      <c r="M1240" s="109"/>
      <c r="N1240" s="110"/>
    </row>
    <row r="1241" spans="1:14" ht="15" hidden="1" thickBot="1" x14ac:dyDescent="0.35">
      <c r="A1241" s="14">
        <v>215</v>
      </c>
      <c r="B1241" s="14" t="s">
        <v>852</v>
      </c>
      <c r="C1241" s="14" t="s">
        <v>853</v>
      </c>
      <c r="D1241" s="14" t="s">
        <v>761</v>
      </c>
      <c r="E1241" s="15" t="s">
        <v>500</v>
      </c>
      <c r="F1241" s="15">
        <v>3</v>
      </c>
      <c r="G1241" s="16">
        <f t="shared" si="67"/>
        <v>8764</v>
      </c>
      <c r="H1241" s="16">
        <v>8764</v>
      </c>
      <c r="I1241" s="16">
        <f t="shared" si="69"/>
        <v>0</v>
      </c>
      <c r="J1241" s="31">
        <v>8764</v>
      </c>
      <c r="K1241" s="69">
        <f t="shared" si="68"/>
        <v>0</v>
      </c>
      <c r="L1241" s="50"/>
      <c r="M1241" s="109"/>
      <c r="N1241" s="110"/>
    </row>
    <row r="1242" spans="1:14" ht="15" hidden="1" thickBot="1" x14ac:dyDescent="0.35">
      <c r="A1242" s="14">
        <v>215</v>
      </c>
      <c r="B1242" s="14" t="s">
        <v>852</v>
      </c>
      <c r="C1242" s="14" t="s">
        <v>641</v>
      </c>
      <c r="D1242" s="14" t="s">
        <v>614</v>
      </c>
      <c r="E1242" s="15" t="s">
        <v>499</v>
      </c>
      <c r="F1242" s="15">
        <v>1</v>
      </c>
      <c r="G1242" s="16">
        <f t="shared" si="67"/>
        <v>2651</v>
      </c>
      <c r="H1242" s="16">
        <v>2651</v>
      </c>
      <c r="I1242" s="16">
        <f t="shared" si="69"/>
        <v>0</v>
      </c>
      <c r="J1242" s="31">
        <v>2651</v>
      </c>
      <c r="K1242" s="69">
        <f t="shared" si="68"/>
        <v>0</v>
      </c>
      <c r="L1242" s="50"/>
      <c r="M1242" s="109"/>
      <c r="N1242" s="110"/>
    </row>
    <row r="1243" spans="1:14" ht="15" hidden="1" thickBot="1" x14ac:dyDescent="0.35">
      <c r="A1243" s="14">
        <v>215</v>
      </c>
      <c r="B1243" s="14" t="s">
        <v>852</v>
      </c>
      <c r="C1243" s="20" t="s">
        <v>430</v>
      </c>
      <c r="D1243" s="14" t="s">
        <v>530</v>
      </c>
      <c r="E1243" s="15" t="s">
        <v>500</v>
      </c>
      <c r="F1243" s="15">
        <v>2</v>
      </c>
      <c r="G1243" s="16">
        <f t="shared" si="67"/>
        <v>1035</v>
      </c>
      <c r="H1243" s="16">
        <v>1035</v>
      </c>
      <c r="I1243" s="16">
        <f t="shared" si="69"/>
        <v>0</v>
      </c>
      <c r="J1243" s="31">
        <v>1035</v>
      </c>
      <c r="K1243" s="69">
        <f t="shared" si="68"/>
        <v>0</v>
      </c>
      <c r="L1243" s="50"/>
      <c r="M1243" s="109"/>
      <c r="N1243" s="110"/>
    </row>
    <row r="1244" spans="1:14" ht="15" hidden="1" thickBot="1" x14ac:dyDescent="0.35">
      <c r="A1244" s="14">
        <v>215</v>
      </c>
      <c r="B1244" s="14" t="s">
        <v>852</v>
      </c>
      <c r="C1244" s="20" t="s">
        <v>430</v>
      </c>
      <c r="D1244" s="14" t="s">
        <v>720</v>
      </c>
      <c r="E1244" s="15" t="s">
        <v>508</v>
      </c>
      <c r="F1244" s="15">
        <v>5</v>
      </c>
      <c r="G1244" s="16">
        <f t="shared" si="67"/>
        <v>11704</v>
      </c>
      <c r="H1244" s="16">
        <v>11704</v>
      </c>
      <c r="I1244" s="16">
        <f t="shared" si="69"/>
        <v>0</v>
      </c>
      <c r="J1244" s="31">
        <v>11704</v>
      </c>
      <c r="K1244" s="69">
        <f t="shared" si="68"/>
        <v>0</v>
      </c>
      <c r="L1244" s="50"/>
      <c r="M1244" s="109"/>
      <c r="N1244" s="110"/>
    </row>
    <row r="1245" spans="1:14" ht="15" hidden="1" thickBot="1" x14ac:dyDescent="0.35">
      <c r="A1245" s="14">
        <v>215</v>
      </c>
      <c r="B1245" s="14" t="s">
        <v>852</v>
      </c>
      <c r="C1245" s="20" t="s">
        <v>430</v>
      </c>
      <c r="D1245" s="14" t="s">
        <v>529</v>
      </c>
      <c r="E1245" s="15" t="s">
        <v>500</v>
      </c>
      <c r="F1245" s="15">
        <v>2</v>
      </c>
      <c r="G1245" s="16">
        <f t="shared" si="67"/>
        <v>1035</v>
      </c>
      <c r="H1245" s="16">
        <v>1035</v>
      </c>
      <c r="I1245" s="16">
        <f t="shared" si="69"/>
        <v>0</v>
      </c>
      <c r="J1245" s="31">
        <v>1035</v>
      </c>
      <c r="K1245" s="69">
        <f t="shared" si="68"/>
        <v>0</v>
      </c>
      <c r="L1245" s="50"/>
      <c r="M1245" s="109"/>
      <c r="N1245" s="110"/>
    </row>
    <row r="1246" spans="1:14" ht="15" hidden="1" thickBot="1" x14ac:dyDescent="0.35">
      <c r="A1246" s="14">
        <v>215</v>
      </c>
      <c r="B1246" s="14" t="s">
        <v>852</v>
      </c>
      <c r="C1246" s="20" t="s">
        <v>430</v>
      </c>
      <c r="D1246" s="14" t="s">
        <v>760</v>
      </c>
      <c r="E1246" s="15" t="s">
        <v>500</v>
      </c>
      <c r="F1246" s="15">
        <v>3</v>
      </c>
      <c r="G1246" s="16">
        <f t="shared" si="67"/>
        <v>12540</v>
      </c>
      <c r="H1246" s="16">
        <v>12540</v>
      </c>
      <c r="I1246" s="16">
        <f t="shared" si="69"/>
        <v>0</v>
      </c>
      <c r="J1246" s="31">
        <v>12540</v>
      </c>
      <c r="K1246" s="69">
        <f t="shared" si="68"/>
        <v>0</v>
      </c>
      <c r="L1246" s="50"/>
      <c r="M1246" s="109"/>
      <c r="N1246" s="110"/>
    </row>
    <row r="1247" spans="1:14" ht="15" hidden="1" thickBot="1" x14ac:dyDescent="0.35">
      <c r="A1247" s="14">
        <v>215</v>
      </c>
      <c r="B1247" s="14" t="s">
        <v>852</v>
      </c>
      <c r="C1247" s="20" t="s">
        <v>430</v>
      </c>
      <c r="D1247" s="14" t="s">
        <v>532</v>
      </c>
      <c r="E1247" s="15" t="s">
        <v>500</v>
      </c>
      <c r="F1247" s="15">
        <v>2</v>
      </c>
      <c r="G1247" s="16">
        <f t="shared" si="67"/>
        <v>3135</v>
      </c>
      <c r="H1247" s="16">
        <v>3135</v>
      </c>
      <c r="I1247" s="16">
        <f t="shared" si="69"/>
        <v>0</v>
      </c>
      <c r="J1247" s="31">
        <v>3135</v>
      </c>
      <c r="K1247" s="69">
        <f t="shared" si="68"/>
        <v>0</v>
      </c>
      <c r="L1247" s="50"/>
      <c r="M1247" s="109"/>
      <c r="N1247" s="110"/>
    </row>
    <row r="1248" spans="1:14" ht="15" hidden="1" thickBot="1" x14ac:dyDescent="0.35">
      <c r="A1248" s="14">
        <v>215</v>
      </c>
      <c r="B1248" s="14" t="s">
        <v>852</v>
      </c>
      <c r="C1248" s="20" t="s">
        <v>430</v>
      </c>
      <c r="D1248" s="14" t="s">
        <v>1832</v>
      </c>
      <c r="E1248" s="15" t="s">
        <v>499</v>
      </c>
      <c r="F1248" s="15">
        <v>3</v>
      </c>
      <c r="G1248" s="16">
        <f t="shared" si="67"/>
        <v>13794</v>
      </c>
      <c r="H1248" s="16">
        <v>13794</v>
      </c>
      <c r="I1248" s="16">
        <f t="shared" si="69"/>
        <v>0</v>
      </c>
      <c r="J1248" s="31">
        <v>13794</v>
      </c>
      <c r="K1248" s="69">
        <f t="shared" si="68"/>
        <v>0</v>
      </c>
      <c r="L1248" s="50"/>
      <c r="M1248" s="109"/>
      <c r="N1248" s="110"/>
    </row>
    <row r="1249" spans="1:14" ht="15" hidden="1" thickBot="1" x14ac:dyDescent="0.35">
      <c r="A1249" s="14">
        <v>215</v>
      </c>
      <c r="B1249" s="14" t="s">
        <v>852</v>
      </c>
      <c r="C1249" s="20" t="s">
        <v>430</v>
      </c>
      <c r="D1249" s="14" t="s">
        <v>511</v>
      </c>
      <c r="E1249" s="15" t="s">
        <v>503</v>
      </c>
      <c r="F1249" s="15">
        <v>4</v>
      </c>
      <c r="G1249" s="16">
        <f t="shared" si="67"/>
        <v>12645</v>
      </c>
      <c r="H1249" s="16">
        <v>12645</v>
      </c>
      <c r="I1249" s="16">
        <f t="shared" si="69"/>
        <v>0</v>
      </c>
      <c r="J1249" s="31">
        <v>12645</v>
      </c>
      <c r="K1249" s="69">
        <f t="shared" si="68"/>
        <v>0</v>
      </c>
      <c r="L1249" s="50"/>
      <c r="M1249" s="109"/>
      <c r="N1249" s="110"/>
    </row>
    <row r="1250" spans="1:14" ht="15" hidden="1" thickBot="1" x14ac:dyDescent="0.35">
      <c r="A1250" s="14">
        <v>215</v>
      </c>
      <c r="B1250" s="14" t="s">
        <v>852</v>
      </c>
      <c r="C1250" s="20" t="s">
        <v>430</v>
      </c>
      <c r="D1250" s="14" t="s">
        <v>518</v>
      </c>
      <c r="E1250" s="15" t="s">
        <v>503</v>
      </c>
      <c r="F1250" s="15">
        <v>2</v>
      </c>
      <c r="G1250" s="16">
        <f t="shared" si="67"/>
        <v>855</v>
      </c>
      <c r="H1250" s="16">
        <v>855</v>
      </c>
      <c r="I1250" s="16">
        <f t="shared" si="69"/>
        <v>0</v>
      </c>
      <c r="J1250" s="31">
        <v>855</v>
      </c>
      <c r="K1250" s="69">
        <f t="shared" si="68"/>
        <v>0</v>
      </c>
      <c r="L1250" s="50"/>
      <c r="M1250" s="109"/>
      <c r="N1250" s="110"/>
    </row>
    <row r="1251" spans="1:14" ht="15" hidden="1" thickBot="1" x14ac:dyDescent="0.35">
      <c r="A1251" s="14">
        <v>215</v>
      </c>
      <c r="B1251" s="14" t="s">
        <v>852</v>
      </c>
      <c r="C1251" s="20" t="s">
        <v>430</v>
      </c>
      <c r="D1251" s="14" t="s">
        <v>757</v>
      </c>
      <c r="E1251" s="15" t="s">
        <v>512</v>
      </c>
      <c r="F1251" s="15">
        <v>3</v>
      </c>
      <c r="G1251" s="16">
        <f t="shared" si="67"/>
        <v>8360</v>
      </c>
      <c r="H1251" s="16">
        <v>8360</v>
      </c>
      <c r="I1251" s="16">
        <f t="shared" si="69"/>
        <v>0</v>
      </c>
      <c r="J1251" s="31">
        <v>8360</v>
      </c>
      <c r="K1251" s="69">
        <f t="shared" si="68"/>
        <v>0</v>
      </c>
      <c r="L1251" s="50"/>
      <c r="M1251" s="109"/>
      <c r="N1251" s="110"/>
    </row>
    <row r="1252" spans="1:14" ht="15" hidden="1" thickBot="1" x14ac:dyDescent="0.35">
      <c r="A1252" s="14">
        <v>215</v>
      </c>
      <c r="B1252" s="14" t="s">
        <v>852</v>
      </c>
      <c r="C1252" s="14" t="s">
        <v>648</v>
      </c>
      <c r="D1252" s="14" t="s">
        <v>618</v>
      </c>
      <c r="E1252" s="15" t="s">
        <v>509</v>
      </c>
      <c r="F1252" s="15">
        <v>1</v>
      </c>
      <c r="G1252" s="16">
        <f t="shared" si="67"/>
        <v>8565</v>
      </c>
      <c r="H1252" s="16">
        <v>8565</v>
      </c>
      <c r="I1252" s="16">
        <f t="shared" si="69"/>
        <v>0</v>
      </c>
      <c r="J1252" s="31">
        <v>8565</v>
      </c>
      <c r="K1252" s="69">
        <f t="shared" si="68"/>
        <v>0</v>
      </c>
      <c r="L1252" s="50"/>
      <c r="M1252" s="109"/>
      <c r="N1252" s="110">
        <v>0.95</v>
      </c>
    </row>
    <row r="1253" spans="1:14" ht="15" hidden="1" thickBot="1" x14ac:dyDescent="0.35">
      <c r="A1253" s="14">
        <v>215</v>
      </c>
      <c r="B1253" s="14" t="s">
        <v>852</v>
      </c>
      <c r="C1253" s="14" t="s">
        <v>648</v>
      </c>
      <c r="D1253" s="14" t="s">
        <v>1043</v>
      </c>
      <c r="E1253" s="15" t="s">
        <v>500</v>
      </c>
      <c r="F1253" s="15">
        <v>1</v>
      </c>
      <c r="G1253" s="16">
        <f t="shared" si="67"/>
        <v>6861</v>
      </c>
      <c r="H1253" s="16">
        <v>6861</v>
      </c>
      <c r="I1253" s="16">
        <f t="shared" si="69"/>
        <v>0</v>
      </c>
      <c r="J1253" s="31">
        <v>6861</v>
      </c>
      <c r="K1253" s="69">
        <f t="shared" si="68"/>
        <v>0</v>
      </c>
      <c r="L1253" s="50"/>
      <c r="M1253" s="109"/>
      <c r="N1253" s="110">
        <v>0.95</v>
      </c>
    </row>
    <row r="1254" spans="1:14" ht="15" hidden="1" thickBot="1" x14ac:dyDescent="0.35">
      <c r="A1254" s="14">
        <v>215</v>
      </c>
      <c r="B1254" s="14" t="s">
        <v>852</v>
      </c>
      <c r="C1254" s="14" t="s">
        <v>648</v>
      </c>
      <c r="D1254" s="14" t="s">
        <v>1001</v>
      </c>
      <c r="E1254" s="15" t="s">
        <v>504</v>
      </c>
      <c r="F1254" s="15">
        <v>1</v>
      </c>
      <c r="G1254" s="16">
        <f t="shared" si="67"/>
        <v>10881.3</v>
      </c>
      <c r="H1254" s="16">
        <v>10881.3</v>
      </c>
      <c r="I1254" s="16">
        <f t="shared" si="69"/>
        <v>0</v>
      </c>
      <c r="J1254" s="31">
        <v>10881.3</v>
      </c>
      <c r="K1254" s="69">
        <f t="shared" si="68"/>
        <v>0</v>
      </c>
      <c r="L1254" s="50"/>
      <c r="M1254" s="109"/>
      <c r="N1254" s="110">
        <v>0.95</v>
      </c>
    </row>
    <row r="1255" spans="1:14" ht="15" hidden="1" thickBot="1" x14ac:dyDescent="0.35">
      <c r="A1255" s="14">
        <v>215</v>
      </c>
      <c r="B1255" s="14" t="s">
        <v>852</v>
      </c>
      <c r="C1255" s="14" t="s">
        <v>648</v>
      </c>
      <c r="D1255" s="14" t="s">
        <v>1102</v>
      </c>
      <c r="E1255" s="15" t="s">
        <v>500</v>
      </c>
      <c r="F1255" s="15">
        <v>2</v>
      </c>
      <c r="G1255" s="16">
        <f t="shared" si="67"/>
        <v>10892</v>
      </c>
      <c r="H1255" s="16">
        <v>10892</v>
      </c>
      <c r="I1255" s="16">
        <f t="shared" si="69"/>
        <v>0</v>
      </c>
      <c r="J1255" s="31">
        <v>10892</v>
      </c>
      <c r="K1255" s="69">
        <f t="shared" si="68"/>
        <v>0</v>
      </c>
      <c r="L1255" s="50"/>
      <c r="M1255" s="109"/>
      <c r="N1255" s="110">
        <v>0.95</v>
      </c>
    </row>
    <row r="1256" spans="1:14" ht="15" hidden="1" thickBot="1" x14ac:dyDescent="0.35">
      <c r="A1256" s="14">
        <v>215</v>
      </c>
      <c r="B1256" s="14" t="s">
        <v>852</v>
      </c>
      <c r="C1256" s="14" t="s">
        <v>648</v>
      </c>
      <c r="D1256" s="14" t="s">
        <v>1105</v>
      </c>
      <c r="E1256" s="15" t="s">
        <v>504</v>
      </c>
      <c r="F1256" s="15">
        <v>2</v>
      </c>
      <c r="G1256" s="16">
        <f t="shared" si="67"/>
        <v>9493</v>
      </c>
      <c r="H1256" s="16">
        <v>9493</v>
      </c>
      <c r="I1256" s="16">
        <f t="shared" si="69"/>
        <v>0</v>
      </c>
      <c r="J1256" s="31">
        <v>9493</v>
      </c>
      <c r="K1256" s="69">
        <f t="shared" si="68"/>
        <v>0</v>
      </c>
      <c r="L1256" s="50"/>
      <c r="M1256" s="109"/>
      <c r="N1256" s="110">
        <v>0.95</v>
      </c>
    </row>
    <row r="1257" spans="1:14" ht="15" hidden="1" thickBot="1" x14ac:dyDescent="0.35">
      <c r="A1257" s="14">
        <v>215</v>
      </c>
      <c r="B1257" s="14" t="s">
        <v>852</v>
      </c>
      <c r="C1257" s="14" t="s">
        <v>648</v>
      </c>
      <c r="D1257" s="14" t="s">
        <v>1076</v>
      </c>
      <c r="E1257" s="15" t="s">
        <v>512</v>
      </c>
      <c r="F1257" s="15">
        <v>1</v>
      </c>
      <c r="G1257" s="16">
        <f t="shared" si="67"/>
        <v>20255</v>
      </c>
      <c r="H1257" s="16">
        <v>20255</v>
      </c>
      <c r="I1257" s="16">
        <f t="shared" si="69"/>
        <v>0</v>
      </c>
      <c r="J1257" s="31">
        <v>20255</v>
      </c>
      <c r="K1257" s="69">
        <f t="shared" si="68"/>
        <v>0</v>
      </c>
      <c r="L1257" s="50"/>
      <c r="M1257" s="109"/>
      <c r="N1257" s="110">
        <v>0.95</v>
      </c>
    </row>
    <row r="1258" spans="1:14" ht="15" hidden="1" thickBot="1" x14ac:dyDescent="0.35">
      <c r="A1258" s="20">
        <v>216</v>
      </c>
      <c r="B1258" s="14" t="s">
        <v>854</v>
      </c>
      <c r="C1258" s="14" t="s">
        <v>729</v>
      </c>
      <c r="D1258" s="14" t="s">
        <v>511</v>
      </c>
      <c r="E1258" s="15" t="s">
        <v>503</v>
      </c>
      <c r="F1258" s="15">
        <v>2</v>
      </c>
      <c r="G1258" s="16">
        <f t="shared" si="67"/>
        <v>1020</v>
      </c>
      <c r="H1258" s="16">
        <v>1860</v>
      </c>
      <c r="I1258" s="16">
        <f t="shared" si="69"/>
        <v>0</v>
      </c>
      <c r="J1258" s="31">
        <v>1860</v>
      </c>
      <c r="K1258" s="69">
        <f t="shared" si="68"/>
        <v>0</v>
      </c>
      <c r="L1258" s="50">
        <v>840</v>
      </c>
      <c r="M1258" s="109">
        <v>840</v>
      </c>
      <c r="N1258" s="110"/>
    </row>
    <row r="1259" spans="1:14" ht="15" hidden="1" thickBot="1" x14ac:dyDescent="0.35">
      <c r="A1259" s="20">
        <v>216</v>
      </c>
      <c r="B1259" s="14" t="s">
        <v>854</v>
      </c>
      <c r="C1259" s="20" t="s">
        <v>648</v>
      </c>
      <c r="D1259" s="14" t="s">
        <v>519</v>
      </c>
      <c r="E1259" s="15" t="s">
        <v>503</v>
      </c>
      <c r="F1259" s="15">
        <v>1</v>
      </c>
      <c r="G1259" s="16">
        <f t="shared" si="67"/>
        <v>1182</v>
      </c>
      <c r="H1259" s="16">
        <v>1182</v>
      </c>
      <c r="I1259" s="16">
        <f t="shared" si="69"/>
        <v>0</v>
      </c>
      <c r="J1259" s="31">
        <v>1182</v>
      </c>
      <c r="K1259" s="69">
        <f t="shared" si="68"/>
        <v>0</v>
      </c>
      <c r="L1259" s="50"/>
      <c r="M1259" s="109"/>
      <c r="N1259" s="110"/>
    </row>
    <row r="1260" spans="1:14" ht="15" hidden="1" thickBot="1" x14ac:dyDescent="0.35">
      <c r="A1260" s="20">
        <v>216</v>
      </c>
      <c r="B1260" s="14" t="s">
        <v>854</v>
      </c>
      <c r="C1260" s="20" t="s">
        <v>648</v>
      </c>
      <c r="D1260" s="14" t="s">
        <v>511</v>
      </c>
      <c r="E1260" s="15" t="s">
        <v>503</v>
      </c>
      <c r="F1260" s="15">
        <v>1</v>
      </c>
      <c r="G1260" s="16">
        <f t="shared" si="67"/>
        <v>1080</v>
      </c>
      <c r="H1260" s="16">
        <v>1080</v>
      </c>
      <c r="I1260" s="16">
        <f t="shared" si="69"/>
        <v>0</v>
      </c>
      <c r="J1260" s="31">
        <v>1080</v>
      </c>
      <c r="K1260" s="69">
        <f t="shared" si="68"/>
        <v>0</v>
      </c>
      <c r="L1260" s="50"/>
      <c r="M1260" s="109"/>
      <c r="N1260" s="110"/>
    </row>
    <row r="1261" spans="1:14" ht="15" hidden="1" customHeight="1" thickBot="1" x14ac:dyDescent="0.35">
      <c r="A1261" s="20">
        <v>216</v>
      </c>
      <c r="B1261" s="14" t="s">
        <v>854</v>
      </c>
      <c r="C1261" s="15" t="s">
        <v>719</v>
      </c>
      <c r="D1261" s="14" t="s">
        <v>511</v>
      </c>
      <c r="E1261" s="15" t="s">
        <v>503</v>
      </c>
      <c r="F1261" s="15">
        <v>3</v>
      </c>
      <c r="G1261" s="16">
        <f t="shared" si="67"/>
        <v>5327.7</v>
      </c>
      <c r="H1261" s="16">
        <v>5327.7</v>
      </c>
      <c r="I1261" s="16">
        <f t="shared" si="69"/>
        <v>0</v>
      </c>
      <c r="J1261" s="31">
        <v>5327.7</v>
      </c>
      <c r="K1261" s="69">
        <f t="shared" si="68"/>
        <v>0</v>
      </c>
      <c r="L1261" s="50"/>
      <c r="M1261" s="109"/>
      <c r="N1261" s="110"/>
    </row>
    <row r="1262" spans="1:14" ht="15" hidden="1" thickBot="1" x14ac:dyDescent="0.35">
      <c r="A1262" s="20">
        <v>216</v>
      </c>
      <c r="B1262" s="14" t="s">
        <v>854</v>
      </c>
      <c r="C1262" s="14" t="s">
        <v>891</v>
      </c>
      <c r="D1262" s="14" t="s">
        <v>523</v>
      </c>
      <c r="E1262" s="15"/>
      <c r="F1262" s="15">
        <v>8</v>
      </c>
      <c r="G1262" s="16">
        <f t="shared" si="67"/>
        <v>60009</v>
      </c>
      <c r="H1262" s="16">
        <v>60609</v>
      </c>
      <c r="I1262" s="16">
        <f t="shared" si="69"/>
        <v>0</v>
      </c>
      <c r="J1262" s="31">
        <v>60609</v>
      </c>
      <c r="K1262" s="69">
        <f t="shared" si="68"/>
        <v>0</v>
      </c>
      <c r="L1262" s="50">
        <v>600</v>
      </c>
      <c r="M1262" s="109">
        <v>600</v>
      </c>
      <c r="N1262" s="110">
        <v>0.95</v>
      </c>
    </row>
    <row r="1263" spans="1:14" ht="15" hidden="1" thickBot="1" x14ac:dyDescent="0.35">
      <c r="A1263" s="20">
        <v>216</v>
      </c>
      <c r="B1263" s="14" t="s">
        <v>854</v>
      </c>
      <c r="C1263" s="14" t="s">
        <v>891</v>
      </c>
      <c r="D1263" s="14" t="s">
        <v>511</v>
      </c>
      <c r="E1263" s="15" t="s">
        <v>503</v>
      </c>
      <c r="F1263" s="15">
        <v>4</v>
      </c>
      <c r="G1263" s="16">
        <f t="shared" si="67"/>
        <v>12855</v>
      </c>
      <c r="H1263" s="16">
        <v>12855</v>
      </c>
      <c r="I1263" s="16">
        <f t="shared" si="69"/>
        <v>0</v>
      </c>
      <c r="J1263" s="31">
        <v>12855</v>
      </c>
      <c r="K1263" s="69">
        <f t="shared" si="68"/>
        <v>0</v>
      </c>
      <c r="L1263" s="50"/>
      <c r="M1263" s="109"/>
      <c r="N1263" s="110">
        <v>0.95</v>
      </c>
    </row>
    <row r="1264" spans="1:14" ht="15" hidden="1" thickBot="1" x14ac:dyDescent="0.35">
      <c r="A1264" s="20">
        <v>216</v>
      </c>
      <c r="B1264" s="14" t="s">
        <v>854</v>
      </c>
      <c r="C1264" s="14" t="s">
        <v>891</v>
      </c>
      <c r="D1264" s="14" t="s">
        <v>547</v>
      </c>
      <c r="E1264" s="15" t="s">
        <v>502</v>
      </c>
      <c r="F1264" s="15">
        <v>8</v>
      </c>
      <c r="G1264" s="16">
        <f t="shared" si="67"/>
        <v>58331</v>
      </c>
      <c r="H1264" s="16">
        <v>58691</v>
      </c>
      <c r="I1264" s="16">
        <f t="shared" si="69"/>
        <v>0</v>
      </c>
      <c r="J1264" s="31">
        <v>58691</v>
      </c>
      <c r="K1264" s="69">
        <f t="shared" si="68"/>
        <v>0</v>
      </c>
      <c r="L1264" s="50">
        <v>360</v>
      </c>
      <c r="M1264" s="109">
        <v>360</v>
      </c>
      <c r="N1264" s="110">
        <v>0.95</v>
      </c>
    </row>
    <row r="1265" spans="1:14" ht="15" hidden="1" thickBot="1" x14ac:dyDescent="0.35">
      <c r="A1265" s="14">
        <v>217</v>
      </c>
      <c r="B1265" s="14" t="s">
        <v>855</v>
      </c>
      <c r="C1265" s="14" t="s">
        <v>891</v>
      </c>
      <c r="D1265" s="14" t="s">
        <v>614</v>
      </c>
      <c r="E1265" s="15" t="s">
        <v>503</v>
      </c>
      <c r="F1265" s="15">
        <v>4</v>
      </c>
      <c r="G1265" s="16">
        <f t="shared" si="67"/>
        <v>36343</v>
      </c>
      <c r="H1265" s="16">
        <v>36343</v>
      </c>
      <c r="I1265" s="16">
        <f t="shared" si="69"/>
        <v>0</v>
      </c>
      <c r="J1265" s="31">
        <v>36343</v>
      </c>
      <c r="K1265" s="69">
        <f t="shared" si="68"/>
        <v>0</v>
      </c>
      <c r="L1265" s="50"/>
      <c r="M1265" s="109"/>
      <c r="N1265" s="110"/>
    </row>
    <row r="1266" spans="1:14" ht="15" hidden="1" thickBot="1" x14ac:dyDescent="0.35">
      <c r="A1266" s="20">
        <v>218</v>
      </c>
      <c r="B1266" s="14" t="s">
        <v>856</v>
      </c>
      <c r="C1266" s="20" t="s">
        <v>643</v>
      </c>
      <c r="D1266" s="14" t="s">
        <v>614</v>
      </c>
      <c r="E1266" s="15" t="s">
        <v>499</v>
      </c>
      <c r="F1266" s="15">
        <v>11</v>
      </c>
      <c r="G1266" s="16">
        <f t="shared" si="67"/>
        <v>96018</v>
      </c>
      <c r="H1266" s="16">
        <v>96258</v>
      </c>
      <c r="I1266" s="16">
        <f t="shared" si="69"/>
        <v>0</v>
      </c>
      <c r="J1266" s="31">
        <v>96258</v>
      </c>
      <c r="K1266" s="69">
        <f t="shared" si="68"/>
        <v>0</v>
      </c>
      <c r="L1266" s="50">
        <v>240</v>
      </c>
      <c r="M1266" s="109">
        <v>240</v>
      </c>
      <c r="N1266" s="110">
        <v>0.95</v>
      </c>
    </row>
    <row r="1267" spans="1:14" ht="15" hidden="1" thickBot="1" x14ac:dyDescent="0.35">
      <c r="A1267" s="20">
        <v>218</v>
      </c>
      <c r="B1267" s="14" t="s">
        <v>856</v>
      </c>
      <c r="C1267" s="20" t="s">
        <v>643</v>
      </c>
      <c r="D1267" s="14" t="s">
        <v>614</v>
      </c>
      <c r="E1267" s="15" t="s">
        <v>509</v>
      </c>
      <c r="F1267" s="15">
        <v>9</v>
      </c>
      <c r="G1267" s="16">
        <f t="shared" si="67"/>
        <v>95718</v>
      </c>
      <c r="H1267" s="16">
        <v>96258</v>
      </c>
      <c r="I1267" s="16">
        <f t="shared" si="69"/>
        <v>0</v>
      </c>
      <c r="J1267" s="31">
        <v>96258</v>
      </c>
      <c r="K1267" s="69">
        <f t="shared" si="68"/>
        <v>0</v>
      </c>
      <c r="L1267" s="50">
        <v>540</v>
      </c>
      <c r="M1267" s="109">
        <v>540</v>
      </c>
      <c r="N1267" s="110">
        <v>0.95</v>
      </c>
    </row>
    <row r="1268" spans="1:14" ht="15" hidden="1" thickBot="1" x14ac:dyDescent="0.35">
      <c r="A1268" s="20">
        <v>218</v>
      </c>
      <c r="B1268" s="14" t="s">
        <v>856</v>
      </c>
      <c r="C1268" s="20" t="s">
        <v>643</v>
      </c>
      <c r="D1268" s="14" t="s">
        <v>510</v>
      </c>
      <c r="E1268" s="15" t="s">
        <v>508</v>
      </c>
      <c r="F1268" s="15">
        <v>8</v>
      </c>
      <c r="G1268" s="16">
        <f t="shared" si="67"/>
        <v>39993</v>
      </c>
      <c r="H1268" s="16">
        <v>40233</v>
      </c>
      <c r="I1268" s="16">
        <f t="shared" si="69"/>
        <v>0</v>
      </c>
      <c r="J1268" s="31">
        <v>40233</v>
      </c>
      <c r="K1268" s="69">
        <f t="shared" si="68"/>
        <v>0</v>
      </c>
      <c r="L1268" s="50">
        <v>240</v>
      </c>
      <c r="M1268" s="109">
        <v>240</v>
      </c>
      <c r="N1268" s="110">
        <v>0.95</v>
      </c>
    </row>
    <row r="1269" spans="1:14" ht="15" hidden="1" thickBot="1" x14ac:dyDescent="0.35">
      <c r="A1269" s="20">
        <v>218</v>
      </c>
      <c r="B1269" s="14" t="s">
        <v>856</v>
      </c>
      <c r="C1269" s="20" t="s">
        <v>643</v>
      </c>
      <c r="D1269" s="14" t="s">
        <v>510</v>
      </c>
      <c r="E1269" s="15" t="s">
        <v>499</v>
      </c>
      <c r="F1269" s="15">
        <v>9</v>
      </c>
      <c r="G1269" s="16">
        <f t="shared" si="67"/>
        <v>40113</v>
      </c>
      <c r="H1269" s="16">
        <v>40233</v>
      </c>
      <c r="I1269" s="16">
        <f t="shared" si="69"/>
        <v>0</v>
      </c>
      <c r="J1269" s="31">
        <v>40233</v>
      </c>
      <c r="K1269" s="69">
        <f t="shared" si="68"/>
        <v>0</v>
      </c>
      <c r="L1269" s="50">
        <v>120</v>
      </c>
      <c r="M1269" s="109">
        <v>120</v>
      </c>
      <c r="N1269" s="110">
        <v>0.95</v>
      </c>
    </row>
    <row r="1270" spans="1:14" ht="15" hidden="1" thickBot="1" x14ac:dyDescent="0.35">
      <c r="A1270" s="20">
        <v>218</v>
      </c>
      <c r="B1270" s="14" t="s">
        <v>856</v>
      </c>
      <c r="C1270" s="20" t="s">
        <v>643</v>
      </c>
      <c r="D1270" s="14" t="s">
        <v>614</v>
      </c>
      <c r="E1270" s="15" t="s">
        <v>508</v>
      </c>
      <c r="F1270" s="15">
        <v>11</v>
      </c>
      <c r="G1270" s="16">
        <f t="shared" si="67"/>
        <v>95898</v>
      </c>
      <c r="H1270" s="16">
        <v>96258</v>
      </c>
      <c r="I1270" s="16">
        <f t="shared" si="69"/>
        <v>0</v>
      </c>
      <c r="J1270" s="31">
        <v>96258</v>
      </c>
      <c r="K1270" s="69">
        <f t="shared" si="68"/>
        <v>0</v>
      </c>
      <c r="L1270" s="50">
        <v>360</v>
      </c>
      <c r="M1270" s="109">
        <v>360</v>
      </c>
      <c r="N1270" s="110">
        <v>0.95</v>
      </c>
    </row>
    <row r="1271" spans="1:14" ht="15" hidden="1" thickBot="1" x14ac:dyDescent="0.35">
      <c r="A1271" s="20">
        <v>218</v>
      </c>
      <c r="B1271" s="14" t="s">
        <v>856</v>
      </c>
      <c r="C1271" s="20" t="s">
        <v>643</v>
      </c>
      <c r="D1271" s="14" t="s">
        <v>510</v>
      </c>
      <c r="E1271" s="15" t="s">
        <v>509</v>
      </c>
      <c r="F1271" s="15">
        <v>9</v>
      </c>
      <c r="G1271" s="16">
        <f t="shared" si="67"/>
        <v>40174</v>
      </c>
      <c r="H1271" s="16">
        <v>40234</v>
      </c>
      <c r="I1271" s="16">
        <f t="shared" si="69"/>
        <v>0</v>
      </c>
      <c r="J1271" s="31">
        <v>40234</v>
      </c>
      <c r="K1271" s="69">
        <f t="shared" si="68"/>
        <v>0</v>
      </c>
      <c r="L1271" s="50">
        <v>60</v>
      </c>
      <c r="M1271" s="109">
        <v>60</v>
      </c>
      <c r="N1271" s="110">
        <v>0.95</v>
      </c>
    </row>
    <row r="1272" spans="1:14" ht="15" hidden="1" thickBot="1" x14ac:dyDescent="0.35">
      <c r="A1272" s="20">
        <v>218</v>
      </c>
      <c r="B1272" s="14" t="s">
        <v>856</v>
      </c>
      <c r="C1272" s="20" t="s">
        <v>643</v>
      </c>
      <c r="D1272" s="14" t="s">
        <v>510</v>
      </c>
      <c r="E1272" s="15" t="s">
        <v>502</v>
      </c>
      <c r="F1272" s="15">
        <v>8</v>
      </c>
      <c r="G1272" s="16">
        <f t="shared" si="67"/>
        <v>39633</v>
      </c>
      <c r="H1272" s="16">
        <v>40233</v>
      </c>
      <c r="I1272" s="16">
        <f t="shared" si="69"/>
        <v>0</v>
      </c>
      <c r="J1272" s="31">
        <v>40233</v>
      </c>
      <c r="K1272" s="69">
        <f t="shared" si="68"/>
        <v>0</v>
      </c>
      <c r="L1272" s="50">
        <v>600</v>
      </c>
      <c r="M1272" s="109">
        <v>600</v>
      </c>
      <c r="N1272" s="110">
        <v>0.95</v>
      </c>
    </row>
    <row r="1273" spans="1:14" ht="15" hidden="1" thickBot="1" x14ac:dyDescent="0.35">
      <c r="A1273" s="20">
        <v>218</v>
      </c>
      <c r="B1273" s="14" t="s">
        <v>856</v>
      </c>
      <c r="C1273" s="20" t="s">
        <v>643</v>
      </c>
      <c r="D1273" s="14" t="s">
        <v>694</v>
      </c>
      <c r="E1273" s="15" t="s">
        <v>509</v>
      </c>
      <c r="F1273" s="15">
        <v>11</v>
      </c>
      <c r="G1273" s="16">
        <f t="shared" si="67"/>
        <v>222972</v>
      </c>
      <c r="H1273" s="16">
        <v>224172</v>
      </c>
      <c r="I1273" s="16">
        <f t="shared" si="69"/>
        <v>0</v>
      </c>
      <c r="J1273" s="31">
        <v>224172</v>
      </c>
      <c r="K1273" s="69">
        <f t="shared" si="68"/>
        <v>0</v>
      </c>
      <c r="L1273" s="50">
        <v>1200</v>
      </c>
      <c r="M1273" s="109">
        <v>1200</v>
      </c>
      <c r="N1273" s="110">
        <v>0.9</v>
      </c>
    </row>
    <row r="1274" spans="1:14" ht="15" hidden="1" thickBot="1" x14ac:dyDescent="0.35">
      <c r="A1274" s="20">
        <v>218</v>
      </c>
      <c r="B1274" s="14" t="s">
        <v>856</v>
      </c>
      <c r="C1274" s="20" t="s">
        <v>643</v>
      </c>
      <c r="D1274" s="14" t="s">
        <v>670</v>
      </c>
      <c r="E1274" s="15" t="s">
        <v>506</v>
      </c>
      <c r="F1274" s="15">
        <v>11</v>
      </c>
      <c r="G1274" s="16">
        <f t="shared" ref="G1274:G1346" si="70">H1274-M1274</f>
        <v>339928</v>
      </c>
      <c r="H1274" s="16">
        <v>343648</v>
      </c>
      <c r="I1274" s="16">
        <f t="shared" si="69"/>
        <v>0</v>
      </c>
      <c r="J1274" s="31">
        <v>343648</v>
      </c>
      <c r="K1274" s="69">
        <f t="shared" si="68"/>
        <v>0</v>
      </c>
      <c r="L1274" s="50">
        <v>3720</v>
      </c>
      <c r="M1274" s="109">
        <v>3720</v>
      </c>
      <c r="N1274" s="110">
        <v>0.9</v>
      </c>
    </row>
    <row r="1275" spans="1:14" ht="15" hidden="1" thickBot="1" x14ac:dyDescent="0.35">
      <c r="A1275" s="20">
        <v>218</v>
      </c>
      <c r="B1275" s="14" t="s">
        <v>856</v>
      </c>
      <c r="C1275" s="20" t="s">
        <v>643</v>
      </c>
      <c r="D1275" s="14" t="s">
        <v>618</v>
      </c>
      <c r="E1275" s="15" t="s">
        <v>509</v>
      </c>
      <c r="F1275" s="15">
        <v>12</v>
      </c>
      <c r="G1275" s="16">
        <f t="shared" si="70"/>
        <v>223152</v>
      </c>
      <c r="H1275" s="16">
        <v>224172</v>
      </c>
      <c r="I1275" s="16">
        <f t="shared" si="69"/>
        <v>0</v>
      </c>
      <c r="J1275" s="31">
        <v>224172</v>
      </c>
      <c r="K1275" s="69">
        <f t="shared" si="68"/>
        <v>0</v>
      </c>
      <c r="L1275" s="50">
        <v>1020</v>
      </c>
      <c r="M1275" s="109">
        <v>1020</v>
      </c>
      <c r="N1275" s="110">
        <v>0.9</v>
      </c>
    </row>
    <row r="1276" spans="1:14" ht="15" hidden="1" thickBot="1" x14ac:dyDescent="0.35">
      <c r="A1276" s="20">
        <v>218</v>
      </c>
      <c r="B1276" s="14" t="s">
        <v>856</v>
      </c>
      <c r="C1276" s="20" t="s">
        <v>643</v>
      </c>
      <c r="D1276" s="14" t="s">
        <v>1001</v>
      </c>
      <c r="E1276" s="15" t="s">
        <v>504</v>
      </c>
      <c r="F1276" s="15">
        <v>9</v>
      </c>
      <c r="G1276" s="16">
        <f t="shared" si="70"/>
        <v>251190</v>
      </c>
      <c r="H1276" s="16">
        <v>252630</v>
      </c>
      <c r="I1276" s="16">
        <f t="shared" si="69"/>
        <v>0</v>
      </c>
      <c r="J1276" s="31">
        <v>252630</v>
      </c>
      <c r="K1276" s="69">
        <f t="shared" si="68"/>
        <v>0</v>
      </c>
      <c r="L1276" s="50">
        <v>1440</v>
      </c>
      <c r="M1276" s="109">
        <v>1440</v>
      </c>
      <c r="N1276" s="110">
        <v>0.9</v>
      </c>
    </row>
    <row r="1277" spans="1:14" ht="15" hidden="1" thickBot="1" x14ac:dyDescent="0.35">
      <c r="A1277" s="20">
        <v>218</v>
      </c>
      <c r="B1277" s="14" t="s">
        <v>856</v>
      </c>
      <c r="C1277" s="14" t="s">
        <v>643</v>
      </c>
      <c r="D1277" s="14" t="s">
        <v>614</v>
      </c>
      <c r="E1277" s="15" t="s">
        <v>502</v>
      </c>
      <c r="F1277" s="15">
        <v>12</v>
      </c>
      <c r="G1277" s="16">
        <f t="shared" si="70"/>
        <v>95298</v>
      </c>
      <c r="H1277" s="16">
        <v>96258</v>
      </c>
      <c r="I1277" s="16">
        <f t="shared" si="69"/>
        <v>0</v>
      </c>
      <c r="J1277" s="31">
        <v>96258</v>
      </c>
      <c r="K1277" s="69">
        <f t="shared" ref="K1277:K1348" si="71">M1277-L1277</f>
        <v>0</v>
      </c>
      <c r="L1277" s="50">
        <v>960</v>
      </c>
      <c r="M1277" s="109">
        <v>960</v>
      </c>
      <c r="N1277" s="110">
        <v>0.95</v>
      </c>
    </row>
    <row r="1278" spans="1:14" ht="15" hidden="1" thickBot="1" x14ac:dyDescent="0.35">
      <c r="A1278" s="20">
        <v>218</v>
      </c>
      <c r="B1278" s="14" t="s">
        <v>856</v>
      </c>
      <c r="C1278" s="19" t="s">
        <v>1780</v>
      </c>
      <c r="D1278" s="14" t="s">
        <v>618</v>
      </c>
      <c r="E1278" s="15" t="s">
        <v>509</v>
      </c>
      <c r="F1278" s="15">
        <v>3</v>
      </c>
      <c r="G1278" s="16">
        <f t="shared" si="70"/>
        <v>60710</v>
      </c>
      <c r="H1278" s="16">
        <v>60710</v>
      </c>
      <c r="I1278" s="16">
        <f t="shared" si="69"/>
        <v>0</v>
      </c>
      <c r="J1278" s="31">
        <v>60710</v>
      </c>
      <c r="K1278" s="69">
        <f t="shared" si="71"/>
        <v>0</v>
      </c>
      <c r="L1278" s="50">
        <v>0</v>
      </c>
      <c r="M1278" s="109">
        <v>0</v>
      </c>
      <c r="N1278" s="110">
        <v>1</v>
      </c>
    </row>
    <row r="1279" spans="1:14" ht="15" hidden="1" thickBot="1" x14ac:dyDescent="0.35">
      <c r="A1279" s="20">
        <v>218</v>
      </c>
      <c r="B1279" s="14" t="s">
        <v>856</v>
      </c>
      <c r="C1279" s="19" t="s">
        <v>1780</v>
      </c>
      <c r="D1279" s="14" t="s">
        <v>694</v>
      </c>
      <c r="E1279" s="15" t="s">
        <v>509</v>
      </c>
      <c r="F1279" s="15">
        <v>3</v>
      </c>
      <c r="G1279" s="16">
        <f t="shared" si="70"/>
        <v>65682</v>
      </c>
      <c r="H1279" s="16">
        <v>65682</v>
      </c>
      <c r="I1279" s="16">
        <f t="shared" si="69"/>
        <v>0</v>
      </c>
      <c r="J1279" s="31">
        <v>65682</v>
      </c>
      <c r="K1279" s="69">
        <f t="shared" si="71"/>
        <v>0</v>
      </c>
      <c r="L1279" s="50">
        <v>0</v>
      </c>
      <c r="M1279" s="109">
        <v>0</v>
      </c>
      <c r="N1279" s="110">
        <v>1</v>
      </c>
    </row>
    <row r="1280" spans="1:14" ht="15" hidden="1" thickBot="1" x14ac:dyDescent="0.35">
      <c r="A1280" s="14">
        <v>219</v>
      </c>
      <c r="B1280" s="14" t="s">
        <v>857</v>
      </c>
      <c r="C1280" s="14" t="s">
        <v>648</v>
      </c>
      <c r="D1280" s="14" t="s">
        <v>497</v>
      </c>
      <c r="E1280" s="15" t="s">
        <v>14</v>
      </c>
      <c r="F1280" s="15"/>
      <c r="G1280" s="16">
        <f t="shared" si="70"/>
        <v>0</v>
      </c>
      <c r="H1280" s="16">
        <v>0</v>
      </c>
      <c r="I1280" s="16">
        <f t="shared" si="69"/>
        <v>0</v>
      </c>
      <c r="J1280" s="31">
        <v>0</v>
      </c>
      <c r="K1280" s="69">
        <f t="shared" si="71"/>
        <v>0</v>
      </c>
      <c r="L1280" s="50"/>
      <c r="M1280" s="109"/>
      <c r="N1280" s="110"/>
    </row>
    <row r="1281" spans="1:14" ht="15" hidden="1" thickBot="1" x14ac:dyDescent="0.35">
      <c r="A1281" s="14">
        <v>220</v>
      </c>
      <c r="B1281" s="14" t="s">
        <v>858</v>
      </c>
      <c r="C1281" s="14" t="s">
        <v>859</v>
      </c>
      <c r="D1281" s="14" t="s">
        <v>497</v>
      </c>
      <c r="E1281" s="15" t="s">
        <v>14</v>
      </c>
      <c r="F1281" s="15">
        <v>1</v>
      </c>
      <c r="G1281" s="16">
        <f t="shared" si="70"/>
        <v>19000</v>
      </c>
      <c r="H1281" s="16">
        <v>19000</v>
      </c>
      <c r="I1281" s="16">
        <f t="shared" si="69"/>
        <v>0</v>
      </c>
      <c r="J1281" s="31">
        <v>19000</v>
      </c>
      <c r="K1281" s="69">
        <f t="shared" si="71"/>
        <v>0</v>
      </c>
      <c r="L1281" s="50"/>
      <c r="M1281" s="109"/>
      <c r="N1281" s="110"/>
    </row>
    <row r="1282" spans="1:14" ht="15" hidden="1" thickBot="1" x14ac:dyDescent="0.35">
      <c r="A1282" s="14">
        <v>221</v>
      </c>
      <c r="B1282" s="14" t="s">
        <v>860</v>
      </c>
      <c r="C1282" s="14" t="s">
        <v>825</v>
      </c>
      <c r="D1282" s="14" t="s">
        <v>614</v>
      </c>
      <c r="E1282" s="15" t="s">
        <v>500</v>
      </c>
      <c r="F1282" s="15">
        <v>1</v>
      </c>
      <c r="G1282" s="16">
        <f t="shared" si="70"/>
        <v>25206</v>
      </c>
      <c r="H1282" s="16">
        <v>25680</v>
      </c>
      <c r="I1282" s="16">
        <f t="shared" si="69"/>
        <v>0</v>
      </c>
      <c r="J1282" s="31">
        <v>25680</v>
      </c>
      <c r="K1282" s="69">
        <f t="shared" si="71"/>
        <v>0</v>
      </c>
      <c r="L1282" s="50">
        <v>474</v>
      </c>
      <c r="M1282" s="109">
        <v>474</v>
      </c>
      <c r="N1282" s="110"/>
    </row>
    <row r="1283" spans="1:14" ht="15" hidden="1" thickBot="1" x14ac:dyDescent="0.35">
      <c r="A1283" s="14">
        <v>222</v>
      </c>
      <c r="B1283" s="14" t="s">
        <v>861</v>
      </c>
      <c r="C1283" s="14" t="s">
        <v>719</v>
      </c>
      <c r="D1283" s="14" t="s">
        <v>518</v>
      </c>
      <c r="E1283" s="15" t="s">
        <v>503</v>
      </c>
      <c r="F1283" s="15">
        <v>1</v>
      </c>
      <c r="G1283" s="16">
        <f t="shared" si="70"/>
        <v>5810</v>
      </c>
      <c r="H1283" s="16">
        <v>5810</v>
      </c>
      <c r="I1283" s="16">
        <f t="shared" si="69"/>
        <v>0</v>
      </c>
      <c r="J1283" s="31">
        <v>5810</v>
      </c>
      <c r="K1283" s="69">
        <f t="shared" si="71"/>
        <v>0</v>
      </c>
      <c r="L1283" s="50"/>
      <c r="M1283" s="109"/>
      <c r="N1283" s="110"/>
    </row>
    <row r="1284" spans="1:14" ht="15" hidden="1" thickBot="1" x14ac:dyDescent="0.35">
      <c r="A1284" s="14">
        <v>223</v>
      </c>
      <c r="B1284" s="14" t="s">
        <v>862</v>
      </c>
      <c r="C1284" s="14" t="s">
        <v>108</v>
      </c>
      <c r="D1284" s="14" t="s">
        <v>497</v>
      </c>
      <c r="E1284" s="15" t="s">
        <v>14</v>
      </c>
      <c r="F1284" s="15">
        <v>7</v>
      </c>
      <c r="G1284" s="16">
        <f t="shared" si="70"/>
        <v>1022200</v>
      </c>
      <c r="H1284" s="16">
        <v>1035100</v>
      </c>
      <c r="I1284" s="16">
        <f t="shared" si="69"/>
        <v>0</v>
      </c>
      <c r="J1284" s="31">
        <v>1035100</v>
      </c>
      <c r="K1284" s="69">
        <f t="shared" si="71"/>
        <v>0</v>
      </c>
      <c r="L1284" s="50">
        <v>12900</v>
      </c>
      <c r="M1284" s="109">
        <v>12900</v>
      </c>
      <c r="N1284" s="110"/>
    </row>
    <row r="1285" spans="1:14" ht="15" hidden="1" thickBot="1" x14ac:dyDescent="0.35">
      <c r="A1285" s="20">
        <v>224</v>
      </c>
      <c r="B1285" s="14" t="s">
        <v>863</v>
      </c>
      <c r="C1285" s="20" t="s">
        <v>1004</v>
      </c>
      <c r="D1285" s="14" t="s">
        <v>614</v>
      </c>
      <c r="E1285" s="15" t="s">
        <v>508</v>
      </c>
      <c r="F1285" s="15">
        <v>1</v>
      </c>
      <c r="G1285" s="16">
        <f t="shared" si="70"/>
        <v>450</v>
      </c>
      <c r="H1285" s="16">
        <v>450</v>
      </c>
      <c r="I1285" s="16">
        <f>J1285-H1285</f>
        <v>0</v>
      </c>
      <c r="J1285" s="31">
        <v>450</v>
      </c>
      <c r="K1285" s="69">
        <f t="shared" si="71"/>
        <v>0</v>
      </c>
      <c r="L1285" s="50">
        <v>0</v>
      </c>
      <c r="M1285" s="109">
        <v>0</v>
      </c>
      <c r="N1285" s="110"/>
    </row>
    <row r="1286" spans="1:14" ht="15" hidden="1" thickBot="1" x14ac:dyDescent="0.35">
      <c r="A1286" s="20">
        <v>224</v>
      </c>
      <c r="B1286" s="14" t="s">
        <v>863</v>
      </c>
      <c r="C1286" s="20" t="s">
        <v>1004</v>
      </c>
      <c r="D1286" s="14" t="s">
        <v>510</v>
      </c>
      <c r="E1286" s="15" t="s">
        <v>508</v>
      </c>
      <c r="F1286" s="15">
        <v>1</v>
      </c>
      <c r="G1286" s="16">
        <f t="shared" si="70"/>
        <v>360</v>
      </c>
      <c r="H1286" s="16">
        <v>360</v>
      </c>
      <c r="I1286" s="16">
        <f>J1286-H1286</f>
        <v>0</v>
      </c>
      <c r="J1286" s="31">
        <v>360</v>
      </c>
      <c r="K1286" s="69">
        <f t="shared" si="71"/>
        <v>0</v>
      </c>
      <c r="L1286" s="50">
        <v>0</v>
      </c>
      <c r="M1286" s="109">
        <v>0</v>
      </c>
      <c r="N1286" s="110"/>
    </row>
    <row r="1287" spans="1:14" ht="15" hidden="1" thickBot="1" x14ac:dyDescent="0.35">
      <c r="A1287" s="20">
        <v>224</v>
      </c>
      <c r="B1287" s="14" t="s">
        <v>863</v>
      </c>
      <c r="C1287" s="20" t="s">
        <v>1004</v>
      </c>
      <c r="D1287" s="14" t="s">
        <v>523</v>
      </c>
      <c r="E1287" s="15" t="s">
        <v>508</v>
      </c>
      <c r="F1287" s="15">
        <v>1</v>
      </c>
      <c r="G1287" s="16">
        <f t="shared" si="70"/>
        <v>270</v>
      </c>
      <c r="H1287" s="16">
        <v>270</v>
      </c>
      <c r="I1287" s="16">
        <f>J1287-H1287</f>
        <v>0</v>
      </c>
      <c r="J1287" s="31">
        <v>270</v>
      </c>
      <c r="K1287" s="69">
        <f t="shared" si="71"/>
        <v>0</v>
      </c>
      <c r="L1287" s="50"/>
      <c r="M1287" s="109"/>
      <c r="N1287" s="110"/>
    </row>
    <row r="1288" spans="1:14" ht="15" hidden="1" thickBot="1" x14ac:dyDescent="0.35">
      <c r="A1288" s="20">
        <v>224</v>
      </c>
      <c r="B1288" s="14" t="s">
        <v>863</v>
      </c>
      <c r="C1288" s="20" t="s">
        <v>1004</v>
      </c>
      <c r="D1288" s="14" t="s">
        <v>511</v>
      </c>
      <c r="E1288" s="15" t="s">
        <v>503</v>
      </c>
      <c r="F1288" s="15">
        <v>1</v>
      </c>
      <c r="G1288" s="16">
        <f t="shared" si="70"/>
        <v>270</v>
      </c>
      <c r="H1288" s="16">
        <v>270</v>
      </c>
      <c r="I1288" s="16">
        <f>J1288-H1288</f>
        <v>0</v>
      </c>
      <c r="J1288" s="31">
        <v>270</v>
      </c>
      <c r="K1288" s="69">
        <f t="shared" si="71"/>
        <v>0</v>
      </c>
      <c r="L1288" s="50"/>
      <c r="M1288" s="109"/>
      <c r="N1288" s="110"/>
    </row>
    <row r="1289" spans="1:14" ht="15" hidden="1" thickBot="1" x14ac:dyDescent="0.35">
      <c r="A1289" s="20">
        <v>224</v>
      </c>
      <c r="B1289" s="14" t="s">
        <v>863</v>
      </c>
      <c r="C1289" s="20" t="s">
        <v>668</v>
      </c>
      <c r="D1289" s="14" t="s">
        <v>614</v>
      </c>
      <c r="E1289" s="15" t="s">
        <v>499</v>
      </c>
      <c r="F1289" s="15">
        <v>1</v>
      </c>
      <c r="G1289" s="16">
        <f t="shared" si="70"/>
        <v>450</v>
      </c>
      <c r="H1289" s="16">
        <v>450</v>
      </c>
      <c r="I1289" s="16">
        <f t="shared" si="69"/>
        <v>0</v>
      </c>
      <c r="J1289" s="31">
        <v>450</v>
      </c>
      <c r="K1289" s="69">
        <f t="shared" si="71"/>
        <v>0</v>
      </c>
      <c r="L1289" s="50"/>
      <c r="M1289" s="109"/>
      <c r="N1289" s="110"/>
    </row>
    <row r="1290" spans="1:14" ht="15" hidden="1" thickBot="1" x14ac:dyDescent="0.35">
      <c r="A1290" s="20">
        <v>224</v>
      </c>
      <c r="B1290" s="14" t="s">
        <v>863</v>
      </c>
      <c r="C1290" s="20" t="s">
        <v>668</v>
      </c>
      <c r="D1290" s="14" t="s">
        <v>614</v>
      </c>
      <c r="E1290" s="15" t="s">
        <v>503</v>
      </c>
      <c r="F1290" s="15">
        <v>1</v>
      </c>
      <c r="G1290" s="16">
        <f t="shared" si="70"/>
        <v>450</v>
      </c>
      <c r="H1290" s="16">
        <v>450</v>
      </c>
      <c r="I1290" s="16">
        <f t="shared" si="69"/>
        <v>0</v>
      </c>
      <c r="J1290" s="31">
        <v>450</v>
      </c>
      <c r="K1290" s="69">
        <f t="shared" si="71"/>
        <v>0</v>
      </c>
      <c r="L1290" s="50"/>
      <c r="M1290" s="109"/>
      <c r="N1290" s="110"/>
    </row>
    <row r="1291" spans="1:14" ht="15" hidden="1" thickBot="1" x14ac:dyDescent="0.35">
      <c r="A1291" s="20">
        <v>224</v>
      </c>
      <c r="B1291" s="14" t="s">
        <v>863</v>
      </c>
      <c r="C1291" s="20" t="s">
        <v>668</v>
      </c>
      <c r="D1291" s="14" t="s">
        <v>614</v>
      </c>
      <c r="E1291" s="15" t="s">
        <v>508</v>
      </c>
      <c r="F1291" s="15">
        <v>4</v>
      </c>
      <c r="G1291" s="16">
        <f t="shared" si="70"/>
        <v>30614.3</v>
      </c>
      <c r="H1291" s="16">
        <v>31334.3</v>
      </c>
      <c r="I1291" s="16">
        <f t="shared" si="69"/>
        <v>0</v>
      </c>
      <c r="J1291" s="31">
        <v>31334.3</v>
      </c>
      <c r="K1291" s="69">
        <f t="shared" si="71"/>
        <v>0</v>
      </c>
      <c r="L1291" s="50">
        <v>720</v>
      </c>
      <c r="M1291" s="109">
        <v>720</v>
      </c>
      <c r="N1291" s="110"/>
    </row>
    <row r="1292" spans="1:14" ht="15" hidden="1" thickBot="1" x14ac:dyDescent="0.35">
      <c r="A1292" s="20">
        <v>224</v>
      </c>
      <c r="B1292" s="14" t="s">
        <v>863</v>
      </c>
      <c r="C1292" s="20" t="s">
        <v>668</v>
      </c>
      <c r="D1292" s="14" t="s">
        <v>510</v>
      </c>
      <c r="E1292" s="15" t="s">
        <v>512</v>
      </c>
      <c r="F1292" s="15">
        <v>2</v>
      </c>
      <c r="G1292" s="16">
        <f t="shared" si="70"/>
        <v>2238</v>
      </c>
      <c r="H1292" s="16">
        <v>2538</v>
      </c>
      <c r="I1292" s="16">
        <f t="shared" si="69"/>
        <v>0</v>
      </c>
      <c r="J1292" s="31">
        <v>2538</v>
      </c>
      <c r="K1292" s="69">
        <f t="shared" si="71"/>
        <v>0</v>
      </c>
      <c r="L1292" s="50">
        <v>300</v>
      </c>
      <c r="M1292" s="109">
        <v>300</v>
      </c>
      <c r="N1292" s="110"/>
    </row>
    <row r="1293" spans="1:14" ht="15" hidden="1" thickBot="1" x14ac:dyDescent="0.35">
      <c r="A1293" s="20">
        <v>224</v>
      </c>
      <c r="B1293" s="14" t="s">
        <v>863</v>
      </c>
      <c r="C1293" s="20" t="s">
        <v>668</v>
      </c>
      <c r="D1293" s="14" t="s">
        <v>985</v>
      </c>
      <c r="E1293" s="15" t="s">
        <v>506</v>
      </c>
      <c r="F1293" s="15">
        <v>5</v>
      </c>
      <c r="G1293" s="16">
        <f t="shared" si="70"/>
        <v>96321</v>
      </c>
      <c r="H1293" s="16">
        <v>97101</v>
      </c>
      <c r="I1293" s="16">
        <f t="shared" si="69"/>
        <v>0</v>
      </c>
      <c r="J1293" s="31">
        <v>97101</v>
      </c>
      <c r="K1293" s="69">
        <f t="shared" si="71"/>
        <v>0</v>
      </c>
      <c r="L1293" s="50">
        <v>780</v>
      </c>
      <c r="M1293" s="109">
        <v>780</v>
      </c>
      <c r="N1293" s="110">
        <v>0.9</v>
      </c>
    </row>
    <row r="1294" spans="1:14" ht="15" hidden="1" thickBot="1" x14ac:dyDescent="0.35">
      <c r="A1294" s="20">
        <v>224</v>
      </c>
      <c r="B1294" s="14" t="s">
        <v>863</v>
      </c>
      <c r="C1294" s="20" t="s">
        <v>668</v>
      </c>
      <c r="D1294" s="14" t="s">
        <v>1051</v>
      </c>
      <c r="E1294" s="15" t="s">
        <v>500</v>
      </c>
      <c r="F1294" s="15">
        <v>2</v>
      </c>
      <c r="G1294" s="16">
        <f t="shared" si="70"/>
        <v>8690</v>
      </c>
      <c r="H1294" s="16">
        <v>9660</v>
      </c>
      <c r="I1294" s="16">
        <f t="shared" ref="I1294:I1449" si="72">J1294-H1294</f>
        <v>0</v>
      </c>
      <c r="J1294" s="31">
        <v>9660</v>
      </c>
      <c r="K1294" s="69">
        <f t="shared" si="71"/>
        <v>0</v>
      </c>
      <c r="L1294" s="50">
        <v>970</v>
      </c>
      <c r="M1294" s="109">
        <v>970</v>
      </c>
      <c r="N1294" s="110">
        <v>1</v>
      </c>
    </row>
    <row r="1295" spans="1:14" ht="15" hidden="1" thickBot="1" x14ac:dyDescent="0.35">
      <c r="A1295" s="20">
        <v>224</v>
      </c>
      <c r="B1295" s="14" t="s">
        <v>863</v>
      </c>
      <c r="C1295" s="20" t="s">
        <v>668</v>
      </c>
      <c r="D1295" s="14" t="s">
        <v>614</v>
      </c>
      <c r="E1295" s="15" t="s">
        <v>512</v>
      </c>
      <c r="F1295" s="15">
        <v>2</v>
      </c>
      <c r="G1295" s="16">
        <f t="shared" si="70"/>
        <v>26844</v>
      </c>
      <c r="H1295" s="16">
        <v>28134</v>
      </c>
      <c r="I1295" s="16">
        <f t="shared" si="72"/>
        <v>0</v>
      </c>
      <c r="J1295" s="31">
        <v>28134</v>
      </c>
      <c r="K1295" s="69">
        <f t="shared" si="71"/>
        <v>0</v>
      </c>
      <c r="L1295" s="50">
        <v>1290</v>
      </c>
      <c r="M1295" s="109">
        <v>1290</v>
      </c>
      <c r="N1295" s="110"/>
    </row>
    <row r="1296" spans="1:14" ht="15" hidden="1" thickBot="1" x14ac:dyDescent="0.35">
      <c r="A1296" s="20">
        <v>224</v>
      </c>
      <c r="B1296" s="14" t="s">
        <v>863</v>
      </c>
      <c r="C1296" s="20" t="s">
        <v>668</v>
      </c>
      <c r="D1296" s="14" t="s">
        <v>511</v>
      </c>
      <c r="E1296" s="15" t="s">
        <v>503</v>
      </c>
      <c r="F1296" s="15">
        <v>4</v>
      </c>
      <c r="G1296" s="16">
        <f t="shared" si="70"/>
        <v>13892</v>
      </c>
      <c r="H1296" s="16">
        <v>13892</v>
      </c>
      <c r="I1296" s="16">
        <f t="shared" si="72"/>
        <v>0</v>
      </c>
      <c r="J1296" s="31">
        <v>13892</v>
      </c>
      <c r="K1296" s="69">
        <f t="shared" si="71"/>
        <v>0</v>
      </c>
      <c r="L1296" s="50"/>
      <c r="M1296" s="109"/>
      <c r="N1296" s="110"/>
    </row>
    <row r="1297" spans="1:14" ht="15" hidden="1" thickBot="1" x14ac:dyDescent="0.35">
      <c r="A1297" s="20">
        <v>224</v>
      </c>
      <c r="B1297" s="14" t="s">
        <v>863</v>
      </c>
      <c r="C1297" s="20" t="s">
        <v>668</v>
      </c>
      <c r="D1297" s="14" t="s">
        <v>510</v>
      </c>
      <c r="E1297" s="15" t="s">
        <v>499</v>
      </c>
      <c r="F1297" s="15">
        <v>1</v>
      </c>
      <c r="G1297" s="16">
        <f t="shared" si="70"/>
        <v>360</v>
      </c>
      <c r="H1297" s="16">
        <v>360</v>
      </c>
      <c r="I1297" s="16">
        <f t="shared" si="72"/>
        <v>0</v>
      </c>
      <c r="J1297" s="31">
        <v>360</v>
      </c>
      <c r="K1297" s="69">
        <f t="shared" si="71"/>
        <v>0</v>
      </c>
      <c r="L1297" s="50"/>
      <c r="M1297" s="109"/>
      <c r="N1297" s="110"/>
    </row>
    <row r="1298" spans="1:14" ht="15" hidden="1" thickBot="1" x14ac:dyDescent="0.35">
      <c r="A1298" s="20">
        <v>224</v>
      </c>
      <c r="B1298" s="14" t="s">
        <v>863</v>
      </c>
      <c r="C1298" s="20" t="s">
        <v>668</v>
      </c>
      <c r="D1298" s="14" t="s">
        <v>548</v>
      </c>
      <c r="E1298" s="15" t="s">
        <v>504</v>
      </c>
      <c r="F1298" s="15">
        <v>2</v>
      </c>
      <c r="G1298" s="16">
        <f t="shared" si="70"/>
        <v>12328.5</v>
      </c>
      <c r="H1298" s="16">
        <v>13708.5</v>
      </c>
      <c r="I1298" s="16">
        <f t="shared" si="72"/>
        <v>0</v>
      </c>
      <c r="J1298" s="31">
        <v>13708.5</v>
      </c>
      <c r="K1298" s="69">
        <f t="shared" si="71"/>
        <v>0</v>
      </c>
      <c r="L1298" s="50">
        <v>1380</v>
      </c>
      <c r="M1298" s="109">
        <v>1380</v>
      </c>
      <c r="N1298" s="110">
        <v>0.92500000000000004</v>
      </c>
    </row>
    <row r="1299" spans="1:14" ht="15" hidden="1" thickBot="1" x14ac:dyDescent="0.35">
      <c r="A1299" s="20">
        <v>224</v>
      </c>
      <c r="B1299" s="14" t="s">
        <v>863</v>
      </c>
      <c r="C1299" s="20" t="s">
        <v>668</v>
      </c>
      <c r="D1299" s="14" t="s">
        <v>1832</v>
      </c>
      <c r="E1299" s="15" t="s">
        <v>499</v>
      </c>
      <c r="F1299" s="15">
        <v>1</v>
      </c>
      <c r="G1299" s="16">
        <f t="shared" si="70"/>
        <v>270</v>
      </c>
      <c r="H1299" s="16">
        <v>270</v>
      </c>
      <c r="I1299" s="16">
        <f t="shared" si="72"/>
        <v>0</v>
      </c>
      <c r="J1299" s="31">
        <v>270</v>
      </c>
      <c r="K1299" s="69">
        <f t="shared" si="71"/>
        <v>0</v>
      </c>
      <c r="L1299" s="50"/>
      <c r="M1299" s="109"/>
      <c r="N1299" s="110"/>
    </row>
    <row r="1300" spans="1:14" ht="15" hidden="1" thickBot="1" x14ac:dyDescent="0.35">
      <c r="A1300" s="20">
        <v>224</v>
      </c>
      <c r="B1300" s="14" t="s">
        <v>863</v>
      </c>
      <c r="C1300" s="20" t="s">
        <v>668</v>
      </c>
      <c r="D1300" s="14" t="s">
        <v>510</v>
      </c>
      <c r="E1300" s="15" t="s">
        <v>503</v>
      </c>
      <c r="F1300" s="15">
        <v>1</v>
      </c>
      <c r="G1300" s="16">
        <f t="shared" si="70"/>
        <v>360</v>
      </c>
      <c r="H1300" s="16">
        <v>360</v>
      </c>
      <c r="I1300" s="16">
        <f t="shared" si="72"/>
        <v>0</v>
      </c>
      <c r="J1300" s="31">
        <v>360</v>
      </c>
      <c r="K1300" s="69">
        <f t="shared" si="71"/>
        <v>0</v>
      </c>
      <c r="L1300" s="50"/>
      <c r="M1300" s="109"/>
      <c r="N1300" s="110"/>
    </row>
    <row r="1301" spans="1:14" ht="15" hidden="1" thickBot="1" x14ac:dyDescent="0.35">
      <c r="A1301" s="20">
        <v>224</v>
      </c>
      <c r="B1301" s="14" t="s">
        <v>863</v>
      </c>
      <c r="C1301" s="20" t="s">
        <v>668</v>
      </c>
      <c r="D1301" s="14" t="s">
        <v>694</v>
      </c>
      <c r="E1301" s="15" t="s">
        <v>509</v>
      </c>
      <c r="F1301" s="15">
        <v>6</v>
      </c>
      <c r="G1301" s="16">
        <f t="shared" si="70"/>
        <v>77791</v>
      </c>
      <c r="H1301" s="16">
        <v>78031</v>
      </c>
      <c r="I1301" s="16">
        <f t="shared" si="72"/>
        <v>0</v>
      </c>
      <c r="J1301" s="31">
        <v>78031</v>
      </c>
      <c r="K1301" s="69">
        <f t="shared" si="71"/>
        <v>0</v>
      </c>
      <c r="L1301" s="50">
        <v>240</v>
      </c>
      <c r="M1301" s="109">
        <v>240</v>
      </c>
      <c r="N1301" s="110">
        <v>0.9</v>
      </c>
    </row>
    <row r="1302" spans="1:14" ht="15" hidden="1" thickBot="1" x14ac:dyDescent="0.35">
      <c r="A1302" s="20">
        <v>224</v>
      </c>
      <c r="B1302" s="14" t="s">
        <v>863</v>
      </c>
      <c r="C1302" s="20" t="s">
        <v>668</v>
      </c>
      <c r="D1302" s="14" t="s">
        <v>1043</v>
      </c>
      <c r="E1302" s="15" t="s">
        <v>500</v>
      </c>
      <c r="F1302" s="15">
        <v>4</v>
      </c>
      <c r="G1302" s="16">
        <f t="shared" si="70"/>
        <v>78095</v>
      </c>
      <c r="H1302" s="16">
        <v>78275</v>
      </c>
      <c r="I1302" s="16">
        <f t="shared" si="72"/>
        <v>0</v>
      </c>
      <c r="J1302" s="31">
        <v>78275</v>
      </c>
      <c r="K1302" s="69">
        <f t="shared" si="71"/>
        <v>0</v>
      </c>
      <c r="L1302" s="50">
        <v>180</v>
      </c>
      <c r="M1302" s="109">
        <v>180</v>
      </c>
      <c r="N1302" s="110">
        <v>0.9</v>
      </c>
    </row>
    <row r="1303" spans="1:14" ht="15" hidden="1" thickBot="1" x14ac:dyDescent="0.35">
      <c r="A1303" s="20">
        <v>224</v>
      </c>
      <c r="B1303" s="14" t="s">
        <v>863</v>
      </c>
      <c r="C1303" s="20" t="s">
        <v>668</v>
      </c>
      <c r="D1303" s="14" t="s">
        <v>981</v>
      </c>
      <c r="E1303" s="15" t="s">
        <v>502</v>
      </c>
      <c r="F1303" s="15">
        <v>7</v>
      </c>
      <c r="G1303" s="16">
        <f t="shared" si="70"/>
        <v>77796</v>
      </c>
      <c r="H1303" s="16">
        <v>78216</v>
      </c>
      <c r="I1303" s="16">
        <f t="shared" si="72"/>
        <v>0</v>
      </c>
      <c r="J1303" s="31">
        <v>78216</v>
      </c>
      <c r="K1303" s="69">
        <f t="shared" si="71"/>
        <v>0</v>
      </c>
      <c r="L1303" s="50">
        <v>420</v>
      </c>
      <c r="M1303" s="109">
        <v>420</v>
      </c>
      <c r="N1303" s="110">
        <v>0.9</v>
      </c>
    </row>
    <row r="1304" spans="1:14" ht="15" hidden="1" thickBot="1" x14ac:dyDescent="0.35">
      <c r="A1304" s="20">
        <v>224</v>
      </c>
      <c r="B1304" s="14" t="s">
        <v>863</v>
      </c>
      <c r="C1304" s="20" t="s">
        <v>668</v>
      </c>
      <c r="D1304" s="14" t="s">
        <v>670</v>
      </c>
      <c r="E1304" s="15" t="s">
        <v>506</v>
      </c>
      <c r="F1304" s="15">
        <v>6</v>
      </c>
      <c r="G1304" s="16">
        <f t="shared" si="70"/>
        <v>112248</v>
      </c>
      <c r="H1304" s="16">
        <v>112488</v>
      </c>
      <c r="I1304" s="16">
        <f t="shared" si="72"/>
        <v>0</v>
      </c>
      <c r="J1304" s="31">
        <v>112488</v>
      </c>
      <c r="K1304" s="69">
        <f t="shared" si="71"/>
        <v>0</v>
      </c>
      <c r="L1304" s="50">
        <v>240</v>
      </c>
      <c r="M1304" s="109">
        <v>240</v>
      </c>
      <c r="N1304" s="110">
        <v>0.9</v>
      </c>
    </row>
    <row r="1305" spans="1:14" ht="15" hidden="1" thickBot="1" x14ac:dyDescent="0.35">
      <c r="A1305" s="20">
        <v>224</v>
      </c>
      <c r="B1305" s="14" t="s">
        <v>863</v>
      </c>
      <c r="C1305" s="20" t="s">
        <v>668</v>
      </c>
      <c r="D1305" s="14" t="s">
        <v>1102</v>
      </c>
      <c r="E1305" s="15" t="s">
        <v>500</v>
      </c>
      <c r="F1305" s="15">
        <v>7</v>
      </c>
      <c r="G1305" s="16">
        <f t="shared" si="70"/>
        <v>107325</v>
      </c>
      <c r="H1305" s="16">
        <v>107445</v>
      </c>
      <c r="I1305" s="16">
        <f>J1305-H1305</f>
        <v>0</v>
      </c>
      <c r="J1305" s="31">
        <v>107445</v>
      </c>
      <c r="K1305" s="69">
        <f t="shared" si="71"/>
        <v>0</v>
      </c>
      <c r="L1305" s="50">
        <v>120</v>
      </c>
      <c r="M1305" s="109">
        <v>120</v>
      </c>
      <c r="N1305" s="110">
        <v>0.9</v>
      </c>
    </row>
    <row r="1306" spans="1:14" ht="15" hidden="1" thickBot="1" x14ac:dyDescent="0.35">
      <c r="A1306" s="20">
        <v>224</v>
      </c>
      <c r="B1306" s="14" t="s">
        <v>863</v>
      </c>
      <c r="C1306" s="20" t="s">
        <v>668</v>
      </c>
      <c r="D1306" s="14" t="s">
        <v>1076</v>
      </c>
      <c r="E1306" s="15" t="s">
        <v>512</v>
      </c>
      <c r="F1306" s="15">
        <v>7</v>
      </c>
      <c r="G1306" s="16">
        <f t="shared" si="70"/>
        <v>105034</v>
      </c>
      <c r="H1306" s="16">
        <v>106494</v>
      </c>
      <c r="I1306" s="16">
        <f>J1306-H1306</f>
        <v>0</v>
      </c>
      <c r="J1306" s="31">
        <v>106494</v>
      </c>
      <c r="K1306" s="69">
        <f t="shared" si="71"/>
        <v>0</v>
      </c>
      <c r="L1306" s="50">
        <v>1460</v>
      </c>
      <c r="M1306" s="109">
        <v>1460</v>
      </c>
      <c r="N1306" s="110">
        <v>0.9</v>
      </c>
    </row>
    <row r="1307" spans="1:14" ht="15" hidden="1" thickBot="1" x14ac:dyDescent="0.35">
      <c r="A1307" s="20">
        <v>224</v>
      </c>
      <c r="B1307" s="14" t="s">
        <v>863</v>
      </c>
      <c r="C1307" s="20" t="s">
        <v>668</v>
      </c>
      <c r="D1307" s="14" t="s">
        <v>1826</v>
      </c>
      <c r="E1307" s="14" t="s">
        <v>1054</v>
      </c>
      <c r="F1307" s="15">
        <v>5</v>
      </c>
      <c r="G1307" s="16">
        <f t="shared" si="70"/>
        <v>0</v>
      </c>
      <c r="H1307" s="16">
        <v>0</v>
      </c>
      <c r="I1307" s="16">
        <f>J1307-H1307</f>
        <v>0</v>
      </c>
      <c r="J1307" s="31">
        <v>0</v>
      </c>
      <c r="K1307" s="69">
        <f t="shared" si="71"/>
        <v>0</v>
      </c>
      <c r="L1307" s="50">
        <v>0</v>
      </c>
      <c r="M1307" s="109">
        <v>0</v>
      </c>
      <c r="N1307" s="110">
        <v>0.9</v>
      </c>
    </row>
    <row r="1308" spans="1:14" ht="15" hidden="1" thickBot="1" x14ac:dyDescent="0.35">
      <c r="A1308" s="20">
        <v>224</v>
      </c>
      <c r="B1308" s="14" t="s">
        <v>863</v>
      </c>
      <c r="C1308" s="20" t="s">
        <v>668</v>
      </c>
      <c r="D1308" s="14" t="s">
        <v>614</v>
      </c>
      <c r="E1308" s="15" t="s">
        <v>504</v>
      </c>
      <c r="F1308" s="15">
        <v>2</v>
      </c>
      <c r="G1308" s="16">
        <f t="shared" si="70"/>
        <v>23850</v>
      </c>
      <c r="H1308" s="16">
        <v>25380</v>
      </c>
      <c r="I1308" s="16">
        <f t="shared" si="72"/>
        <v>0</v>
      </c>
      <c r="J1308" s="31">
        <v>25380</v>
      </c>
      <c r="K1308" s="69">
        <f t="shared" si="71"/>
        <v>0</v>
      </c>
      <c r="L1308" s="50">
        <v>1530</v>
      </c>
      <c r="M1308" s="109">
        <v>1530</v>
      </c>
      <c r="N1308" s="110"/>
    </row>
    <row r="1309" spans="1:14" ht="15" hidden="1" thickBot="1" x14ac:dyDescent="0.35">
      <c r="A1309" s="20">
        <v>224</v>
      </c>
      <c r="B1309" s="14" t="s">
        <v>863</v>
      </c>
      <c r="C1309" s="20" t="s">
        <v>668</v>
      </c>
      <c r="D1309" s="14" t="s">
        <v>679</v>
      </c>
      <c r="E1309" s="15" t="s">
        <v>502</v>
      </c>
      <c r="F1309" s="15">
        <v>8</v>
      </c>
      <c r="G1309" s="16">
        <f t="shared" si="70"/>
        <v>86909</v>
      </c>
      <c r="H1309" s="16">
        <v>87389</v>
      </c>
      <c r="I1309" s="16">
        <f t="shared" si="72"/>
        <v>0</v>
      </c>
      <c r="J1309" s="31">
        <v>87389</v>
      </c>
      <c r="K1309" s="69">
        <f t="shared" si="71"/>
        <v>0</v>
      </c>
      <c r="L1309" s="50">
        <v>480</v>
      </c>
      <c r="M1309" s="109">
        <v>480</v>
      </c>
      <c r="N1309" s="110">
        <v>0.9</v>
      </c>
    </row>
    <row r="1310" spans="1:14" ht="15" hidden="1" thickBot="1" x14ac:dyDescent="0.35">
      <c r="A1310" s="20">
        <v>224</v>
      </c>
      <c r="B1310" s="14" t="s">
        <v>863</v>
      </c>
      <c r="C1310" s="20" t="s">
        <v>668</v>
      </c>
      <c r="D1310" s="14" t="s">
        <v>618</v>
      </c>
      <c r="E1310" s="15" t="s">
        <v>509</v>
      </c>
      <c r="F1310" s="15">
        <v>6</v>
      </c>
      <c r="G1310" s="16">
        <f t="shared" si="70"/>
        <v>77396</v>
      </c>
      <c r="H1310" s="16">
        <v>77516</v>
      </c>
      <c r="I1310" s="16">
        <f t="shared" si="72"/>
        <v>0</v>
      </c>
      <c r="J1310" s="31">
        <v>77516</v>
      </c>
      <c r="K1310" s="69">
        <f t="shared" si="71"/>
        <v>0</v>
      </c>
      <c r="L1310" s="50">
        <v>120</v>
      </c>
      <c r="M1310" s="109">
        <v>120</v>
      </c>
      <c r="N1310" s="110">
        <v>0.9</v>
      </c>
    </row>
    <row r="1311" spans="1:14" ht="15" hidden="1" thickBot="1" x14ac:dyDescent="0.35">
      <c r="A1311" s="20">
        <v>224</v>
      </c>
      <c r="B1311" s="14" t="s">
        <v>863</v>
      </c>
      <c r="C1311" s="20" t="s">
        <v>668</v>
      </c>
      <c r="D1311" s="14" t="s">
        <v>1061</v>
      </c>
      <c r="E1311" s="15" t="s">
        <v>508</v>
      </c>
      <c r="F1311" s="15">
        <v>4</v>
      </c>
      <c r="G1311" s="16">
        <f t="shared" si="70"/>
        <v>122183</v>
      </c>
      <c r="H1311" s="16">
        <v>122423</v>
      </c>
      <c r="I1311" s="16">
        <f t="shared" si="72"/>
        <v>0</v>
      </c>
      <c r="J1311" s="31">
        <v>122423</v>
      </c>
      <c r="K1311" s="69">
        <f t="shared" si="71"/>
        <v>0</v>
      </c>
      <c r="L1311" s="50">
        <v>240</v>
      </c>
      <c r="M1311" s="109">
        <v>240</v>
      </c>
      <c r="N1311" s="110">
        <v>0.9</v>
      </c>
    </row>
    <row r="1312" spans="1:14" ht="15" hidden="1" thickBot="1" x14ac:dyDescent="0.35">
      <c r="A1312" s="20">
        <v>224</v>
      </c>
      <c r="B1312" s="14" t="s">
        <v>863</v>
      </c>
      <c r="C1312" s="20" t="s">
        <v>668</v>
      </c>
      <c r="D1312" s="14" t="s">
        <v>1570</v>
      </c>
      <c r="E1312" s="15" t="s">
        <v>504</v>
      </c>
      <c r="F1312" s="15">
        <v>1</v>
      </c>
      <c r="G1312" s="16">
        <f t="shared" si="70"/>
        <v>7899</v>
      </c>
      <c r="H1312" s="16">
        <v>7899</v>
      </c>
      <c r="I1312" s="16">
        <f t="shared" si="72"/>
        <v>0</v>
      </c>
      <c r="J1312" s="31">
        <v>7899</v>
      </c>
      <c r="K1312" s="69">
        <f t="shared" si="71"/>
        <v>0</v>
      </c>
      <c r="L1312" s="50"/>
      <c r="M1312" s="109"/>
      <c r="N1312" s="110"/>
    </row>
    <row r="1313" spans="1:14" ht="15" hidden="1" thickBot="1" x14ac:dyDescent="0.35">
      <c r="A1313" s="20">
        <v>224</v>
      </c>
      <c r="B1313" s="14" t="s">
        <v>863</v>
      </c>
      <c r="C1313" s="20" t="s">
        <v>668</v>
      </c>
      <c r="D1313" s="14" t="s">
        <v>1105</v>
      </c>
      <c r="E1313" s="15" t="s">
        <v>504</v>
      </c>
      <c r="F1313" s="15">
        <v>7</v>
      </c>
      <c r="G1313" s="16">
        <f t="shared" si="70"/>
        <v>86677</v>
      </c>
      <c r="H1313" s="16">
        <v>86877</v>
      </c>
      <c r="I1313" s="16">
        <f t="shared" si="72"/>
        <v>0</v>
      </c>
      <c r="J1313" s="31">
        <v>86877</v>
      </c>
      <c r="K1313" s="69">
        <f t="shared" si="71"/>
        <v>0</v>
      </c>
      <c r="L1313" s="50">
        <v>200</v>
      </c>
      <c r="M1313" s="109">
        <v>200</v>
      </c>
      <c r="N1313" s="110">
        <v>0.9</v>
      </c>
    </row>
    <row r="1314" spans="1:14" ht="15" hidden="1" thickBot="1" x14ac:dyDescent="0.35">
      <c r="A1314" s="20">
        <v>224</v>
      </c>
      <c r="B1314" s="14" t="s">
        <v>863</v>
      </c>
      <c r="C1314" s="20" t="s">
        <v>668</v>
      </c>
      <c r="D1314" s="14" t="s">
        <v>1001</v>
      </c>
      <c r="E1314" s="15" t="s">
        <v>504</v>
      </c>
      <c r="F1314" s="15">
        <v>5</v>
      </c>
      <c r="G1314" s="16">
        <f t="shared" si="70"/>
        <v>97476.21</v>
      </c>
      <c r="H1314" s="16">
        <v>97596.21</v>
      </c>
      <c r="I1314" s="16">
        <f t="shared" si="72"/>
        <v>0</v>
      </c>
      <c r="J1314" s="31">
        <v>97596.21</v>
      </c>
      <c r="K1314" s="69">
        <f t="shared" si="71"/>
        <v>0</v>
      </c>
      <c r="L1314" s="50">
        <v>120</v>
      </c>
      <c r="M1314" s="109">
        <v>120</v>
      </c>
      <c r="N1314" s="110" t="s">
        <v>1553</v>
      </c>
    </row>
    <row r="1315" spans="1:14" ht="15" hidden="1" thickBot="1" x14ac:dyDescent="0.35">
      <c r="A1315" s="20">
        <v>224</v>
      </c>
      <c r="B1315" s="14" t="s">
        <v>863</v>
      </c>
      <c r="C1315" s="20" t="s">
        <v>668</v>
      </c>
      <c r="D1315" s="14" t="s">
        <v>638</v>
      </c>
      <c r="E1315" s="15" t="s">
        <v>504</v>
      </c>
      <c r="F1315" s="15">
        <v>6</v>
      </c>
      <c r="G1315" s="16">
        <f t="shared" si="70"/>
        <v>125232</v>
      </c>
      <c r="H1315" s="16">
        <v>125432</v>
      </c>
      <c r="I1315" s="16">
        <f t="shared" si="72"/>
        <v>0</v>
      </c>
      <c r="J1315" s="31">
        <v>125432</v>
      </c>
      <c r="K1315" s="69">
        <f t="shared" si="71"/>
        <v>0</v>
      </c>
      <c r="L1315" s="50">
        <v>200</v>
      </c>
      <c r="M1315" s="109">
        <v>200</v>
      </c>
      <c r="N1315" s="110" t="s">
        <v>1553</v>
      </c>
    </row>
    <row r="1316" spans="1:14" ht="15" hidden="1" thickBot="1" x14ac:dyDescent="0.35">
      <c r="A1316" s="20">
        <v>224</v>
      </c>
      <c r="B1316" s="14" t="s">
        <v>863</v>
      </c>
      <c r="C1316" s="20" t="s">
        <v>668</v>
      </c>
      <c r="D1316" s="14" t="s">
        <v>980</v>
      </c>
      <c r="E1316" s="15" t="s">
        <v>503</v>
      </c>
      <c r="F1316" s="15">
        <v>5</v>
      </c>
      <c r="G1316" s="16">
        <f t="shared" ref="G1316:G1317" si="73">H1316-M1316</f>
        <v>106105</v>
      </c>
      <c r="H1316" s="16">
        <v>106985</v>
      </c>
      <c r="I1316" s="16">
        <f t="shared" ref="I1316:I1317" si="74">J1316-H1316</f>
        <v>0</v>
      </c>
      <c r="J1316" s="31">
        <v>106985</v>
      </c>
      <c r="K1316" s="69">
        <f t="shared" ref="K1316:K1317" si="75">M1316-L1316</f>
        <v>0</v>
      </c>
      <c r="L1316" s="50">
        <v>880</v>
      </c>
      <c r="M1316" s="109">
        <v>880</v>
      </c>
      <c r="N1316" s="110">
        <v>0.9</v>
      </c>
    </row>
    <row r="1317" spans="1:14" ht="15" hidden="1" thickBot="1" x14ac:dyDescent="0.35">
      <c r="A1317" s="20">
        <v>224</v>
      </c>
      <c r="B1317" s="14" t="s">
        <v>863</v>
      </c>
      <c r="C1317" s="20" t="s">
        <v>668</v>
      </c>
      <c r="D1317" s="14" t="s">
        <v>1886</v>
      </c>
      <c r="E1317" s="15" t="s">
        <v>502</v>
      </c>
      <c r="F1317" s="15">
        <v>1</v>
      </c>
      <c r="G1317" s="16">
        <f t="shared" si="73"/>
        <v>10800</v>
      </c>
      <c r="H1317" s="16">
        <v>10800</v>
      </c>
      <c r="I1317" s="16">
        <f t="shared" si="74"/>
        <v>0</v>
      </c>
      <c r="J1317" s="31">
        <v>10800</v>
      </c>
      <c r="K1317" s="69">
        <f t="shared" si="75"/>
        <v>0</v>
      </c>
      <c r="L1317" s="50">
        <v>0</v>
      </c>
      <c r="M1317" s="109">
        <v>0</v>
      </c>
      <c r="N1317" s="110">
        <v>0.9</v>
      </c>
    </row>
    <row r="1318" spans="1:14" ht="15" hidden="1" thickBot="1" x14ac:dyDescent="0.35">
      <c r="A1318" s="20">
        <v>224</v>
      </c>
      <c r="B1318" s="14" t="s">
        <v>863</v>
      </c>
      <c r="C1318" s="20" t="s">
        <v>668</v>
      </c>
      <c r="D1318" s="14" t="s">
        <v>1885</v>
      </c>
      <c r="E1318" s="15" t="s">
        <v>504</v>
      </c>
      <c r="F1318" s="15">
        <v>1</v>
      </c>
      <c r="G1318" s="16">
        <f t="shared" si="70"/>
        <v>10800</v>
      </c>
      <c r="H1318" s="16">
        <v>10800</v>
      </c>
      <c r="I1318" s="16">
        <f t="shared" si="72"/>
        <v>0</v>
      </c>
      <c r="J1318" s="31">
        <v>10800</v>
      </c>
      <c r="K1318" s="69">
        <f t="shared" si="71"/>
        <v>0</v>
      </c>
      <c r="L1318" s="50">
        <v>0</v>
      </c>
      <c r="M1318" s="109">
        <v>0</v>
      </c>
      <c r="N1318" s="110">
        <v>0.9</v>
      </c>
    </row>
    <row r="1319" spans="1:14" ht="15" hidden="1" thickBot="1" x14ac:dyDescent="0.35">
      <c r="A1319" s="20">
        <v>224</v>
      </c>
      <c r="B1319" s="14" t="s">
        <v>863</v>
      </c>
      <c r="C1319" s="20" t="s">
        <v>668</v>
      </c>
      <c r="D1319" s="14" t="s">
        <v>999</v>
      </c>
      <c r="E1319" s="15" t="s">
        <v>626</v>
      </c>
      <c r="F1319" s="15">
        <v>2</v>
      </c>
      <c r="G1319" s="16">
        <f t="shared" si="70"/>
        <v>7937</v>
      </c>
      <c r="H1319" s="16">
        <v>9387</v>
      </c>
      <c r="I1319" s="16">
        <f>J1319-H1319</f>
        <v>0</v>
      </c>
      <c r="J1319" s="31">
        <v>9387</v>
      </c>
      <c r="K1319" s="69">
        <f t="shared" si="71"/>
        <v>0</v>
      </c>
      <c r="L1319" s="50">
        <v>1450</v>
      </c>
      <c r="M1319" s="109">
        <v>1450</v>
      </c>
      <c r="N1319" s="110"/>
    </row>
    <row r="1320" spans="1:14" ht="15" hidden="1" thickBot="1" x14ac:dyDescent="0.35">
      <c r="A1320" s="20">
        <v>224</v>
      </c>
      <c r="B1320" s="14" t="s">
        <v>863</v>
      </c>
      <c r="C1320" s="20" t="s">
        <v>668</v>
      </c>
      <c r="D1320" s="14" t="s">
        <v>510</v>
      </c>
      <c r="E1320" s="15" t="s">
        <v>508</v>
      </c>
      <c r="F1320" s="15">
        <v>4</v>
      </c>
      <c r="G1320" s="16">
        <f t="shared" si="70"/>
        <v>22206.6</v>
      </c>
      <c r="H1320" s="16">
        <v>22706.6</v>
      </c>
      <c r="I1320" s="16">
        <f t="shared" ref="I1320:I1323" si="76">J1320-H1320</f>
        <v>0</v>
      </c>
      <c r="J1320" s="31">
        <v>22706.6</v>
      </c>
      <c r="K1320" s="69">
        <f t="shared" si="71"/>
        <v>0</v>
      </c>
      <c r="L1320" s="50">
        <v>500</v>
      </c>
      <c r="M1320" s="109">
        <v>500</v>
      </c>
      <c r="N1320" s="110"/>
    </row>
    <row r="1321" spans="1:14" ht="15" hidden="1" thickBot="1" x14ac:dyDescent="0.35">
      <c r="A1321" s="20">
        <v>224</v>
      </c>
      <c r="B1321" s="14" t="s">
        <v>863</v>
      </c>
      <c r="C1321" s="20" t="s">
        <v>668</v>
      </c>
      <c r="D1321" s="14" t="s">
        <v>1336</v>
      </c>
      <c r="E1321" s="15" t="s">
        <v>500</v>
      </c>
      <c r="F1321" s="15">
        <v>3</v>
      </c>
      <c r="G1321" s="16">
        <f t="shared" si="70"/>
        <v>165170.29999999999</v>
      </c>
      <c r="H1321" s="16">
        <v>165170.29999999999</v>
      </c>
      <c r="I1321" s="16">
        <f t="shared" si="76"/>
        <v>0</v>
      </c>
      <c r="J1321" s="31">
        <v>165170.29999999999</v>
      </c>
      <c r="K1321" s="69">
        <f t="shared" si="71"/>
        <v>0</v>
      </c>
      <c r="L1321" s="50">
        <v>0</v>
      </c>
      <c r="M1321" s="109">
        <v>0</v>
      </c>
      <c r="N1321" s="110">
        <v>0.9</v>
      </c>
    </row>
    <row r="1322" spans="1:14" ht="15" hidden="1" thickBot="1" x14ac:dyDescent="0.35">
      <c r="A1322" s="20">
        <v>224</v>
      </c>
      <c r="B1322" s="14" t="s">
        <v>863</v>
      </c>
      <c r="C1322" s="20" t="s">
        <v>668</v>
      </c>
      <c r="D1322" s="14" t="s">
        <v>1054</v>
      </c>
      <c r="E1322" s="15" t="s">
        <v>1054</v>
      </c>
      <c r="F1322" s="15">
        <v>4</v>
      </c>
      <c r="G1322" s="16">
        <f t="shared" si="70"/>
        <v>181675.6</v>
      </c>
      <c r="H1322" s="16">
        <v>182675.6</v>
      </c>
      <c r="I1322" s="16">
        <f t="shared" si="76"/>
        <v>0</v>
      </c>
      <c r="J1322" s="31">
        <v>182675.6</v>
      </c>
      <c r="K1322" s="69">
        <f t="shared" si="71"/>
        <v>0</v>
      </c>
      <c r="L1322" s="50">
        <v>1000</v>
      </c>
      <c r="M1322" s="109">
        <v>1000</v>
      </c>
      <c r="N1322" s="110">
        <v>0.9</v>
      </c>
    </row>
    <row r="1323" spans="1:14" ht="15" hidden="1" thickBot="1" x14ac:dyDescent="0.35">
      <c r="A1323" s="20">
        <v>224</v>
      </c>
      <c r="B1323" s="14" t="s">
        <v>863</v>
      </c>
      <c r="C1323" s="20" t="s">
        <v>668</v>
      </c>
      <c r="D1323" s="14" t="s">
        <v>1267</v>
      </c>
      <c r="E1323" s="15" t="s">
        <v>1054</v>
      </c>
      <c r="F1323" s="15">
        <v>2</v>
      </c>
      <c r="G1323" s="16">
        <f t="shared" si="70"/>
        <v>0</v>
      </c>
      <c r="H1323" s="16">
        <v>0</v>
      </c>
      <c r="I1323" s="16">
        <f t="shared" si="76"/>
        <v>0</v>
      </c>
      <c r="J1323" s="31">
        <v>0</v>
      </c>
      <c r="K1323" s="69">
        <f t="shared" si="71"/>
        <v>0</v>
      </c>
      <c r="L1323" s="50">
        <v>0</v>
      </c>
      <c r="M1323" s="109">
        <v>0</v>
      </c>
      <c r="N1323" s="110">
        <v>0.9</v>
      </c>
    </row>
    <row r="1324" spans="1:14" ht="15" hidden="1" thickBot="1" x14ac:dyDescent="0.35">
      <c r="A1324" s="20">
        <v>224</v>
      </c>
      <c r="B1324" s="14" t="s">
        <v>863</v>
      </c>
      <c r="C1324" s="20" t="s">
        <v>668</v>
      </c>
      <c r="D1324" s="14" t="s">
        <v>1268</v>
      </c>
      <c r="E1324" s="15" t="s">
        <v>1054</v>
      </c>
      <c r="F1324" s="15">
        <v>2</v>
      </c>
      <c r="G1324" s="16">
        <f t="shared" si="70"/>
        <v>0</v>
      </c>
      <c r="H1324" s="16">
        <v>0</v>
      </c>
      <c r="I1324" s="16">
        <f t="shared" si="72"/>
        <v>0</v>
      </c>
      <c r="J1324" s="31">
        <v>0</v>
      </c>
      <c r="K1324" s="69">
        <f t="shared" si="71"/>
        <v>0</v>
      </c>
      <c r="L1324" s="50">
        <v>0</v>
      </c>
      <c r="M1324" s="109">
        <v>0</v>
      </c>
      <c r="N1324" s="110">
        <v>0.9</v>
      </c>
    </row>
    <row r="1325" spans="1:14" ht="15" hidden="1" thickBot="1" x14ac:dyDescent="0.35">
      <c r="A1325" s="20">
        <v>225</v>
      </c>
      <c r="B1325" s="14" t="s">
        <v>864</v>
      </c>
      <c r="C1325" s="19" t="s">
        <v>865</v>
      </c>
      <c r="D1325" s="14" t="s">
        <v>497</v>
      </c>
      <c r="E1325" s="15" t="s">
        <v>14</v>
      </c>
      <c r="F1325" s="15">
        <v>3</v>
      </c>
      <c r="G1325" s="16">
        <f t="shared" si="70"/>
        <v>511081</v>
      </c>
      <c r="H1325" s="16">
        <v>511081</v>
      </c>
      <c r="I1325" s="16">
        <f t="shared" si="72"/>
        <v>0</v>
      </c>
      <c r="J1325" s="31">
        <v>511081</v>
      </c>
      <c r="K1325" s="69">
        <f t="shared" si="71"/>
        <v>0</v>
      </c>
      <c r="L1325" s="50"/>
      <c r="M1325" s="109"/>
      <c r="N1325" s="110"/>
    </row>
    <row r="1326" spans="1:14" ht="15" hidden="1" thickBot="1" x14ac:dyDescent="0.35">
      <c r="A1326" s="20">
        <v>225</v>
      </c>
      <c r="B1326" s="14" t="s">
        <v>864</v>
      </c>
      <c r="C1326" s="14" t="s">
        <v>643</v>
      </c>
      <c r="D1326" s="14" t="s">
        <v>757</v>
      </c>
      <c r="E1326" s="15" t="s">
        <v>512</v>
      </c>
      <c r="F1326" s="15">
        <v>0</v>
      </c>
      <c r="G1326" s="16">
        <f t="shared" si="70"/>
        <v>0</v>
      </c>
      <c r="H1326" s="16">
        <v>0</v>
      </c>
      <c r="I1326" s="16">
        <f t="shared" si="72"/>
        <v>0</v>
      </c>
      <c r="J1326" s="31">
        <v>0</v>
      </c>
      <c r="K1326" s="69">
        <f t="shared" si="71"/>
        <v>0</v>
      </c>
      <c r="L1326" s="50"/>
      <c r="M1326" s="109"/>
      <c r="N1326" s="110"/>
    </row>
    <row r="1327" spans="1:14" ht="15" hidden="1" thickBot="1" x14ac:dyDescent="0.35">
      <c r="A1327" s="20">
        <v>225</v>
      </c>
      <c r="B1327" s="14" t="s">
        <v>864</v>
      </c>
      <c r="C1327" s="14" t="s">
        <v>643</v>
      </c>
      <c r="D1327" s="14" t="s">
        <v>510</v>
      </c>
      <c r="E1327" s="15" t="s">
        <v>500</v>
      </c>
      <c r="F1327" s="15">
        <v>7</v>
      </c>
      <c r="G1327" s="16">
        <f t="shared" si="70"/>
        <v>26699.09</v>
      </c>
      <c r="H1327" s="16">
        <v>26819.09</v>
      </c>
      <c r="I1327" s="16">
        <f t="shared" si="72"/>
        <v>0</v>
      </c>
      <c r="J1327" s="31">
        <v>26819.09</v>
      </c>
      <c r="K1327" s="69">
        <f t="shared" si="71"/>
        <v>0</v>
      </c>
      <c r="L1327" s="50">
        <v>120</v>
      </c>
      <c r="M1327" s="109">
        <v>120</v>
      </c>
      <c r="N1327" s="110">
        <v>0.93500000000000005</v>
      </c>
    </row>
    <row r="1328" spans="1:14" ht="15" hidden="1" thickBot="1" x14ac:dyDescent="0.35">
      <c r="A1328" s="20">
        <v>225</v>
      </c>
      <c r="B1328" s="14" t="s">
        <v>864</v>
      </c>
      <c r="C1328" s="14" t="s">
        <v>643</v>
      </c>
      <c r="D1328" s="14" t="s">
        <v>510</v>
      </c>
      <c r="E1328" s="15" t="s">
        <v>512</v>
      </c>
      <c r="F1328" s="15">
        <v>8</v>
      </c>
      <c r="G1328" s="16">
        <f t="shared" si="70"/>
        <v>45088.800000000003</v>
      </c>
      <c r="H1328" s="16">
        <v>45088.800000000003</v>
      </c>
      <c r="I1328" s="16">
        <f t="shared" si="72"/>
        <v>0</v>
      </c>
      <c r="J1328" s="31">
        <v>45088.800000000003</v>
      </c>
      <c r="K1328" s="69">
        <f t="shared" si="71"/>
        <v>0</v>
      </c>
      <c r="L1328" s="50"/>
      <c r="M1328" s="109"/>
      <c r="N1328" s="110"/>
    </row>
    <row r="1329" spans="1:14" ht="15" hidden="1" thickBot="1" x14ac:dyDescent="0.35">
      <c r="A1329" s="20">
        <v>225</v>
      </c>
      <c r="B1329" s="14" t="s">
        <v>864</v>
      </c>
      <c r="C1329" s="14" t="s">
        <v>643</v>
      </c>
      <c r="D1329" s="14" t="s">
        <v>614</v>
      </c>
      <c r="E1329" s="15" t="s">
        <v>512</v>
      </c>
      <c r="F1329" s="15">
        <v>11</v>
      </c>
      <c r="G1329" s="16">
        <f t="shared" si="70"/>
        <v>103955.6</v>
      </c>
      <c r="H1329" s="16">
        <v>103955.6</v>
      </c>
      <c r="I1329" s="16">
        <f t="shared" si="72"/>
        <v>0</v>
      </c>
      <c r="J1329" s="31">
        <v>103955.6</v>
      </c>
      <c r="K1329" s="69">
        <f t="shared" si="71"/>
        <v>0</v>
      </c>
      <c r="L1329" s="50"/>
      <c r="M1329" s="109"/>
      <c r="N1329" s="110"/>
    </row>
    <row r="1330" spans="1:14" ht="15" hidden="1" thickBot="1" x14ac:dyDescent="0.35">
      <c r="A1330" s="20">
        <v>225</v>
      </c>
      <c r="B1330" s="14" t="s">
        <v>864</v>
      </c>
      <c r="C1330" s="14" t="s">
        <v>643</v>
      </c>
      <c r="D1330" s="14" t="s">
        <v>614</v>
      </c>
      <c r="E1330" s="15" t="s">
        <v>500</v>
      </c>
      <c r="F1330" s="15">
        <v>8</v>
      </c>
      <c r="G1330" s="16">
        <f t="shared" si="70"/>
        <v>104028.9</v>
      </c>
      <c r="H1330" s="16">
        <v>104388.9</v>
      </c>
      <c r="I1330" s="16">
        <f t="shared" si="72"/>
        <v>0</v>
      </c>
      <c r="J1330" s="31">
        <v>104388.9</v>
      </c>
      <c r="K1330" s="69">
        <f t="shared" si="71"/>
        <v>0</v>
      </c>
      <c r="L1330" s="50">
        <v>360</v>
      </c>
      <c r="M1330" s="109">
        <v>360</v>
      </c>
      <c r="N1330" s="110" t="s">
        <v>1322</v>
      </c>
    </row>
    <row r="1331" spans="1:14" ht="15" hidden="1" thickBot="1" x14ac:dyDescent="0.35">
      <c r="A1331" s="14">
        <v>226</v>
      </c>
      <c r="B1331" s="14" t="s">
        <v>866</v>
      </c>
      <c r="C1331" s="14" t="s">
        <v>569</v>
      </c>
      <c r="D1331" s="14" t="s">
        <v>497</v>
      </c>
      <c r="E1331" s="15" t="s">
        <v>14</v>
      </c>
      <c r="F1331" s="15">
        <v>1</v>
      </c>
      <c r="G1331" s="16">
        <f t="shared" si="70"/>
        <v>25160</v>
      </c>
      <c r="H1331" s="16">
        <v>25160</v>
      </c>
      <c r="I1331" s="16">
        <f t="shared" si="72"/>
        <v>0</v>
      </c>
      <c r="J1331" s="31">
        <v>25160</v>
      </c>
      <c r="K1331" s="69">
        <f t="shared" si="71"/>
        <v>0</v>
      </c>
      <c r="L1331" s="50"/>
      <c r="M1331" s="109"/>
      <c r="N1331" s="110"/>
    </row>
    <row r="1332" spans="1:14" ht="15" hidden="1" thickBot="1" x14ac:dyDescent="0.35">
      <c r="A1332" s="14">
        <v>227</v>
      </c>
      <c r="B1332" s="14" t="s">
        <v>867</v>
      </c>
      <c r="C1332" s="14" t="s">
        <v>859</v>
      </c>
      <c r="D1332" s="14" t="s">
        <v>497</v>
      </c>
      <c r="E1332" s="15" t="s">
        <v>14</v>
      </c>
      <c r="F1332" s="15">
        <v>7</v>
      </c>
      <c r="G1332" s="16">
        <f t="shared" si="70"/>
        <v>678825</v>
      </c>
      <c r="H1332" s="16">
        <v>678825</v>
      </c>
      <c r="I1332" s="16">
        <f t="shared" si="72"/>
        <v>0</v>
      </c>
      <c r="J1332" s="31">
        <v>678825</v>
      </c>
      <c r="K1332" s="69">
        <f t="shared" si="71"/>
        <v>0</v>
      </c>
      <c r="L1332" s="50"/>
      <c r="M1332" s="109"/>
      <c r="N1332" s="110"/>
    </row>
    <row r="1333" spans="1:14" ht="15" hidden="1" thickBot="1" x14ac:dyDescent="0.35">
      <c r="A1333" s="14">
        <v>228</v>
      </c>
      <c r="B1333" s="14" t="s">
        <v>868</v>
      </c>
      <c r="C1333" s="14" t="s">
        <v>730</v>
      </c>
      <c r="D1333" s="14" t="s">
        <v>523</v>
      </c>
      <c r="E1333" s="15" t="s">
        <v>508</v>
      </c>
      <c r="F1333" s="15">
        <v>2</v>
      </c>
      <c r="G1333" s="16">
        <f t="shared" si="70"/>
        <v>6188</v>
      </c>
      <c r="H1333" s="16">
        <v>6188</v>
      </c>
      <c r="I1333" s="16">
        <f t="shared" si="72"/>
        <v>0</v>
      </c>
      <c r="J1333" s="31">
        <v>6188</v>
      </c>
      <c r="K1333" s="69">
        <f t="shared" si="71"/>
        <v>0</v>
      </c>
      <c r="L1333" s="50"/>
      <c r="M1333" s="109"/>
      <c r="N1333" s="110"/>
    </row>
    <row r="1334" spans="1:14" ht="15" hidden="1" thickBot="1" x14ac:dyDescent="0.35">
      <c r="A1334" s="20">
        <v>229</v>
      </c>
      <c r="B1334" s="14" t="s">
        <v>869</v>
      </c>
      <c r="C1334" s="20" t="s">
        <v>668</v>
      </c>
      <c r="D1334" s="14" t="s">
        <v>513</v>
      </c>
      <c r="E1334" s="15" t="s">
        <v>546</v>
      </c>
      <c r="F1334" s="15">
        <v>1</v>
      </c>
      <c r="G1334" s="16">
        <f t="shared" si="70"/>
        <v>16825</v>
      </c>
      <c r="H1334" s="16">
        <v>16945</v>
      </c>
      <c r="I1334" s="16">
        <f t="shared" si="72"/>
        <v>0</v>
      </c>
      <c r="J1334" s="31">
        <v>16945</v>
      </c>
      <c r="K1334" s="69">
        <f t="shared" si="71"/>
        <v>0</v>
      </c>
      <c r="L1334" s="50">
        <v>120</v>
      </c>
      <c r="M1334" s="109">
        <v>120</v>
      </c>
      <c r="N1334" s="110"/>
    </row>
    <row r="1335" spans="1:14" ht="15" hidden="1" thickBot="1" x14ac:dyDescent="0.35">
      <c r="A1335" s="20">
        <v>229</v>
      </c>
      <c r="B1335" s="14" t="s">
        <v>869</v>
      </c>
      <c r="C1335" s="20" t="s">
        <v>668</v>
      </c>
      <c r="D1335" s="14" t="s">
        <v>510</v>
      </c>
      <c r="E1335" s="15" t="s">
        <v>512</v>
      </c>
      <c r="F1335" s="15">
        <v>2</v>
      </c>
      <c r="G1335" s="16">
        <f t="shared" si="70"/>
        <v>16796</v>
      </c>
      <c r="H1335" s="16">
        <v>18036</v>
      </c>
      <c r="I1335" s="16">
        <f t="shared" si="72"/>
        <v>0</v>
      </c>
      <c r="J1335" s="31">
        <v>18036</v>
      </c>
      <c r="K1335" s="69">
        <f t="shared" si="71"/>
        <v>0</v>
      </c>
      <c r="L1335" s="50">
        <v>1240</v>
      </c>
      <c r="M1335" s="109">
        <v>1240</v>
      </c>
      <c r="N1335" s="110"/>
    </row>
    <row r="1336" spans="1:14" ht="15" hidden="1" thickBot="1" x14ac:dyDescent="0.35">
      <c r="A1336" s="14">
        <v>230</v>
      </c>
      <c r="B1336" s="14" t="s">
        <v>870</v>
      </c>
      <c r="C1336" s="14" t="s">
        <v>891</v>
      </c>
      <c r="D1336" s="14" t="s">
        <v>614</v>
      </c>
      <c r="E1336" s="15" t="s">
        <v>504</v>
      </c>
      <c r="F1336" s="15">
        <v>15</v>
      </c>
      <c r="G1336" s="16">
        <f t="shared" si="70"/>
        <v>314590.7</v>
      </c>
      <c r="H1336" s="16">
        <v>317590.7</v>
      </c>
      <c r="I1336" s="16">
        <f t="shared" si="72"/>
        <v>0</v>
      </c>
      <c r="J1336" s="31">
        <v>317590.7</v>
      </c>
      <c r="K1336" s="69">
        <f t="shared" si="71"/>
        <v>0</v>
      </c>
      <c r="L1336" s="50">
        <v>3000</v>
      </c>
      <c r="M1336" s="109">
        <v>3000</v>
      </c>
      <c r="N1336" s="110">
        <v>0.95</v>
      </c>
    </row>
    <row r="1337" spans="1:14" ht="15" hidden="1" thickBot="1" x14ac:dyDescent="0.35">
      <c r="A1337" s="14">
        <v>230</v>
      </c>
      <c r="B1337" s="14" t="s">
        <v>870</v>
      </c>
      <c r="C1337" s="14" t="s">
        <v>891</v>
      </c>
      <c r="D1337" s="14" t="s">
        <v>510</v>
      </c>
      <c r="E1337" s="15" t="s">
        <v>504</v>
      </c>
      <c r="F1337" s="15">
        <v>6</v>
      </c>
      <c r="G1337" s="16">
        <f t="shared" si="70"/>
        <v>46260</v>
      </c>
      <c r="H1337" s="16">
        <v>46920</v>
      </c>
      <c r="I1337" s="16">
        <f t="shared" si="72"/>
        <v>0</v>
      </c>
      <c r="J1337" s="31">
        <v>46920</v>
      </c>
      <c r="K1337" s="69">
        <f t="shared" si="71"/>
        <v>0</v>
      </c>
      <c r="L1337" s="50">
        <v>660</v>
      </c>
      <c r="M1337" s="109">
        <v>660</v>
      </c>
      <c r="N1337" s="110"/>
    </row>
    <row r="1338" spans="1:14" ht="15" hidden="1" thickBot="1" x14ac:dyDescent="0.35">
      <c r="A1338" s="14">
        <v>230</v>
      </c>
      <c r="B1338" s="14" t="s">
        <v>870</v>
      </c>
      <c r="C1338" s="14" t="s">
        <v>891</v>
      </c>
      <c r="D1338" s="14" t="s">
        <v>510</v>
      </c>
      <c r="E1338" s="15" t="s">
        <v>500</v>
      </c>
      <c r="F1338" s="15">
        <v>6</v>
      </c>
      <c r="G1338" s="16">
        <f t="shared" si="70"/>
        <v>41784</v>
      </c>
      <c r="H1338" s="16">
        <v>42354</v>
      </c>
      <c r="I1338" s="16">
        <f t="shared" si="72"/>
        <v>0</v>
      </c>
      <c r="J1338" s="31">
        <v>42354</v>
      </c>
      <c r="K1338" s="69">
        <f t="shared" si="71"/>
        <v>0</v>
      </c>
      <c r="L1338" s="50">
        <v>570</v>
      </c>
      <c r="M1338" s="109">
        <v>570</v>
      </c>
      <c r="N1338" s="110"/>
    </row>
    <row r="1339" spans="1:14" ht="15" hidden="1" thickBot="1" x14ac:dyDescent="0.35">
      <c r="A1339" s="14">
        <v>230</v>
      </c>
      <c r="B1339" s="14" t="s">
        <v>870</v>
      </c>
      <c r="C1339" s="14" t="s">
        <v>891</v>
      </c>
      <c r="D1339" s="14" t="s">
        <v>505</v>
      </c>
      <c r="E1339" s="15" t="s">
        <v>504</v>
      </c>
      <c r="F1339" s="15">
        <v>5</v>
      </c>
      <c r="G1339" s="16">
        <f t="shared" si="70"/>
        <v>58155.9</v>
      </c>
      <c r="H1339" s="16">
        <v>59129.4</v>
      </c>
      <c r="I1339" s="16">
        <f t="shared" si="72"/>
        <v>0</v>
      </c>
      <c r="J1339" s="31">
        <v>59129.4</v>
      </c>
      <c r="K1339" s="69">
        <f t="shared" si="71"/>
        <v>0</v>
      </c>
      <c r="L1339" s="50">
        <v>973.5</v>
      </c>
      <c r="M1339" s="109">
        <v>973.5</v>
      </c>
      <c r="N1339" s="110">
        <v>0.93</v>
      </c>
    </row>
    <row r="1340" spans="1:14" ht="15" hidden="1" thickBot="1" x14ac:dyDescent="0.35">
      <c r="A1340" s="14">
        <v>230</v>
      </c>
      <c r="B1340" s="14" t="s">
        <v>870</v>
      </c>
      <c r="C1340" s="14" t="s">
        <v>891</v>
      </c>
      <c r="D1340" s="14" t="s">
        <v>679</v>
      </c>
      <c r="E1340" s="15" t="s">
        <v>502</v>
      </c>
      <c r="F1340" s="15">
        <v>14</v>
      </c>
      <c r="G1340" s="16">
        <f t="shared" si="70"/>
        <v>417580</v>
      </c>
      <c r="H1340" s="16">
        <v>423219</v>
      </c>
      <c r="I1340" s="16">
        <f>J1340-H1340</f>
        <v>0</v>
      </c>
      <c r="J1340" s="31">
        <v>423219</v>
      </c>
      <c r="K1340" s="69">
        <f t="shared" si="71"/>
        <v>0</v>
      </c>
      <c r="L1340" s="50">
        <v>5639</v>
      </c>
      <c r="M1340" s="109">
        <v>5639</v>
      </c>
      <c r="N1340" s="110">
        <v>0.85</v>
      </c>
    </row>
    <row r="1341" spans="1:14" ht="15" hidden="1" thickBot="1" x14ac:dyDescent="0.35">
      <c r="A1341" s="14">
        <v>230</v>
      </c>
      <c r="B1341" s="14" t="s">
        <v>870</v>
      </c>
      <c r="C1341" s="14" t="s">
        <v>891</v>
      </c>
      <c r="D1341" s="14" t="s">
        <v>507</v>
      </c>
      <c r="E1341" s="15" t="s">
        <v>504</v>
      </c>
      <c r="F1341" s="15">
        <v>7</v>
      </c>
      <c r="G1341" s="16">
        <f t="shared" si="70"/>
        <v>57486.6</v>
      </c>
      <c r="H1341" s="16">
        <v>57486.6</v>
      </c>
      <c r="I1341" s="16">
        <f t="shared" si="72"/>
        <v>0</v>
      </c>
      <c r="J1341" s="31">
        <v>57486.6</v>
      </c>
      <c r="K1341" s="69">
        <f t="shared" si="71"/>
        <v>0</v>
      </c>
      <c r="L1341" s="50"/>
      <c r="M1341" s="109"/>
      <c r="N1341" s="110" t="s">
        <v>1232</v>
      </c>
    </row>
    <row r="1342" spans="1:14" ht="15" hidden="1" thickBot="1" x14ac:dyDescent="0.35">
      <c r="A1342" s="14">
        <v>231</v>
      </c>
      <c r="B1342" s="14" t="s">
        <v>871</v>
      </c>
      <c r="C1342" s="14" t="s">
        <v>891</v>
      </c>
      <c r="D1342" s="14" t="s">
        <v>614</v>
      </c>
      <c r="E1342" s="15" t="s">
        <v>509</v>
      </c>
      <c r="F1342" s="15">
        <v>11</v>
      </c>
      <c r="G1342" s="16">
        <f t="shared" si="70"/>
        <v>311100</v>
      </c>
      <c r="H1342" s="16">
        <v>311220</v>
      </c>
      <c r="I1342" s="16">
        <f t="shared" si="72"/>
        <v>0</v>
      </c>
      <c r="J1342" s="31">
        <v>311220</v>
      </c>
      <c r="K1342" s="69">
        <f t="shared" si="71"/>
        <v>0</v>
      </c>
      <c r="L1342" s="50">
        <v>120</v>
      </c>
      <c r="M1342" s="109">
        <v>120</v>
      </c>
      <c r="N1342" s="110">
        <v>0.95</v>
      </c>
    </row>
    <row r="1343" spans="1:14" ht="15" hidden="1" thickBot="1" x14ac:dyDescent="0.35">
      <c r="A1343" s="14">
        <v>231</v>
      </c>
      <c r="B1343" s="14" t="s">
        <v>871</v>
      </c>
      <c r="C1343" s="14" t="s">
        <v>891</v>
      </c>
      <c r="D1343" s="14" t="s">
        <v>614</v>
      </c>
      <c r="E1343" s="15" t="s">
        <v>503</v>
      </c>
      <c r="F1343" s="15">
        <v>10</v>
      </c>
      <c r="G1343" s="16">
        <f t="shared" si="70"/>
        <v>284625</v>
      </c>
      <c r="H1343" s="16">
        <v>285105</v>
      </c>
      <c r="I1343" s="16">
        <f t="shared" si="72"/>
        <v>0</v>
      </c>
      <c r="J1343" s="31">
        <v>285105</v>
      </c>
      <c r="K1343" s="69">
        <f t="shared" si="71"/>
        <v>0</v>
      </c>
      <c r="L1343" s="50">
        <v>480</v>
      </c>
      <c r="M1343" s="109">
        <v>480</v>
      </c>
      <c r="N1343" s="110">
        <v>0.95</v>
      </c>
    </row>
    <row r="1344" spans="1:14" ht="15" hidden="1" thickBot="1" x14ac:dyDescent="0.35">
      <c r="A1344" s="14">
        <v>231</v>
      </c>
      <c r="B1344" s="14" t="s">
        <v>871</v>
      </c>
      <c r="C1344" s="14" t="s">
        <v>891</v>
      </c>
      <c r="D1344" s="14" t="s">
        <v>510</v>
      </c>
      <c r="E1344" s="15" t="s">
        <v>509</v>
      </c>
      <c r="F1344" s="15">
        <v>6</v>
      </c>
      <c r="G1344" s="16">
        <f t="shared" si="70"/>
        <v>46259.8</v>
      </c>
      <c r="H1344" s="16">
        <v>46439.8</v>
      </c>
      <c r="I1344" s="16">
        <f t="shared" si="72"/>
        <v>0</v>
      </c>
      <c r="J1344" s="31">
        <v>46439.8</v>
      </c>
      <c r="K1344" s="69">
        <f t="shared" si="71"/>
        <v>0</v>
      </c>
      <c r="L1344" s="50">
        <v>180</v>
      </c>
      <c r="M1344" s="109">
        <v>180</v>
      </c>
      <c r="N1344" s="110">
        <v>0.95</v>
      </c>
    </row>
    <row r="1345" spans="1:14" ht="15" hidden="1" thickBot="1" x14ac:dyDescent="0.35">
      <c r="A1345" s="14">
        <v>231</v>
      </c>
      <c r="B1345" s="14" t="s">
        <v>871</v>
      </c>
      <c r="C1345" s="14" t="s">
        <v>891</v>
      </c>
      <c r="D1345" s="14" t="s">
        <v>510</v>
      </c>
      <c r="E1345" s="15" t="s">
        <v>503</v>
      </c>
      <c r="F1345" s="15">
        <v>6</v>
      </c>
      <c r="G1345" s="16">
        <f t="shared" si="70"/>
        <v>33158.800000000003</v>
      </c>
      <c r="H1345" s="16">
        <v>33158.800000000003</v>
      </c>
      <c r="I1345" s="16">
        <f t="shared" si="72"/>
        <v>0</v>
      </c>
      <c r="J1345" s="31">
        <v>33158.800000000003</v>
      </c>
      <c r="K1345" s="69">
        <f t="shared" si="71"/>
        <v>0</v>
      </c>
      <c r="L1345" s="50"/>
      <c r="M1345" s="109"/>
      <c r="N1345" s="110">
        <v>0.95</v>
      </c>
    </row>
    <row r="1346" spans="1:14" ht="15" hidden="1" thickBot="1" x14ac:dyDescent="0.35">
      <c r="A1346" s="14">
        <v>231</v>
      </c>
      <c r="B1346" s="14" t="s">
        <v>871</v>
      </c>
      <c r="C1346" s="14" t="s">
        <v>891</v>
      </c>
      <c r="D1346" s="14" t="s">
        <v>524</v>
      </c>
      <c r="E1346" s="15" t="s">
        <v>503</v>
      </c>
      <c r="F1346" s="15">
        <v>4</v>
      </c>
      <c r="G1346" s="16">
        <f t="shared" si="70"/>
        <v>18259</v>
      </c>
      <c r="H1346" s="16">
        <v>18259</v>
      </c>
      <c r="I1346" s="16">
        <f t="shared" si="72"/>
        <v>0</v>
      </c>
      <c r="J1346" s="31">
        <v>18259</v>
      </c>
      <c r="K1346" s="69">
        <f t="shared" si="71"/>
        <v>0</v>
      </c>
      <c r="L1346" s="50"/>
      <c r="M1346" s="109"/>
      <c r="N1346" s="110"/>
    </row>
    <row r="1347" spans="1:14" ht="15" hidden="1" thickBot="1" x14ac:dyDescent="0.35">
      <c r="A1347" s="14">
        <v>231</v>
      </c>
      <c r="B1347" s="14" t="s">
        <v>871</v>
      </c>
      <c r="C1347" s="14" t="s">
        <v>891</v>
      </c>
      <c r="D1347" s="14" t="s">
        <v>981</v>
      </c>
      <c r="E1347" s="15" t="s">
        <v>502</v>
      </c>
      <c r="F1347" s="15">
        <v>15</v>
      </c>
      <c r="G1347" s="16">
        <f t="shared" ref="G1347:G1427" si="77">H1347-M1347</f>
        <v>433876</v>
      </c>
      <c r="H1347" s="16">
        <v>438011</v>
      </c>
      <c r="I1347" s="16">
        <f t="shared" si="72"/>
        <v>0</v>
      </c>
      <c r="J1347" s="31">
        <v>438011</v>
      </c>
      <c r="K1347" s="69">
        <f t="shared" si="71"/>
        <v>0</v>
      </c>
      <c r="L1347" s="50">
        <v>4135</v>
      </c>
      <c r="M1347" s="109">
        <v>4135</v>
      </c>
      <c r="N1347" s="110">
        <v>0.9</v>
      </c>
    </row>
    <row r="1348" spans="1:14" ht="15" hidden="1" thickBot="1" x14ac:dyDescent="0.35">
      <c r="A1348" s="14">
        <v>231</v>
      </c>
      <c r="B1348" s="14" t="s">
        <v>871</v>
      </c>
      <c r="C1348" s="14" t="s">
        <v>891</v>
      </c>
      <c r="D1348" s="14" t="s">
        <v>614</v>
      </c>
      <c r="E1348" s="15" t="s">
        <v>500</v>
      </c>
      <c r="F1348" s="15">
        <v>11</v>
      </c>
      <c r="G1348" s="16">
        <f t="shared" si="77"/>
        <v>320659</v>
      </c>
      <c r="H1348" s="16">
        <v>321419</v>
      </c>
      <c r="I1348" s="16">
        <f t="shared" si="72"/>
        <v>0</v>
      </c>
      <c r="J1348" s="31">
        <v>321419</v>
      </c>
      <c r="K1348" s="69">
        <f t="shared" si="71"/>
        <v>0</v>
      </c>
      <c r="L1348" s="50">
        <v>760</v>
      </c>
      <c r="M1348" s="109">
        <v>760</v>
      </c>
      <c r="N1348" s="110">
        <v>0.95</v>
      </c>
    </row>
    <row r="1349" spans="1:14" ht="15" hidden="1" thickBot="1" x14ac:dyDescent="0.35">
      <c r="A1349" s="14">
        <v>231</v>
      </c>
      <c r="B1349" s="14" t="s">
        <v>871</v>
      </c>
      <c r="C1349" s="14" t="s">
        <v>891</v>
      </c>
      <c r="D1349" s="14" t="s">
        <v>513</v>
      </c>
      <c r="E1349" s="15" t="s">
        <v>546</v>
      </c>
      <c r="F1349" s="15">
        <v>11</v>
      </c>
      <c r="G1349" s="16">
        <f t="shared" si="77"/>
        <v>59225.9</v>
      </c>
      <c r="H1349" s="16">
        <v>60005.9</v>
      </c>
      <c r="I1349" s="16">
        <f t="shared" si="72"/>
        <v>0</v>
      </c>
      <c r="J1349" s="31">
        <v>60005.9</v>
      </c>
      <c r="K1349" s="69">
        <f t="shared" ref="K1349:K1429" si="78">M1349-L1349</f>
        <v>0</v>
      </c>
      <c r="L1349" s="50">
        <v>780</v>
      </c>
      <c r="M1349" s="109">
        <v>780</v>
      </c>
      <c r="N1349" s="110" t="s">
        <v>1670</v>
      </c>
    </row>
    <row r="1350" spans="1:14" ht="15" hidden="1" thickBot="1" x14ac:dyDescent="0.35">
      <c r="A1350" s="14">
        <v>232</v>
      </c>
      <c r="B1350" s="14" t="s">
        <v>873</v>
      </c>
      <c r="C1350" s="14" t="s">
        <v>730</v>
      </c>
      <c r="D1350" s="14" t="s">
        <v>507</v>
      </c>
      <c r="E1350" s="15" t="s">
        <v>504</v>
      </c>
      <c r="F1350" s="15">
        <v>3</v>
      </c>
      <c r="G1350" s="16">
        <f t="shared" si="77"/>
        <v>7279</v>
      </c>
      <c r="H1350" s="16">
        <v>12839</v>
      </c>
      <c r="I1350" s="16">
        <f t="shared" si="72"/>
        <v>0</v>
      </c>
      <c r="J1350" s="31">
        <v>12839</v>
      </c>
      <c r="K1350" s="69">
        <f t="shared" si="78"/>
        <v>0</v>
      </c>
      <c r="L1350" s="50">
        <v>5560</v>
      </c>
      <c r="M1350" s="109">
        <v>5560</v>
      </c>
      <c r="N1350" s="110"/>
    </row>
    <row r="1351" spans="1:14" ht="15" hidden="1" thickBot="1" x14ac:dyDescent="0.35">
      <c r="A1351" s="14">
        <v>234</v>
      </c>
      <c r="B1351" s="14" t="s">
        <v>990</v>
      </c>
      <c r="C1351" s="14" t="s">
        <v>991</v>
      </c>
      <c r="D1351" s="14" t="s">
        <v>497</v>
      </c>
      <c r="E1351" s="15" t="s">
        <v>14</v>
      </c>
      <c r="F1351" s="15">
        <v>4</v>
      </c>
      <c r="G1351" s="16">
        <f t="shared" si="77"/>
        <v>35625</v>
      </c>
      <c r="H1351" s="16">
        <v>35625</v>
      </c>
      <c r="I1351" s="16">
        <f t="shared" si="72"/>
        <v>0</v>
      </c>
      <c r="J1351" s="31">
        <v>35625</v>
      </c>
      <c r="K1351" s="69">
        <f t="shared" si="78"/>
        <v>0</v>
      </c>
      <c r="L1351" s="50"/>
      <c r="M1351" s="109"/>
      <c r="N1351" s="110"/>
    </row>
    <row r="1352" spans="1:14" ht="15" hidden="1" customHeight="1" thickBot="1" x14ac:dyDescent="0.35">
      <c r="A1352" s="20">
        <v>235</v>
      </c>
      <c r="B1352" s="14" t="s">
        <v>874</v>
      </c>
      <c r="C1352" s="20" t="s">
        <v>1887</v>
      </c>
      <c r="D1352" s="15" t="s">
        <v>1888</v>
      </c>
      <c r="E1352" s="15" t="s">
        <v>14</v>
      </c>
      <c r="F1352" s="16">
        <v>1</v>
      </c>
      <c r="G1352" s="16">
        <f t="shared" ref="G1352" si="79">H1352-M1352</f>
        <v>8320</v>
      </c>
      <c r="H1352" s="16">
        <v>8320</v>
      </c>
      <c r="I1352" s="16">
        <f t="shared" ref="I1352" si="80">J1352-H1352</f>
        <v>0</v>
      </c>
      <c r="J1352" s="31">
        <v>8320</v>
      </c>
      <c r="K1352" s="69">
        <f t="shared" ref="K1352" si="81">M1352-L1352</f>
        <v>0</v>
      </c>
      <c r="L1352" s="50"/>
      <c r="M1352" s="109"/>
      <c r="N1352" s="110"/>
    </row>
    <row r="1353" spans="1:14" ht="15" hidden="1" customHeight="1" thickBot="1" x14ac:dyDescent="0.35">
      <c r="A1353" s="20">
        <v>235</v>
      </c>
      <c r="B1353" s="14" t="s">
        <v>874</v>
      </c>
      <c r="C1353" s="20" t="s">
        <v>875</v>
      </c>
      <c r="D1353" s="15" t="s">
        <v>497</v>
      </c>
      <c r="E1353" s="15" t="s">
        <v>14</v>
      </c>
      <c r="F1353" s="16">
        <v>1</v>
      </c>
      <c r="G1353" s="16">
        <f t="shared" si="77"/>
        <v>193365</v>
      </c>
      <c r="H1353" s="16">
        <v>193365</v>
      </c>
      <c r="I1353" s="16">
        <f t="shared" si="72"/>
        <v>0</v>
      </c>
      <c r="J1353" s="31">
        <v>193365</v>
      </c>
      <c r="K1353" s="69">
        <f t="shared" si="78"/>
        <v>0</v>
      </c>
      <c r="L1353" s="50"/>
      <c r="M1353" s="109"/>
      <c r="N1353" s="110"/>
    </row>
    <row r="1354" spans="1:14" ht="15" hidden="1" customHeight="1" thickBot="1" x14ac:dyDescent="0.35">
      <c r="A1354" s="20">
        <v>235</v>
      </c>
      <c r="B1354" s="14" t="s">
        <v>874</v>
      </c>
      <c r="C1354" s="20" t="s">
        <v>875</v>
      </c>
      <c r="D1354" s="15" t="s">
        <v>614</v>
      </c>
      <c r="E1354" s="15" t="s">
        <v>503</v>
      </c>
      <c r="F1354" s="16">
        <v>2</v>
      </c>
      <c r="G1354" s="16">
        <f t="shared" si="77"/>
        <v>5062</v>
      </c>
      <c r="H1354" s="16">
        <v>5182</v>
      </c>
      <c r="I1354" s="16">
        <f t="shared" si="72"/>
        <v>0</v>
      </c>
      <c r="J1354" s="31">
        <v>5182</v>
      </c>
      <c r="K1354" s="69">
        <f t="shared" si="78"/>
        <v>0</v>
      </c>
      <c r="L1354" s="50">
        <v>120</v>
      </c>
      <c r="M1354" s="109">
        <v>120</v>
      </c>
      <c r="N1354" s="110">
        <v>0.95</v>
      </c>
    </row>
    <row r="1355" spans="1:14" ht="15" hidden="1" customHeight="1" thickBot="1" x14ac:dyDescent="0.35">
      <c r="A1355" s="20">
        <v>235</v>
      </c>
      <c r="B1355" s="14" t="s">
        <v>874</v>
      </c>
      <c r="C1355" s="20" t="s">
        <v>875</v>
      </c>
      <c r="D1355" s="15" t="s">
        <v>510</v>
      </c>
      <c r="E1355" s="15" t="s">
        <v>503</v>
      </c>
      <c r="F1355" s="16">
        <v>2</v>
      </c>
      <c r="G1355" s="16">
        <f t="shared" si="77"/>
        <v>5018</v>
      </c>
      <c r="H1355" s="16">
        <v>5018</v>
      </c>
      <c r="I1355" s="16">
        <f t="shared" si="72"/>
        <v>0</v>
      </c>
      <c r="J1355" s="31">
        <v>5018</v>
      </c>
      <c r="K1355" s="69">
        <f t="shared" si="78"/>
        <v>0</v>
      </c>
      <c r="L1355" s="50"/>
      <c r="M1355" s="109"/>
      <c r="N1355" s="110">
        <v>0.95</v>
      </c>
    </row>
    <row r="1356" spans="1:14" ht="15" hidden="1" customHeight="1" thickBot="1" x14ac:dyDescent="0.35">
      <c r="A1356" s="20">
        <v>235</v>
      </c>
      <c r="B1356" s="14" t="s">
        <v>874</v>
      </c>
      <c r="C1356" s="20" t="s">
        <v>875</v>
      </c>
      <c r="D1356" s="15" t="s">
        <v>510</v>
      </c>
      <c r="E1356" s="15" t="s">
        <v>499</v>
      </c>
      <c r="F1356" s="16">
        <v>2</v>
      </c>
      <c r="G1356" s="16">
        <f t="shared" si="77"/>
        <v>4601</v>
      </c>
      <c r="H1356" s="16">
        <v>4961</v>
      </c>
      <c r="I1356" s="16">
        <f t="shared" si="72"/>
        <v>0</v>
      </c>
      <c r="J1356" s="31">
        <v>4961</v>
      </c>
      <c r="K1356" s="69">
        <f t="shared" si="78"/>
        <v>0</v>
      </c>
      <c r="L1356" s="50">
        <v>360</v>
      </c>
      <c r="M1356" s="109">
        <v>360</v>
      </c>
      <c r="N1356" s="110">
        <v>0.95</v>
      </c>
    </row>
    <row r="1357" spans="1:14" ht="15" hidden="1" customHeight="1" thickBot="1" x14ac:dyDescent="0.35">
      <c r="A1357" s="20">
        <v>235</v>
      </c>
      <c r="B1357" s="14" t="s">
        <v>874</v>
      </c>
      <c r="C1357" s="20" t="s">
        <v>875</v>
      </c>
      <c r="D1357" s="15" t="s">
        <v>510</v>
      </c>
      <c r="E1357" s="15" t="s">
        <v>506</v>
      </c>
      <c r="F1357" s="16">
        <v>2</v>
      </c>
      <c r="G1357" s="16">
        <f t="shared" si="77"/>
        <v>4961</v>
      </c>
      <c r="H1357" s="16">
        <v>4961</v>
      </c>
      <c r="I1357" s="16">
        <f t="shared" si="72"/>
        <v>0</v>
      </c>
      <c r="J1357" s="31">
        <v>4961</v>
      </c>
      <c r="K1357" s="69">
        <f t="shared" si="78"/>
        <v>0</v>
      </c>
      <c r="L1357" s="50"/>
      <c r="M1357" s="109"/>
      <c r="N1357" s="110">
        <v>0.95</v>
      </c>
    </row>
    <row r="1358" spans="1:14" ht="15" hidden="1" customHeight="1" thickBot="1" x14ac:dyDescent="0.35">
      <c r="A1358" s="20">
        <v>235</v>
      </c>
      <c r="B1358" s="14" t="s">
        <v>874</v>
      </c>
      <c r="C1358" s="20" t="s">
        <v>875</v>
      </c>
      <c r="D1358" s="15" t="s">
        <v>510</v>
      </c>
      <c r="E1358" s="15" t="s">
        <v>502</v>
      </c>
      <c r="F1358" s="16">
        <v>2</v>
      </c>
      <c r="G1358" s="16">
        <f t="shared" si="77"/>
        <v>5023</v>
      </c>
      <c r="H1358" s="16">
        <v>5023</v>
      </c>
      <c r="I1358" s="16">
        <f t="shared" si="72"/>
        <v>0</v>
      </c>
      <c r="J1358" s="31">
        <v>5023</v>
      </c>
      <c r="K1358" s="69">
        <f t="shared" si="78"/>
        <v>0</v>
      </c>
      <c r="L1358" s="50"/>
      <c r="M1358" s="109"/>
      <c r="N1358" s="110">
        <v>0.95</v>
      </c>
    </row>
    <row r="1359" spans="1:14" ht="15" hidden="1" customHeight="1" thickBot="1" x14ac:dyDescent="0.35">
      <c r="A1359" s="20">
        <v>235</v>
      </c>
      <c r="B1359" s="14" t="s">
        <v>874</v>
      </c>
      <c r="C1359" s="20" t="s">
        <v>875</v>
      </c>
      <c r="D1359" s="15" t="s">
        <v>505</v>
      </c>
      <c r="E1359" s="15" t="s">
        <v>504</v>
      </c>
      <c r="F1359" s="16">
        <v>2</v>
      </c>
      <c r="G1359" s="16">
        <f t="shared" si="77"/>
        <v>3087</v>
      </c>
      <c r="H1359" s="16">
        <v>3087</v>
      </c>
      <c r="I1359" s="16">
        <f t="shared" si="72"/>
        <v>0</v>
      </c>
      <c r="J1359" s="31">
        <v>3087</v>
      </c>
      <c r="K1359" s="69">
        <f t="shared" si="78"/>
        <v>0</v>
      </c>
      <c r="L1359" s="50"/>
      <c r="M1359" s="109"/>
      <c r="N1359" s="110">
        <v>0.9</v>
      </c>
    </row>
    <row r="1360" spans="1:14" ht="15" hidden="1" customHeight="1" thickBot="1" x14ac:dyDescent="0.35">
      <c r="A1360" s="20">
        <v>235</v>
      </c>
      <c r="B1360" s="14" t="s">
        <v>874</v>
      </c>
      <c r="C1360" s="20" t="s">
        <v>875</v>
      </c>
      <c r="D1360" s="15" t="s">
        <v>548</v>
      </c>
      <c r="E1360" s="15" t="s">
        <v>504</v>
      </c>
      <c r="F1360" s="16">
        <v>2</v>
      </c>
      <c r="G1360" s="16">
        <f t="shared" si="77"/>
        <v>2817</v>
      </c>
      <c r="H1360" s="16">
        <v>2817</v>
      </c>
      <c r="I1360" s="16">
        <f t="shared" si="72"/>
        <v>0</v>
      </c>
      <c r="J1360" s="31">
        <v>2817</v>
      </c>
      <c r="K1360" s="69">
        <f t="shared" si="78"/>
        <v>0</v>
      </c>
      <c r="L1360" s="50"/>
      <c r="M1360" s="109"/>
      <c r="N1360" s="110">
        <v>0.9</v>
      </c>
    </row>
    <row r="1361" spans="1:14" ht="15" hidden="1" customHeight="1" thickBot="1" x14ac:dyDescent="0.35">
      <c r="A1361" s="20">
        <v>235</v>
      </c>
      <c r="B1361" s="14" t="s">
        <v>874</v>
      </c>
      <c r="C1361" s="20" t="s">
        <v>875</v>
      </c>
      <c r="D1361" s="15" t="s">
        <v>545</v>
      </c>
      <c r="E1361" s="15"/>
      <c r="F1361" s="16">
        <v>2</v>
      </c>
      <c r="G1361" s="16">
        <f t="shared" si="77"/>
        <v>2651</v>
      </c>
      <c r="H1361" s="16">
        <v>2651</v>
      </c>
      <c r="I1361" s="16">
        <f t="shared" si="72"/>
        <v>0</v>
      </c>
      <c r="J1361" s="31">
        <v>2651</v>
      </c>
      <c r="K1361" s="69">
        <f t="shared" si="78"/>
        <v>0</v>
      </c>
      <c r="L1361" s="50"/>
      <c r="M1361" s="109"/>
      <c r="N1361" s="110">
        <v>0.9</v>
      </c>
    </row>
    <row r="1362" spans="1:14" ht="15" hidden="1" customHeight="1" thickBot="1" x14ac:dyDescent="0.35">
      <c r="A1362" s="20">
        <v>235</v>
      </c>
      <c r="B1362" s="14" t="s">
        <v>874</v>
      </c>
      <c r="C1362" s="20" t="s">
        <v>875</v>
      </c>
      <c r="D1362" s="15" t="s">
        <v>614</v>
      </c>
      <c r="E1362" s="15" t="s">
        <v>512</v>
      </c>
      <c r="F1362" s="16">
        <v>2</v>
      </c>
      <c r="G1362" s="16">
        <f t="shared" si="77"/>
        <v>3281</v>
      </c>
      <c r="H1362" s="16">
        <v>3281</v>
      </c>
      <c r="I1362" s="16">
        <f t="shared" si="72"/>
        <v>0</v>
      </c>
      <c r="J1362" s="31">
        <v>3281</v>
      </c>
      <c r="K1362" s="69">
        <f t="shared" si="78"/>
        <v>0</v>
      </c>
      <c r="L1362" s="50"/>
      <c r="M1362" s="109"/>
      <c r="N1362" s="110"/>
    </row>
    <row r="1363" spans="1:14" ht="15" hidden="1" customHeight="1" thickBot="1" x14ac:dyDescent="0.35">
      <c r="A1363" s="20">
        <v>235</v>
      </c>
      <c r="B1363" s="14" t="s">
        <v>874</v>
      </c>
      <c r="C1363" s="20" t="s">
        <v>875</v>
      </c>
      <c r="D1363" s="15" t="s">
        <v>510</v>
      </c>
      <c r="E1363" s="15" t="s">
        <v>504</v>
      </c>
      <c r="F1363" s="16">
        <v>2</v>
      </c>
      <c r="G1363" s="16">
        <f t="shared" si="77"/>
        <v>2115</v>
      </c>
      <c r="H1363" s="16">
        <v>2115</v>
      </c>
      <c r="I1363" s="16">
        <f t="shared" si="72"/>
        <v>0</v>
      </c>
      <c r="J1363" s="31">
        <v>2115</v>
      </c>
      <c r="K1363" s="69">
        <f t="shared" si="78"/>
        <v>0</v>
      </c>
      <c r="L1363" s="50"/>
      <c r="M1363" s="109"/>
      <c r="N1363" s="110"/>
    </row>
    <row r="1364" spans="1:14" ht="15" hidden="1" customHeight="1" thickBot="1" x14ac:dyDescent="0.35">
      <c r="A1364" s="20">
        <v>235</v>
      </c>
      <c r="B1364" s="14" t="s">
        <v>874</v>
      </c>
      <c r="C1364" s="20" t="s">
        <v>875</v>
      </c>
      <c r="D1364" s="15" t="s">
        <v>510</v>
      </c>
      <c r="E1364" s="15" t="s">
        <v>500</v>
      </c>
      <c r="F1364" s="16">
        <v>1</v>
      </c>
      <c r="G1364" s="16">
        <f t="shared" si="77"/>
        <v>1440</v>
      </c>
      <c r="H1364" s="16">
        <v>1440</v>
      </c>
      <c r="I1364" s="16">
        <f t="shared" si="72"/>
        <v>0</v>
      </c>
      <c r="J1364" s="31">
        <v>1440</v>
      </c>
      <c r="K1364" s="69">
        <f t="shared" si="78"/>
        <v>0</v>
      </c>
      <c r="L1364" s="50"/>
      <c r="M1364" s="109"/>
      <c r="N1364" s="110"/>
    </row>
    <row r="1365" spans="1:14" ht="15" hidden="1" customHeight="1" thickBot="1" x14ac:dyDescent="0.35">
      <c r="A1365" s="20">
        <v>235</v>
      </c>
      <c r="B1365" s="14" t="s">
        <v>874</v>
      </c>
      <c r="C1365" s="20" t="s">
        <v>875</v>
      </c>
      <c r="D1365" s="15" t="s">
        <v>614</v>
      </c>
      <c r="E1365" s="15" t="s">
        <v>500</v>
      </c>
      <c r="F1365" s="16">
        <v>2</v>
      </c>
      <c r="G1365" s="16">
        <f t="shared" si="77"/>
        <v>2529</v>
      </c>
      <c r="H1365" s="16">
        <v>2529</v>
      </c>
      <c r="I1365" s="16">
        <f t="shared" si="72"/>
        <v>0</v>
      </c>
      <c r="J1365" s="31">
        <v>2529</v>
      </c>
      <c r="K1365" s="69">
        <f t="shared" si="78"/>
        <v>0</v>
      </c>
      <c r="L1365" s="50"/>
      <c r="M1365" s="109"/>
      <c r="N1365" s="110"/>
    </row>
    <row r="1366" spans="1:14" ht="15" hidden="1" customHeight="1" thickBot="1" x14ac:dyDescent="0.35">
      <c r="A1366" s="20">
        <v>235</v>
      </c>
      <c r="B1366" s="14" t="s">
        <v>874</v>
      </c>
      <c r="C1366" s="20" t="s">
        <v>875</v>
      </c>
      <c r="D1366" s="15" t="s">
        <v>510</v>
      </c>
      <c r="E1366" s="15" t="s">
        <v>512</v>
      </c>
      <c r="F1366" s="16">
        <v>2</v>
      </c>
      <c r="G1366" s="16">
        <f t="shared" si="77"/>
        <v>2115</v>
      </c>
      <c r="H1366" s="16">
        <v>2115</v>
      </c>
      <c r="I1366" s="16">
        <f t="shared" si="72"/>
        <v>0</v>
      </c>
      <c r="J1366" s="31">
        <v>2115</v>
      </c>
      <c r="K1366" s="69">
        <f t="shared" si="78"/>
        <v>0</v>
      </c>
      <c r="L1366" s="50"/>
      <c r="M1366" s="109"/>
      <c r="N1366" s="110">
        <v>0.9</v>
      </c>
    </row>
    <row r="1367" spans="1:14" ht="15" hidden="1" customHeight="1" thickBot="1" x14ac:dyDescent="0.35">
      <c r="A1367" s="20">
        <v>235</v>
      </c>
      <c r="B1367" s="14" t="s">
        <v>874</v>
      </c>
      <c r="C1367" s="20" t="s">
        <v>875</v>
      </c>
      <c r="D1367" s="15" t="s">
        <v>510</v>
      </c>
      <c r="E1367" s="15" t="s">
        <v>509</v>
      </c>
      <c r="F1367" s="16">
        <v>1</v>
      </c>
      <c r="G1367" s="16">
        <f t="shared" si="77"/>
        <v>1710</v>
      </c>
      <c r="H1367" s="16">
        <v>1710</v>
      </c>
      <c r="I1367" s="16">
        <f t="shared" si="72"/>
        <v>0</v>
      </c>
      <c r="J1367" s="31">
        <v>1710</v>
      </c>
      <c r="K1367" s="69">
        <f t="shared" si="78"/>
        <v>0</v>
      </c>
      <c r="L1367" s="50"/>
      <c r="M1367" s="109"/>
      <c r="N1367" s="110"/>
    </row>
    <row r="1368" spans="1:14" ht="15" hidden="1" customHeight="1" thickBot="1" x14ac:dyDescent="0.35">
      <c r="A1368" s="20">
        <v>235</v>
      </c>
      <c r="B1368" s="14" t="s">
        <v>874</v>
      </c>
      <c r="C1368" s="20" t="s">
        <v>875</v>
      </c>
      <c r="D1368" s="15" t="s">
        <v>614</v>
      </c>
      <c r="E1368" s="15" t="s">
        <v>504</v>
      </c>
      <c r="F1368" s="16">
        <v>2</v>
      </c>
      <c r="G1368" s="16">
        <f t="shared" si="77"/>
        <v>3281</v>
      </c>
      <c r="H1368" s="16">
        <v>3281</v>
      </c>
      <c r="I1368" s="16">
        <f t="shared" si="72"/>
        <v>0</v>
      </c>
      <c r="J1368" s="31">
        <v>3281</v>
      </c>
      <c r="K1368" s="69">
        <f t="shared" si="78"/>
        <v>0</v>
      </c>
      <c r="L1368" s="50"/>
      <c r="M1368" s="109"/>
      <c r="N1368" s="110">
        <v>0.9</v>
      </c>
    </row>
    <row r="1369" spans="1:14" ht="15" hidden="1" customHeight="1" thickBot="1" x14ac:dyDescent="0.35">
      <c r="A1369" s="20">
        <v>235</v>
      </c>
      <c r="B1369" s="14" t="s">
        <v>874</v>
      </c>
      <c r="C1369" s="20" t="s">
        <v>875</v>
      </c>
      <c r="D1369" s="15" t="s">
        <v>547</v>
      </c>
      <c r="E1369" s="15" t="s">
        <v>502</v>
      </c>
      <c r="F1369" s="16">
        <v>2</v>
      </c>
      <c r="G1369" s="16">
        <f t="shared" si="77"/>
        <v>3705</v>
      </c>
      <c r="H1369" s="16">
        <v>3705</v>
      </c>
      <c r="I1369" s="16">
        <f t="shared" si="72"/>
        <v>0</v>
      </c>
      <c r="J1369" s="31">
        <v>3705</v>
      </c>
      <c r="K1369" s="69">
        <f t="shared" si="78"/>
        <v>0</v>
      </c>
      <c r="L1369" s="50"/>
      <c r="M1369" s="109"/>
      <c r="N1369" s="110">
        <v>0.95</v>
      </c>
    </row>
    <row r="1370" spans="1:14" ht="15" hidden="1" customHeight="1" thickBot="1" x14ac:dyDescent="0.35">
      <c r="A1370" s="20">
        <v>235</v>
      </c>
      <c r="B1370" s="14" t="s">
        <v>874</v>
      </c>
      <c r="C1370" s="20" t="s">
        <v>875</v>
      </c>
      <c r="D1370" s="15" t="s">
        <v>522</v>
      </c>
      <c r="E1370" s="15" t="s">
        <v>502</v>
      </c>
      <c r="F1370" s="16">
        <v>2</v>
      </c>
      <c r="G1370" s="16">
        <f t="shared" si="77"/>
        <v>3705</v>
      </c>
      <c r="H1370" s="16">
        <v>3705</v>
      </c>
      <c r="I1370" s="16">
        <f t="shared" si="72"/>
        <v>0</v>
      </c>
      <c r="J1370" s="31">
        <v>3705</v>
      </c>
      <c r="K1370" s="69">
        <f t="shared" si="78"/>
        <v>0</v>
      </c>
      <c r="L1370" s="50"/>
      <c r="M1370" s="109"/>
      <c r="N1370" s="110">
        <v>0.95</v>
      </c>
    </row>
    <row r="1371" spans="1:14" ht="15" hidden="1" customHeight="1" thickBot="1" x14ac:dyDescent="0.35">
      <c r="A1371" s="20">
        <v>235</v>
      </c>
      <c r="B1371" s="14" t="s">
        <v>874</v>
      </c>
      <c r="C1371" s="20" t="s">
        <v>875</v>
      </c>
      <c r="D1371" s="15" t="s">
        <v>524</v>
      </c>
      <c r="E1371" s="15" t="s">
        <v>503</v>
      </c>
      <c r="F1371" s="16">
        <v>2</v>
      </c>
      <c r="G1371" s="16">
        <f t="shared" si="77"/>
        <v>3705</v>
      </c>
      <c r="H1371" s="16">
        <v>3705</v>
      </c>
      <c r="I1371" s="16">
        <f t="shared" si="72"/>
        <v>0</v>
      </c>
      <c r="J1371" s="31">
        <v>3705</v>
      </c>
      <c r="K1371" s="69">
        <f t="shared" si="78"/>
        <v>0</v>
      </c>
      <c r="L1371" s="50"/>
      <c r="M1371" s="109"/>
      <c r="N1371" s="110">
        <v>0.95</v>
      </c>
    </row>
    <row r="1372" spans="1:14" ht="15" hidden="1" customHeight="1" thickBot="1" x14ac:dyDescent="0.35">
      <c r="A1372" s="20">
        <v>235</v>
      </c>
      <c r="B1372" s="14" t="s">
        <v>874</v>
      </c>
      <c r="C1372" s="20" t="s">
        <v>875</v>
      </c>
      <c r="D1372" s="15" t="s">
        <v>523</v>
      </c>
      <c r="E1372" s="15" t="s">
        <v>508</v>
      </c>
      <c r="F1372" s="16">
        <v>2</v>
      </c>
      <c r="G1372" s="16">
        <f t="shared" si="77"/>
        <v>3705</v>
      </c>
      <c r="H1372" s="16">
        <v>3705</v>
      </c>
      <c r="I1372" s="16">
        <f t="shared" si="72"/>
        <v>0</v>
      </c>
      <c r="J1372" s="31">
        <v>3705</v>
      </c>
      <c r="K1372" s="69">
        <f t="shared" si="78"/>
        <v>0</v>
      </c>
      <c r="L1372" s="50"/>
      <c r="M1372" s="109"/>
      <c r="N1372" s="110">
        <v>0.9</v>
      </c>
    </row>
    <row r="1373" spans="1:14" ht="15" hidden="1" customHeight="1" thickBot="1" x14ac:dyDescent="0.35">
      <c r="A1373" s="20">
        <v>235</v>
      </c>
      <c r="B1373" s="14" t="s">
        <v>874</v>
      </c>
      <c r="C1373" s="20" t="s">
        <v>875</v>
      </c>
      <c r="D1373" s="15" t="s">
        <v>614</v>
      </c>
      <c r="E1373" s="15" t="s">
        <v>508</v>
      </c>
      <c r="F1373" s="16">
        <v>2</v>
      </c>
      <c r="G1373" s="16">
        <f t="shared" si="77"/>
        <v>4462</v>
      </c>
      <c r="H1373" s="16">
        <v>5182</v>
      </c>
      <c r="I1373" s="16">
        <f t="shared" si="72"/>
        <v>0</v>
      </c>
      <c r="J1373" s="31">
        <v>5182</v>
      </c>
      <c r="K1373" s="69">
        <f t="shared" si="78"/>
        <v>0</v>
      </c>
      <c r="L1373" s="50">
        <v>720</v>
      </c>
      <c r="M1373" s="109">
        <v>720</v>
      </c>
      <c r="N1373" s="110">
        <v>0.95</v>
      </c>
    </row>
    <row r="1374" spans="1:14" ht="15" hidden="1" customHeight="1" thickBot="1" x14ac:dyDescent="0.35">
      <c r="A1374" s="20">
        <v>235</v>
      </c>
      <c r="B1374" s="14" t="s">
        <v>874</v>
      </c>
      <c r="C1374" s="20" t="s">
        <v>875</v>
      </c>
      <c r="D1374" s="15" t="s">
        <v>510</v>
      </c>
      <c r="E1374" s="15" t="s">
        <v>508</v>
      </c>
      <c r="F1374" s="16">
        <v>2</v>
      </c>
      <c r="G1374" s="16">
        <f t="shared" si="77"/>
        <v>4505</v>
      </c>
      <c r="H1374" s="16">
        <v>4805</v>
      </c>
      <c r="I1374" s="16">
        <f t="shared" si="72"/>
        <v>0</v>
      </c>
      <c r="J1374" s="31">
        <v>4805</v>
      </c>
      <c r="K1374" s="69">
        <f t="shared" si="78"/>
        <v>0</v>
      </c>
      <c r="L1374" s="50">
        <v>300</v>
      </c>
      <c r="M1374" s="109">
        <v>300</v>
      </c>
      <c r="N1374" s="110">
        <v>0.95</v>
      </c>
    </row>
    <row r="1375" spans="1:14" ht="15" hidden="1" customHeight="1" thickBot="1" x14ac:dyDescent="0.35">
      <c r="A1375" s="20">
        <v>235</v>
      </c>
      <c r="B1375" s="14" t="s">
        <v>874</v>
      </c>
      <c r="C1375" s="20" t="s">
        <v>875</v>
      </c>
      <c r="D1375" s="15" t="s">
        <v>614</v>
      </c>
      <c r="E1375" s="15" t="s">
        <v>509</v>
      </c>
      <c r="F1375" s="16">
        <v>2</v>
      </c>
      <c r="G1375" s="16">
        <f t="shared" si="77"/>
        <v>2516</v>
      </c>
      <c r="H1375" s="16">
        <v>2516</v>
      </c>
      <c r="I1375" s="16">
        <f t="shared" si="72"/>
        <v>0</v>
      </c>
      <c r="J1375" s="31">
        <v>2516</v>
      </c>
      <c r="K1375" s="69">
        <f t="shared" si="78"/>
        <v>0</v>
      </c>
      <c r="L1375" s="50"/>
      <c r="M1375" s="109"/>
      <c r="N1375" s="110">
        <v>0.9</v>
      </c>
    </row>
    <row r="1376" spans="1:14" ht="15" hidden="1" customHeight="1" thickBot="1" x14ac:dyDescent="0.35">
      <c r="A1376" s="20">
        <v>235</v>
      </c>
      <c r="B1376" s="14" t="s">
        <v>874</v>
      </c>
      <c r="C1376" s="20" t="s">
        <v>875</v>
      </c>
      <c r="D1376" s="15" t="s">
        <v>513</v>
      </c>
      <c r="E1376" s="15" t="s">
        <v>512</v>
      </c>
      <c r="F1376" s="16">
        <v>2</v>
      </c>
      <c r="G1376" s="16">
        <f t="shared" si="77"/>
        <v>2948</v>
      </c>
      <c r="H1376" s="16">
        <v>2948</v>
      </c>
      <c r="I1376" s="16">
        <f t="shared" si="72"/>
        <v>0</v>
      </c>
      <c r="J1376" s="31">
        <v>2948</v>
      </c>
      <c r="K1376" s="69">
        <f t="shared" si="78"/>
        <v>0</v>
      </c>
      <c r="L1376" s="50"/>
      <c r="M1376" s="109"/>
      <c r="N1376" s="110">
        <v>0.9</v>
      </c>
    </row>
    <row r="1377" spans="1:14" ht="15" hidden="1" customHeight="1" thickBot="1" x14ac:dyDescent="0.35">
      <c r="A1377" s="20">
        <v>235</v>
      </c>
      <c r="B1377" s="14" t="s">
        <v>874</v>
      </c>
      <c r="C1377" s="20" t="s">
        <v>875</v>
      </c>
      <c r="D1377" s="15" t="s">
        <v>614</v>
      </c>
      <c r="E1377" s="15" t="s">
        <v>499</v>
      </c>
      <c r="F1377" s="16">
        <v>2</v>
      </c>
      <c r="G1377" s="16">
        <f t="shared" si="77"/>
        <v>4800</v>
      </c>
      <c r="H1377" s="16">
        <v>5040</v>
      </c>
      <c r="I1377" s="16">
        <f t="shared" si="72"/>
        <v>0</v>
      </c>
      <c r="J1377" s="31">
        <v>5040</v>
      </c>
      <c r="K1377" s="69">
        <f t="shared" si="78"/>
        <v>0</v>
      </c>
      <c r="L1377" s="50">
        <v>240</v>
      </c>
      <c r="M1377" s="109">
        <v>240</v>
      </c>
      <c r="N1377" s="110">
        <v>0.95</v>
      </c>
    </row>
    <row r="1378" spans="1:14" ht="15" hidden="1" customHeight="1" thickBot="1" x14ac:dyDescent="0.35">
      <c r="A1378" s="20">
        <v>235</v>
      </c>
      <c r="B1378" s="14" t="s">
        <v>874</v>
      </c>
      <c r="C1378" s="20" t="s">
        <v>875</v>
      </c>
      <c r="D1378" s="15" t="s">
        <v>614</v>
      </c>
      <c r="E1378" s="15" t="s">
        <v>506</v>
      </c>
      <c r="F1378" s="16">
        <v>1</v>
      </c>
      <c r="G1378" s="16">
        <f t="shared" si="77"/>
        <v>5166</v>
      </c>
      <c r="H1378" s="16">
        <v>5166</v>
      </c>
      <c r="I1378" s="16">
        <f t="shared" si="72"/>
        <v>0</v>
      </c>
      <c r="J1378" s="31">
        <v>5166</v>
      </c>
      <c r="K1378" s="69">
        <f t="shared" si="78"/>
        <v>0</v>
      </c>
      <c r="L1378" s="50"/>
      <c r="M1378" s="109"/>
      <c r="N1378" s="110">
        <v>0.95</v>
      </c>
    </row>
    <row r="1379" spans="1:14" ht="15" hidden="1" customHeight="1" thickBot="1" x14ac:dyDescent="0.35">
      <c r="A1379" s="20">
        <v>235</v>
      </c>
      <c r="B1379" s="14" t="s">
        <v>874</v>
      </c>
      <c r="C1379" s="20" t="s">
        <v>875</v>
      </c>
      <c r="D1379" s="15" t="s">
        <v>614</v>
      </c>
      <c r="E1379" s="15" t="s">
        <v>502</v>
      </c>
      <c r="F1379" s="16">
        <v>2</v>
      </c>
      <c r="G1379" s="16">
        <f t="shared" si="77"/>
        <v>5075</v>
      </c>
      <c r="H1379" s="16">
        <v>5075</v>
      </c>
      <c r="I1379" s="16">
        <f t="shared" si="72"/>
        <v>0</v>
      </c>
      <c r="J1379" s="31">
        <v>5075</v>
      </c>
      <c r="K1379" s="69">
        <f t="shared" si="78"/>
        <v>0</v>
      </c>
      <c r="L1379" s="50"/>
      <c r="M1379" s="109"/>
      <c r="N1379" s="110">
        <v>0.95</v>
      </c>
    </row>
    <row r="1380" spans="1:14" ht="15" hidden="1" customHeight="1" thickBot="1" x14ac:dyDescent="0.35">
      <c r="A1380" s="20">
        <v>235</v>
      </c>
      <c r="B1380" s="14" t="s">
        <v>874</v>
      </c>
      <c r="C1380" s="20" t="s">
        <v>875</v>
      </c>
      <c r="D1380" s="15" t="s">
        <v>981</v>
      </c>
      <c r="E1380" s="15" t="s">
        <v>502</v>
      </c>
      <c r="F1380" s="16">
        <v>2</v>
      </c>
      <c r="G1380" s="16">
        <f t="shared" si="77"/>
        <v>11653</v>
      </c>
      <c r="H1380" s="16">
        <v>11653</v>
      </c>
      <c r="I1380" s="16">
        <f t="shared" si="72"/>
        <v>0</v>
      </c>
      <c r="J1380" s="31">
        <v>11653</v>
      </c>
      <c r="K1380" s="69">
        <f t="shared" si="78"/>
        <v>0</v>
      </c>
      <c r="L1380" s="50"/>
      <c r="M1380" s="109"/>
      <c r="N1380" s="110">
        <v>0.9</v>
      </c>
    </row>
    <row r="1381" spans="1:14" ht="15" hidden="1" customHeight="1" thickBot="1" x14ac:dyDescent="0.35">
      <c r="A1381" s="20">
        <v>235</v>
      </c>
      <c r="B1381" s="14" t="s">
        <v>874</v>
      </c>
      <c r="C1381" s="20" t="s">
        <v>875</v>
      </c>
      <c r="D1381" s="15" t="s">
        <v>670</v>
      </c>
      <c r="E1381" s="15" t="s">
        <v>676</v>
      </c>
      <c r="F1381" s="16">
        <v>1</v>
      </c>
      <c r="G1381" s="16">
        <f t="shared" si="77"/>
        <v>10951</v>
      </c>
      <c r="H1381" s="16">
        <v>10951</v>
      </c>
      <c r="I1381" s="16">
        <f t="shared" si="72"/>
        <v>0</v>
      </c>
      <c r="J1381" s="31">
        <v>10951</v>
      </c>
      <c r="K1381" s="69">
        <f t="shared" si="78"/>
        <v>0</v>
      </c>
      <c r="L1381" s="50"/>
      <c r="M1381" s="109"/>
      <c r="N1381" s="110">
        <v>0.9</v>
      </c>
    </row>
    <row r="1382" spans="1:14" ht="15" hidden="1" customHeight="1" thickBot="1" x14ac:dyDescent="0.35">
      <c r="A1382" s="20">
        <v>235</v>
      </c>
      <c r="B1382" s="14" t="s">
        <v>874</v>
      </c>
      <c r="C1382" s="20" t="s">
        <v>875</v>
      </c>
      <c r="D1382" s="15" t="s">
        <v>1061</v>
      </c>
      <c r="E1382" s="15" t="s">
        <v>508</v>
      </c>
      <c r="F1382" s="16">
        <v>1</v>
      </c>
      <c r="G1382" s="16">
        <f t="shared" si="77"/>
        <v>12690</v>
      </c>
      <c r="H1382" s="16">
        <v>12690</v>
      </c>
      <c r="I1382" s="16">
        <f t="shared" si="72"/>
        <v>0</v>
      </c>
      <c r="J1382" s="31">
        <v>12690</v>
      </c>
      <c r="K1382" s="69">
        <f t="shared" si="78"/>
        <v>0</v>
      </c>
      <c r="L1382" s="50"/>
      <c r="M1382" s="109"/>
      <c r="N1382" s="110">
        <v>0.9</v>
      </c>
    </row>
    <row r="1383" spans="1:14" ht="15" hidden="1" customHeight="1" thickBot="1" x14ac:dyDescent="0.35">
      <c r="A1383" s="20">
        <v>235</v>
      </c>
      <c r="B1383" s="14" t="s">
        <v>874</v>
      </c>
      <c r="C1383" s="20" t="s">
        <v>875</v>
      </c>
      <c r="D1383" s="15" t="s">
        <v>980</v>
      </c>
      <c r="E1383" s="15" t="s">
        <v>503</v>
      </c>
      <c r="F1383" s="16">
        <v>1</v>
      </c>
      <c r="G1383" s="16">
        <f t="shared" si="77"/>
        <v>12560</v>
      </c>
      <c r="H1383" s="16">
        <v>12560</v>
      </c>
      <c r="I1383" s="16">
        <f t="shared" si="72"/>
        <v>0</v>
      </c>
      <c r="J1383" s="31">
        <v>12560</v>
      </c>
      <c r="K1383" s="69">
        <f t="shared" si="78"/>
        <v>0</v>
      </c>
      <c r="L1383" s="50"/>
      <c r="M1383" s="109"/>
      <c r="N1383" s="110">
        <v>0.9</v>
      </c>
    </row>
    <row r="1384" spans="1:14" ht="15" hidden="1" customHeight="1" thickBot="1" x14ac:dyDescent="0.35">
      <c r="A1384" s="20">
        <v>235</v>
      </c>
      <c r="B1384" s="14" t="s">
        <v>874</v>
      </c>
      <c r="C1384" s="20" t="s">
        <v>875</v>
      </c>
      <c r="D1384" s="15" t="s">
        <v>1076</v>
      </c>
      <c r="E1384" s="15" t="s">
        <v>512</v>
      </c>
      <c r="F1384" s="16">
        <v>1</v>
      </c>
      <c r="G1384" s="16">
        <f t="shared" si="77"/>
        <v>20658.599999999999</v>
      </c>
      <c r="H1384" s="16">
        <v>20658.599999999999</v>
      </c>
      <c r="I1384" s="16">
        <f t="shared" si="72"/>
        <v>0</v>
      </c>
      <c r="J1384" s="31">
        <v>20658.599999999999</v>
      </c>
      <c r="K1384" s="69">
        <f t="shared" si="78"/>
        <v>0</v>
      </c>
      <c r="L1384" s="50"/>
      <c r="M1384" s="109"/>
      <c r="N1384" s="110">
        <v>0.9</v>
      </c>
    </row>
    <row r="1385" spans="1:14" ht="15" hidden="1" customHeight="1" thickBot="1" x14ac:dyDescent="0.35">
      <c r="A1385" s="20">
        <v>235</v>
      </c>
      <c r="B1385" s="14" t="s">
        <v>874</v>
      </c>
      <c r="C1385" s="20" t="s">
        <v>875</v>
      </c>
      <c r="D1385" s="15" t="s">
        <v>1001</v>
      </c>
      <c r="E1385" s="15" t="s">
        <v>504</v>
      </c>
      <c r="F1385" s="16">
        <v>1</v>
      </c>
      <c r="G1385" s="16">
        <f t="shared" si="77"/>
        <v>20658.599999999999</v>
      </c>
      <c r="H1385" s="16">
        <v>20658.599999999999</v>
      </c>
      <c r="I1385" s="16">
        <f t="shared" si="72"/>
        <v>0</v>
      </c>
      <c r="J1385" s="31">
        <v>20658.599999999999</v>
      </c>
      <c r="K1385" s="69">
        <f t="shared" si="78"/>
        <v>0</v>
      </c>
      <c r="L1385" s="50"/>
      <c r="M1385" s="109"/>
      <c r="N1385" s="110">
        <v>0.9</v>
      </c>
    </row>
    <row r="1386" spans="1:14" ht="15" hidden="1" customHeight="1" thickBot="1" x14ac:dyDescent="0.35">
      <c r="A1386" s="20">
        <v>235</v>
      </c>
      <c r="B1386" s="14" t="s">
        <v>874</v>
      </c>
      <c r="C1386" s="20" t="s">
        <v>875</v>
      </c>
      <c r="D1386" s="15" t="s">
        <v>985</v>
      </c>
      <c r="E1386" s="15" t="s">
        <v>506</v>
      </c>
      <c r="F1386" s="16">
        <v>1</v>
      </c>
      <c r="G1386" s="16">
        <f t="shared" si="77"/>
        <v>12019</v>
      </c>
      <c r="H1386" s="16">
        <v>12019</v>
      </c>
      <c r="I1386" s="16">
        <f t="shared" si="72"/>
        <v>0</v>
      </c>
      <c r="J1386" s="31">
        <v>12019</v>
      </c>
      <c r="K1386" s="69">
        <f t="shared" si="78"/>
        <v>0</v>
      </c>
      <c r="L1386" s="50"/>
      <c r="M1386" s="109"/>
      <c r="N1386" s="110">
        <v>0.9</v>
      </c>
    </row>
    <row r="1387" spans="1:14" ht="15" hidden="1" customHeight="1" thickBot="1" x14ac:dyDescent="0.35">
      <c r="A1387" s="20">
        <v>235</v>
      </c>
      <c r="B1387" s="14" t="s">
        <v>874</v>
      </c>
      <c r="C1387" s="20" t="s">
        <v>875</v>
      </c>
      <c r="D1387" s="15" t="s">
        <v>1102</v>
      </c>
      <c r="E1387" s="15" t="s">
        <v>500</v>
      </c>
      <c r="F1387" s="16">
        <v>1</v>
      </c>
      <c r="G1387" s="16">
        <f t="shared" si="77"/>
        <v>12915</v>
      </c>
      <c r="H1387" s="16">
        <v>12915</v>
      </c>
      <c r="I1387" s="16">
        <f t="shared" si="72"/>
        <v>0</v>
      </c>
      <c r="J1387" s="31">
        <v>12915</v>
      </c>
      <c r="K1387" s="69">
        <f t="shared" si="78"/>
        <v>0</v>
      </c>
      <c r="L1387" s="50"/>
      <c r="M1387" s="109"/>
      <c r="N1387" s="110">
        <v>0.9</v>
      </c>
    </row>
    <row r="1388" spans="1:14" ht="15" hidden="1" customHeight="1" thickBot="1" x14ac:dyDescent="0.35">
      <c r="A1388" s="20">
        <v>235</v>
      </c>
      <c r="B1388" s="14" t="s">
        <v>874</v>
      </c>
      <c r="C1388" s="20" t="s">
        <v>875</v>
      </c>
      <c r="D1388" s="15" t="s">
        <v>1043</v>
      </c>
      <c r="E1388" s="15" t="s">
        <v>500</v>
      </c>
      <c r="F1388" s="16">
        <v>1</v>
      </c>
      <c r="G1388" s="16">
        <f t="shared" si="77"/>
        <v>19363</v>
      </c>
      <c r="H1388" s="16">
        <v>19363</v>
      </c>
      <c r="I1388" s="16">
        <f t="shared" si="72"/>
        <v>0</v>
      </c>
      <c r="J1388" s="31">
        <v>19363</v>
      </c>
      <c r="K1388" s="69">
        <f t="shared" si="78"/>
        <v>0</v>
      </c>
      <c r="L1388" s="50"/>
      <c r="M1388" s="109"/>
      <c r="N1388" s="110">
        <v>0.9</v>
      </c>
    </row>
    <row r="1389" spans="1:14" ht="15" hidden="1" customHeight="1" thickBot="1" x14ac:dyDescent="0.35">
      <c r="A1389" s="20">
        <v>235</v>
      </c>
      <c r="B1389" s="14" t="s">
        <v>874</v>
      </c>
      <c r="C1389" s="20" t="s">
        <v>875</v>
      </c>
      <c r="D1389" s="15" t="s">
        <v>694</v>
      </c>
      <c r="E1389" s="15" t="s">
        <v>509</v>
      </c>
      <c r="F1389" s="16">
        <v>1</v>
      </c>
      <c r="G1389" s="16">
        <f t="shared" si="77"/>
        <v>11459</v>
      </c>
      <c r="H1389" s="16">
        <v>11459</v>
      </c>
      <c r="I1389" s="16">
        <f t="shared" si="72"/>
        <v>0</v>
      </c>
      <c r="J1389" s="31">
        <v>11459</v>
      </c>
      <c r="K1389" s="69">
        <f t="shared" si="78"/>
        <v>0</v>
      </c>
      <c r="L1389" s="50"/>
      <c r="M1389" s="109"/>
      <c r="N1389" s="110">
        <v>0.9</v>
      </c>
    </row>
    <row r="1390" spans="1:14" ht="15" hidden="1" customHeight="1" thickBot="1" x14ac:dyDescent="0.35">
      <c r="A1390" s="20">
        <v>235</v>
      </c>
      <c r="B1390" s="14" t="s">
        <v>874</v>
      </c>
      <c r="C1390" s="20" t="s">
        <v>875</v>
      </c>
      <c r="D1390" s="15" t="s">
        <v>1105</v>
      </c>
      <c r="E1390" s="15" t="s">
        <v>504</v>
      </c>
      <c r="F1390" s="16">
        <v>1</v>
      </c>
      <c r="G1390" s="16">
        <f t="shared" si="77"/>
        <v>20011</v>
      </c>
      <c r="H1390" s="16">
        <v>20011</v>
      </c>
      <c r="I1390" s="16">
        <f t="shared" si="72"/>
        <v>0</v>
      </c>
      <c r="J1390" s="31">
        <v>20011</v>
      </c>
      <c r="K1390" s="69">
        <f t="shared" si="78"/>
        <v>0</v>
      </c>
      <c r="L1390" s="50"/>
      <c r="M1390" s="109"/>
      <c r="N1390" s="110">
        <v>0.9</v>
      </c>
    </row>
    <row r="1391" spans="1:14" ht="15" hidden="1" customHeight="1" thickBot="1" x14ac:dyDescent="0.35">
      <c r="A1391" s="20">
        <v>235</v>
      </c>
      <c r="B1391" s="14" t="s">
        <v>874</v>
      </c>
      <c r="C1391" s="20" t="s">
        <v>875</v>
      </c>
      <c r="D1391" s="15" t="s">
        <v>618</v>
      </c>
      <c r="E1391" s="15" t="s">
        <v>509</v>
      </c>
      <c r="F1391" s="16">
        <v>1</v>
      </c>
      <c r="G1391" s="16">
        <f t="shared" si="77"/>
        <v>10811</v>
      </c>
      <c r="H1391" s="16">
        <v>10811</v>
      </c>
      <c r="I1391" s="16">
        <f t="shared" si="72"/>
        <v>0</v>
      </c>
      <c r="J1391" s="31">
        <v>10811</v>
      </c>
      <c r="K1391" s="69">
        <f t="shared" si="78"/>
        <v>0</v>
      </c>
      <c r="L1391" s="50"/>
      <c r="M1391" s="109"/>
      <c r="N1391" s="110">
        <v>0.9</v>
      </c>
    </row>
    <row r="1392" spans="1:14" ht="15" hidden="1" customHeight="1" thickBot="1" x14ac:dyDescent="0.35">
      <c r="A1392" s="20">
        <v>235</v>
      </c>
      <c r="B1392" s="14" t="s">
        <v>874</v>
      </c>
      <c r="C1392" s="20" t="s">
        <v>875</v>
      </c>
      <c r="D1392" s="15" t="s">
        <v>679</v>
      </c>
      <c r="E1392" s="15" t="s">
        <v>502</v>
      </c>
      <c r="F1392" s="16">
        <v>2</v>
      </c>
      <c r="G1392" s="16">
        <f t="shared" si="77"/>
        <v>11556</v>
      </c>
      <c r="H1392" s="16">
        <v>11556</v>
      </c>
      <c r="I1392" s="16">
        <f t="shared" si="72"/>
        <v>0</v>
      </c>
      <c r="J1392" s="31">
        <v>11556</v>
      </c>
      <c r="K1392" s="69">
        <f t="shared" si="78"/>
        <v>0</v>
      </c>
      <c r="L1392" s="50"/>
      <c r="M1392" s="109"/>
      <c r="N1392" s="110">
        <v>0.9</v>
      </c>
    </row>
    <row r="1393" spans="1:14" ht="15" hidden="1" customHeight="1" thickBot="1" x14ac:dyDescent="0.35">
      <c r="A1393" s="20">
        <v>235</v>
      </c>
      <c r="B1393" s="14" t="s">
        <v>874</v>
      </c>
      <c r="C1393" s="14" t="s">
        <v>1032</v>
      </c>
      <c r="D1393" s="15" t="s">
        <v>497</v>
      </c>
      <c r="E1393" s="15" t="s">
        <v>14</v>
      </c>
      <c r="F1393" s="16">
        <v>10</v>
      </c>
      <c r="G1393" s="16">
        <f t="shared" ref="G1393" si="82">H1393-M1393</f>
        <v>999469.7</v>
      </c>
      <c r="H1393" s="16">
        <v>1000152.7</v>
      </c>
      <c r="I1393" s="16">
        <f>J1393-H1393</f>
        <v>0</v>
      </c>
      <c r="J1393" s="31">
        <v>1000152.7</v>
      </c>
      <c r="K1393" s="69">
        <f t="shared" ref="K1393" si="83">M1393-L1393</f>
        <v>0</v>
      </c>
      <c r="L1393" s="50">
        <v>683</v>
      </c>
      <c r="M1393" s="109">
        <v>683</v>
      </c>
      <c r="N1393" s="110">
        <v>1</v>
      </c>
    </row>
    <row r="1394" spans="1:14" ht="15" hidden="1" customHeight="1" thickBot="1" x14ac:dyDescent="0.35">
      <c r="A1394" s="20">
        <v>235</v>
      </c>
      <c r="B1394" s="14" t="s">
        <v>874</v>
      </c>
      <c r="C1394" s="14" t="s">
        <v>1890</v>
      </c>
      <c r="D1394" s="15" t="s">
        <v>497</v>
      </c>
      <c r="E1394" s="15" t="s">
        <v>14</v>
      </c>
      <c r="F1394" s="16">
        <v>1</v>
      </c>
      <c r="G1394" s="16">
        <f t="shared" si="77"/>
        <v>8280</v>
      </c>
      <c r="H1394" s="16">
        <v>8280</v>
      </c>
      <c r="I1394" s="16">
        <f>J1394-H1394</f>
        <v>0</v>
      </c>
      <c r="J1394" s="31">
        <v>8280</v>
      </c>
      <c r="K1394" s="69">
        <f t="shared" si="78"/>
        <v>0</v>
      </c>
      <c r="L1394" s="50">
        <v>0</v>
      </c>
      <c r="M1394" s="109">
        <v>0</v>
      </c>
      <c r="N1394" s="110">
        <v>1</v>
      </c>
    </row>
    <row r="1395" spans="1:14" ht="15" hidden="1" customHeight="1" thickBot="1" x14ac:dyDescent="0.35">
      <c r="A1395" s="20">
        <v>235</v>
      </c>
      <c r="B1395" s="14" t="s">
        <v>874</v>
      </c>
      <c r="C1395" s="14" t="s">
        <v>793</v>
      </c>
      <c r="D1395" s="15" t="s">
        <v>507</v>
      </c>
      <c r="E1395" s="15" t="s">
        <v>504</v>
      </c>
      <c r="F1395" s="16">
        <v>1</v>
      </c>
      <c r="G1395" s="16">
        <f t="shared" si="77"/>
        <v>1193.4000000000001</v>
      </c>
      <c r="H1395" s="16">
        <v>1193.4000000000001</v>
      </c>
      <c r="I1395" s="16">
        <f>J1395-H1395</f>
        <v>0</v>
      </c>
      <c r="J1395" s="31">
        <v>1193.4000000000001</v>
      </c>
      <c r="K1395" s="69">
        <f t="shared" si="78"/>
        <v>0</v>
      </c>
      <c r="L1395" s="50"/>
      <c r="M1395" s="109"/>
      <c r="N1395" s="110"/>
    </row>
    <row r="1396" spans="1:14" ht="15" hidden="1" customHeight="1" thickBot="1" x14ac:dyDescent="0.35">
      <c r="A1396" s="20">
        <v>235</v>
      </c>
      <c r="B1396" s="14" t="s">
        <v>874</v>
      </c>
      <c r="C1396" s="14" t="s">
        <v>1038</v>
      </c>
      <c r="D1396" s="15" t="s">
        <v>513</v>
      </c>
      <c r="E1396" s="15" t="s">
        <v>546</v>
      </c>
      <c r="F1396" s="16">
        <v>1</v>
      </c>
      <c r="G1396" s="16">
        <f t="shared" si="77"/>
        <v>342</v>
      </c>
      <c r="H1396" s="16">
        <v>342</v>
      </c>
      <c r="I1396" s="16">
        <f>J1396-H1396</f>
        <v>0</v>
      </c>
      <c r="J1396" s="31">
        <v>342</v>
      </c>
      <c r="K1396" s="69">
        <f t="shared" si="78"/>
        <v>0</v>
      </c>
      <c r="L1396" s="50"/>
      <c r="M1396" s="109"/>
      <c r="N1396" s="110"/>
    </row>
    <row r="1397" spans="1:14" ht="15" hidden="1" customHeight="1" thickBot="1" x14ac:dyDescent="0.35">
      <c r="A1397" s="20">
        <v>235</v>
      </c>
      <c r="B1397" s="14" t="s">
        <v>874</v>
      </c>
      <c r="C1397" s="46" t="s">
        <v>876</v>
      </c>
      <c r="D1397" s="15" t="s">
        <v>547</v>
      </c>
      <c r="E1397" s="15" t="s">
        <v>502</v>
      </c>
      <c r="F1397" s="16">
        <v>8</v>
      </c>
      <c r="G1397" s="16">
        <f t="shared" si="77"/>
        <v>224540</v>
      </c>
      <c r="H1397" s="16">
        <v>224840</v>
      </c>
      <c r="I1397" s="16">
        <f t="shared" si="72"/>
        <v>0</v>
      </c>
      <c r="J1397" s="31">
        <v>224840</v>
      </c>
      <c r="K1397" s="69">
        <f t="shared" si="78"/>
        <v>0</v>
      </c>
      <c r="L1397" s="50">
        <v>300</v>
      </c>
      <c r="M1397" s="109">
        <v>300</v>
      </c>
      <c r="N1397" s="110">
        <v>0.95</v>
      </c>
    </row>
    <row r="1398" spans="1:14" ht="15" hidden="1" customHeight="1" thickBot="1" x14ac:dyDescent="0.35">
      <c r="A1398" s="20">
        <v>235</v>
      </c>
      <c r="B1398" s="14" t="s">
        <v>874</v>
      </c>
      <c r="C1398" s="46" t="s">
        <v>876</v>
      </c>
      <c r="D1398" s="14" t="s">
        <v>507</v>
      </c>
      <c r="E1398" s="15" t="s">
        <v>504</v>
      </c>
      <c r="F1398" s="16">
        <v>8</v>
      </c>
      <c r="G1398" s="16">
        <f t="shared" si="77"/>
        <v>162219</v>
      </c>
      <c r="H1398" s="16">
        <v>162739</v>
      </c>
      <c r="I1398" s="16">
        <f t="shared" si="72"/>
        <v>0</v>
      </c>
      <c r="J1398" s="31">
        <v>162739</v>
      </c>
      <c r="K1398" s="69">
        <f t="shared" si="78"/>
        <v>0</v>
      </c>
      <c r="L1398" s="50">
        <v>520</v>
      </c>
      <c r="M1398" s="109">
        <v>520</v>
      </c>
      <c r="N1398" s="110">
        <v>0.95</v>
      </c>
    </row>
    <row r="1399" spans="1:14" ht="15" hidden="1" customHeight="1" thickBot="1" x14ac:dyDescent="0.35">
      <c r="A1399" s="20">
        <v>235</v>
      </c>
      <c r="B1399" s="14" t="s">
        <v>874</v>
      </c>
      <c r="C1399" s="46" t="s">
        <v>876</v>
      </c>
      <c r="D1399" s="14" t="s">
        <v>524</v>
      </c>
      <c r="E1399" s="15" t="s">
        <v>503</v>
      </c>
      <c r="F1399" s="16">
        <v>6</v>
      </c>
      <c r="G1399" s="16">
        <f t="shared" si="77"/>
        <v>224180</v>
      </c>
      <c r="H1399" s="16">
        <v>224840</v>
      </c>
      <c r="I1399" s="16">
        <f t="shared" si="72"/>
        <v>0</v>
      </c>
      <c r="J1399" s="31">
        <v>224840</v>
      </c>
      <c r="K1399" s="69">
        <f t="shared" si="78"/>
        <v>0</v>
      </c>
      <c r="L1399" s="50">
        <v>660</v>
      </c>
      <c r="M1399" s="109">
        <v>660</v>
      </c>
      <c r="N1399" s="110">
        <v>0.95</v>
      </c>
    </row>
    <row r="1400" spans="1:14" ht="15" hidden="1" customHeight="1" thickBot="1" x14ac:dyDescent="0.35">
      <c r="A1400" s="20">
        <v>235</v>
      </c>
      <c r="B1400" s="14" t="s">
        <v>874</v>
      </c>
      <c r="C1400" s="46" t="s">
        <v>876</v>
      </c>
      <c r="D1400" s="14" t="s">
        <v>548</v>
      </c>
      <c r="E1400" s="15" t="s">
        <v>504</v>
      </c>
      <c r="F1400" s="16">
        <v>8</v>
      </c>
      <c r="G1400" s="16">
        <f t="shared" si="77"/>
        <v>161919</v>
      </c>
      <c r="H1400" s="16">
        <v>162739</v>
      </c>
      <c r="I1400" s="16">
        <f t="shared" si="72"/>
        <v>0</v>
      </c>
      <c r="J1400" s="31">
        <v>162739</v>
      </c>
      <c r="K1400" s="69">
        <f t="shared" si="78"/>
        <v>0</v>
      </c>
      <c r="L1400" s="50">
        <v>820</v>
      </c>
      <c r="M1400" s="109">
        <v>820</v>
      </c>
      <c r="N1400" s="110">
        <v>0.95</v>
      </c>
    </row>
    <row r="1401" spans="1:14" ht="15" hidden="1" customHeight="1" thickBot="1" x14ac:dyDescent="0.35">
      <c r="A1401" s="20">
        <v>235</v>
      </c>
      <c r="B1401" s="14" t="s">
        <v>874</v>
      </c>
      <c r="C1401" s="46" t="s">
        <v>876</v>
      </c>
      <c r="D1401" s="14" t="s">
        <v>505</v>
      </c>
      <c r="E1401" s="15" t="s">
        <v>504</v>
      </c>
      <c r="F1401" s="16">
        <v>7</v>
      </c>
      <c r="G1401" s="16">
        <f t="shared" si="77"/>
        <v>162039</v>
      </c>
      <c r="H1401" s="16">
        <v>162739</v>
      </c>
      <c r="I1401" s="16">
        <f t="shared" si="72"/>
        <v>0</v>
      </c>
      <c r="J1401" s="31">
        <v>162739</v>
      </c>
      <c r="K1401" s="69">
        <f t="shared" si="78"/>
        <v>0</v>
      </c>
      <c r="L1401" s="50">
        <v>700</v>
      </c>
      <c r="M1401" s="109">
        <v>700</v>
      </c>
      <c r="N1401" s="110">
        <v>0.95</v>
      </c>
    </row>
    <row r="1402" spans="1:14" ht="15" hidden="1" customHeight="1" thickBot="1" x14ac:dyDescent="0.35">
      <c r="A1402" s="20">
        <v>235</v>
      </c>
      <c r="B1402" s="14" t="s">
        <v>874</v>
      </c>
      <c r="C1402" s="46" t="s">
        <v>876</v>
      </c>
      <c r="D1402" s="14" t="s">
        <v>513</v>
      </c>
      <c r="E1402" s="15" t="s">
        <v>546</v>
      </c>
      <c r="F1402" s="16">
        <v>5</v>
      </c>
      <c r="G1402" s="16">
        <f t="shared" si="77"/>
        <v>224180</v>
      </c>
      <c r="H1402" s="16">
        <v>224840</v>
      </c>
      <c r="I1402" s="16">
        <f t="shared" si="72"/>
        <v>0</v>
      </c>
      <c r="J1402" s="31">
        <v>224840</v>
      </c>
      <c r="K1402" s="69">
        <f t="shared" si="78"/>
        <v>0</v>
      </c>
      <c r="L1402" s="50">
        <v>660</v>
      </c>
      <c r="M1402" s="109">
        <v>660</v>
      </c>
      <c r="N1402" s="110">
        <v>0.95</v>
      </c>
    </row>
    <row r="1403" spans="1:14" ht="15" hidden="1" customHeight="1" thickBot="1" x14ac:dyDescent="0.35">
      <c r="A1403" s="20">
        <v>235</v>
      </c>
      <c r="B1403" s="14" t="s">
        <v>874</v>
      </c>
      <c r="C1403" s="20" t="s">
        <v>837</v>
      </c>
      <c r="D1403" s="14" t="s">
        <v>699</v>
      </c>
      <c r="E1403" s="15" t="s">
        <v>503</v>
      </c>
      <c r="F1403" s="15">
        <v>3</v>
      </c>
      <c r="G1403" s="16">
        <f t="shared" si="77"/>
        <v>43140</v>
      </c>
      <c r="H1403" s="16">
        <v>43140</v>
      </c>
      <c r="I1403" s="16">
        <f t="shared" si="72"/>
        <v>0</v>
      </c>
      <c r="J1403" s="31">
        <v>43140</v>
      </c>
      <c r="K1403" s="69">
        <f t="shared" si="78"/>
        <v>0</v>
      </c>
      <c r="L1403" s="50"/>
      <c r="M1403" s="109"/>
      <c r="N1403" s="110">
        <v>0.95</v>
      </c>
    </row>
    <row r="1404" spans="1:14" ht="15" hidden="1" customHeight="1" thickBot="1" x14ac:dyDescent="0.35">
      <c r="A1404" s="20">
        <v>235</v>
      </c>
      <c r="B1404" s="14" t="s">
        <v>874</v>
      </c>
      <c r="C1404" s="20" t="s">
        <v>837</v>
      </c>
      <c r="D1404" s="14" t="s">
        <v>523</v>
      </c>
      <c r="E1404" s="15" t="s">
        <v>508</v>
      </c>
      <c r="F1404" s="15">
        <v>3</v>
      </c>
      <c r="G1404" s="16">
        <f t="shared" si="77"/>
        <v>9958</v>
      </c>
      <c r="H1404" s="16">
        <v>10108</v>
      </c>
      <c r="I1404" s="16">
        <f t="shared" si="72"/>
        <v>0</v>
      </c>
      <c r="J1404" s="31">
        <v>10108</v>
      </c>
      <c r="K1404" s="69">
        <f t="shared" si="78"/>
        <v>0</v>
      </c>
      <c r="L1404" s="50">
        <v>150</v>
      </c>
      <c r="M1404" s="109">
        <v>150</v>
      </c>
      <c r="N1404" s="110">
        <v>0.95</v>
      </c>
    </row>
    <row r="1405" spans="1:14" ht="15" hidden="1" customHeight="1" thickBot="1" x14ac:dyDescent="0.35">
      <c r="A1405" s="20">
        <v>235</v>
      </c>
      <c r="B1405" s="14" t="s">
        <v>874</v>
      </c>
      <c r="C1405" s="20" t="s">
        <v>837</v>
      </c>
      <c r="D1405" s="14" t="s">
        <v>1627</v>
      </c>
      <c r="E1405" s="15" t="s">
        <v>508</v>
      </c>
      <c r="F1405" s="15">
        <v>4</v>
      </c>
      <c r="G1405" s="16">
        <f t="shared" si="77"/>
        <v>32039</v>
      </c>
      <c r="H1405" s="16">
        <v>32039</v>
      </c>
      <c r="I1405" s="16">
        <f t="shared" si="72"/>
        <v>0</v>
      </c>
      <c r="J1405" s="31">
        <v>32039</v>
      </c>
      <c r="K1405" s="69">
        <f t="shared" si="78"/>
        <v>0</v>
      </c>
      <c r="L1405" s="50"/>
      <c r="M1405" s="109"/>
      <c r="N1405" s="110">
        <v>0.95</v>
      </c>
    </row>
    <row r="1406" spans="1:14" ht="15" hidden="1" customHeight="1" thickBot="1" x14ac:dyDescent="0.35">
      <c r="A1406" s="20">
        <v>235</v>
      </c>
      <c r="B1406" s="14" t="s">
        <v>874</v>
      </c>
      <c r="C1406" s="20" t="s">
        <v>837</v>
      </c>
      <c r="D1406" s="14" t="s">
        <v>614</v>
      </c>
      <c r="E1406" s="15" t="s">
        <v>502</v>
      </c>
      <c r="F1406" s="15">
        <v>3</v>
      </c>
      <c r="G1406" s="16">
        <f t="shared" si="77"/>
        <v>17949</v>
      </c>
      <c r="H1406" s="16">
        <v>18069</v>
      </c>
      <c r="I1406" s="16">
        <f t="shared" si="72"/>
        <v>0</v>
      </c>
      <c r="J1406" s="31">
        <v>18069</v>
      </c>
      <c r="K1406" s="69">
        <f t="shared" si="78"/>
        <v>0</v>
      </c>
      <c r="L1406" s="50">
        <v>120</v>
      </c>
      <c r="M1406" s="109">
        <v>120</v>
      </c>
      <c r="N1406" s="110">
        <v>0.95</v>
      </c>
    </row>
    <row r="1407" spans="1:14" ht="15" hidden="1" customHeight="1" thickBot="1" x14ac:dyDescent="0.35">
      <c r="A1407" s="20">
        <v>235</v>
      </c>
      <c r="B1407" s="14" t="s">
        <v>874</v>
      </c>
      <c r="C1407" s="20" t="s">
        <v>837</v>
      </c>
      <c r="D1407" s="14" t="s">
        <v>614</v>
      </c>
      <c r="E1407" s="15" t="s">
        <v>499</v>
      </c>
      <c r="F1407" s="15">
        <v>4</v>
      </c>
      <c r="G1407" s="16">
        <f t="shared" si="77"/>
        <v>32999</v>
      </c>
      <c r="H1407" s="16">
        <v>34229</v>
      </c>
      <c r="I1407" s="16">
        <f t="shared" si="72"/>
        <v>0</v>
      </c>
      <c r="J1407" s="31">
        <v>34229</v>
      </c>
      <c r="K1407" s="69">
        <f t="shared" si="78"/>
        <v>0</v>
      </c>
      <c r="L1407" s="50">
        <v>1230</v>
      </c>
      <c r="M1407" s="109">
        <v>1230</v>
      </c>
      <c r="N1407" s="110">
        <v>0.95</v>
      </c>
    </row>
    <row r="1408" spans="1:14" ht="15" hidden="1" customHeight="1" thickBot="1" x14ac:dyDescent="0.35">
      <c r="A1408" s="20">
        <v>235</v>
      </c>
      <c r="B1408" s="14" t="s">
        <v>874</v>
      </c>
      <c r="C1408" s="20" t="s">
        <v>837</v>
      </c>
      <c r="D1408" s="14" t="s">
        <v>614</v>
      </c>
      <c r="E1408" s="15" t="s">
        <v>503</v>
      </c>
      <c r="F1408" s="15">
        <v>4</v>
      </c>
      <c r="G1408" s="16">
        <f t="shared" si="77"/>
        <v>36085</v>
      </c>
      <c r="H1408" s="16">
        <v>36485</v>
      </c>
      <c r="I1408" s="16">
        <f t="shared" si="72"/>
        <v>0</v>
      </c>
      <c r="J1408" s="31">
        <v>36485</v>
      </c>
      <c r="K1408" s="69">
        <f t="shared" si="78"/>
        <v>0</v>
      </c>
      <c r="L1408" s="50">
        <v>400</v>
      </c>
      <c r="M1408" s="109">
        <v>400</v>
      </c>
      <c r="N1408" s="110">
        <v>0.96499999999999997</v>
      </c>
    </row>
    <row r="1409" spans="1:14" ht="15" hidden="1" customHeight="1" thickBot="1" x14ac:dyDescent="0.35">
      <c r="A1409" s="20">
        <v>235</v>
      </c>
      <c r="B1409" s="14" t="s">
        <v>874</v>
      </c>
      <c r="C1409" s="20" t="s">
        <v>837</v>
      </c>
      <c r="D1409" s="14" t="s">
        <v>614</v>
      </c>
      <c r="E1409" s="15" t="s">
        <v>506</v>
      </c>
      <c r="F1409" s="15">
        <v>5</v>
      </c>
      <c r="G1409" s="16">
        <f t="shared" si="77"/>
        <v>31821</v>
      </c>
      <c r="H1409" s="16">
        <v>31821</v>
      </c>
      <c r="I1409" s="16">
        <f t="shared" si="72"/>
        <v>0</v>
      </c>
      <c r="J1409" s="31">
        <v>31821</v>
      </c>
      <c r="K1409" s="69">
        <f t="shared" si="78"/>
        <v>0</v>
      </c>
      <c r="L1409" s="50"/>
      <c r="M1409" s="109"/>
      <c r="N1409" s="110">
        <v>0.95</v>
      </c>
    </row>
    <row r="1410" spans="1:14" ht="15" hidden="1" customHeight="1" thickBot="1" x14ac:dyDescent="0.35">
      <c r="A1410" s="20">
        <v>235</v>
      </c>
      <c r="B1410" s="14" t="s">
        <v>874</v>
      </c>
      <c r="C1410" s="20" t="s">
        <v>837</v>
      </c>
      <c r="D1410" s="14" t="s">
        <v>614</v>
      </c>
      <c r="E1410" s="15" t="s">
        <v>508</v>
      </c>
      <c r="F1410" s="15">
        <v>5</v>
      </c>
      <c r="G1410" s="16">
        <f t="shared" si="77"/>
        <v>32211</v>
      </c>
      <c r="H1410" s="16">
        <v>32511</v>
      </c>
      <c r="I1410" s="16">
        <f t="shared" si="72"/>
        <v>0</v>
      </c>
      <c r="J1410" s="31">
        <v>32511</v>
      </c>
      <c r="K1410" s="69">
        <f t="shared" si="78"/>
        <v>0</v>
      </c>
      <c r="L1410" s="50">
        <v>300</v>
      </c>
      <c r="M1410" s="109">
        <v>300</v>
      </c>
      <c r="N1410" s="110">
        <v>0.95</v>
      </c>
    </row>
    <row r="1411" spans="1:14" ht="15" hidden="1" customHeight="1" thickBot="1" x14ac:dyDescent="0.35">
      <c r="A1411" s="20">
        <v>235</v>
      </c>
      <c r="B1411" s="14" t="s">
        <v>874</v>
      </c>
      <c r="C1411" s="20" t="s">
        <v>837</v>
      </c>
      <c r="D1411" s="14" t="s">
        <v>510</v>
      </c>
      <c r="E1411" s="15" t="s">
        <v>502</v>
      </c>
      <c r="F1411" s="15">
        <v>3</v>
      </c>
      <c r="G1411" s="16">
        <f t="shared" si="77"/>
        <v>18084</v>
      </c>
      <c r="H1411" s="16">
        <v>18234</v>
      </c>
      <c r="I1411" s="16">
        <f t="shared" si="72"/>
        <v>0</v>
      </c>
      <c r="J1411" s="31">
        <v>18234</v>
      </c>
      <c r="K1411" s="69">
        <f t="shared" si="78"/>
        <v>0</v>
      </c>
      <c r="L1411" s="50">
        <v>150</v>
      </c>
      <c r="M1411" s="109">
        <v>150</v>
      </c>
      <c r="N1411" s="110">
        <v>0.95</v>
      </c>
    </row>
    <row r="1412" spans="1:14" ht="15" hidden="1" customHeight="1" thickBot="1" x14ac:dyDescent="0.35">
      <c r="A1412" s="20">
        <v>235</v>
      </c>
      <c r="B1412" s="14" t="s">
        <v>874</v>
      </c>
      <c r="C1412" s="20" t="s">
        <v>837</v>
      </c>
      <c r="D1412" s="14" t="s">
        <v>510</v>
      </c>
      <c r="E1412" s="15" t="s">
        <v>504</v>
      </c>
      <c r="F1412" s="15">
        <v>3</v>
      </c>
      <c r="G1412" s="16">
        <f t="shared" si="77"/>
        <v>8941.875</v>
      </c>
      <c r="H1412" s="16">
        <v>8941.875</v>
      </c>
      <c r="I1412" s="16">
        <f t="shared" si="72"/>
        <v>0</v>
      </c>
      <c r="J1412" s="31">
        <v>8941.875</v>
      </c>
      <c r="K1412" s="69">
        <f t="shared" si="78"/>
        <v>0</v>
      </c>
      <c r="L1412" s="50"/>
      <c r="M1412" s="109"/>
      <c r="N1412" s="110">
        <v>0.9</v>
      </c>
    </row>
    <row r="1413" spans="1:14" ht="15" hidden="1" customHeight="1" thickBot="1" x14ac:dyDescent="0.35">
      <c r="A1413" s="20">
        <v>235</v>
      </c>
      <c r="B1413" s="14" t="s">
        <v>874</v>
      </c>
      <c r="C1413" s="20" t="s">
        <v>837</v>
      </c>
      <c r="D1413" s="14" t="s">
        <v>510</v>
      </c>
      <c r="E1413" s="155" t="s">
        <v>512</v>
      </c>
      <c r="F1413" s="15">
        <v>3</v>
      </c>
      <c r="G1413" s="16">
        <f t="shared" si="77"/>
        <v>9162.75</v>
      </c>
      <c r="H1413" s="16">
        <v>9162.75</v>
      </c>
      <c r="I1413" s="16">
        <f t="shared" si="72"/>
        <v>0</v>
      </c>
      <c r="J1413" s="31">
        <v>9162.75</v>
      </c>
      <c r="K1413" s="69">
        <f t="shared" si="78"/>
        <v>0</v>
      </c>
      <c r="L1413" s="50"/>
      <c r="M1413" s="109"/>
      <c r="N1413" s="110"/>
    </row>
    <row r="1414" spans="1:14" ht="15" hidden="1" customHeight="1" thickBot="1" x14ac:dyDescent="0.35">
      <c r="A1414" s="20">
        <v>235</v>
      </c>
      <c r="B1414" s="14" t="s">
        <v>874</v>
      </c>
      <c r="C1414" s="20" t="s">
        <v>837</v>
      </c>
      <c r="D1414" s="14" t="s">
        <v>510</v>
      </c>
      <c r="E1414" s="15" t="s">
        <v>508</v>
      </c>
      <c r="F1414" s="15">
        <v>3</v>
      </c>
      <c r="G1414" s="16">
        <f t="shared" si="77"/>
        <v>19480</v>
      </c>
      <c r="H1414" s="16">
        <v>19480</v>
      </c>
      <c r="I1414" s="16">
        <f t="shared" si="72"/>
        <v>0</v>
      </c>
      <c r="J1414" s="31">
        <v>19480</v>
      </c>
      <c r="K1414" s="69">
        <f t="shared" si="78"/>
        <v>0</v>
      </c>
      <c r="L1414" s="50"/>
      <c r="M1414" s="109"/>
      <c r="N1414" s="110">
        <v>0.95</v>
      </c>
    </row>
    <row r="1415" spans="1:14" ht="15" hidden="1" customHeight="1" thickBot="1" x14ac:dyDescent="0.35">
      <c r="A1415" s="20">
        <v>235</v>
      </c>
      <c r="B1415" s="14" t="s">
        <v>874</v>
      </c>
      <c r="C1415" s="20" t="s">
        <v>837</v>
      </c>
      <c r="D1415" s="14" t="s">
        <v>510</v>
      </c>
      <c r="E1415" s="15" t="s">
        <v>499</v>
      </c>
      <c r="F1415" s="15">
        <v>4</v>
      </c>
      <c r="G1415" s="16">
        <f t="shared" si="77"/>
        <v>18241</v>
      </c>
      <c r="H1415" s="16">
        <v>18361</v>
      </c>
      <c r="I1415" s="16">
        <f t="shared" si="72"/>
        <v>0</v>
      </c>
      <c r="J1415" s="31">
        <v>18361</v>
      </c>
      <c r="K1415" s="69">
        <f t="shared" si="78"/>
        <v>0</v>
      </c>
      <c r="L1415" s="50">
        <v>120</v>
      </c>
      <c r="M1415" s="109">
        <v>120</v>
      </c>
      <c r="N1415" s="110">
        <v>0.95</v>
      </c>
    </row>
    <row r="1416" spans="1:14" ht="15" hidden="1" customHeight="1" thickBot="1" x14ac:dyDescent="0.35">
      <c r="A1416" s="20">
        <v>235</v>
      </c>
      <c r="B1416" s="14" t="s">
        <v>874</v>
      </c>
      <c r="C1416" s="20" t="s">
        <v>837</v>
      </c>
      <c r="D1416" s="14" t="s">
        <v>522</v>
      </c>
      <c r="E1416" s="15" t="s">
        <v>502</v>
      </c>
      <c r="F1416" s="15">
        <v>3</v>
      </c>
      <c r="G1416" s="16">
        <f t="shared" si="77"/>
        <v>9698</v>
      </c>
      <c r="H1416" s="16">
        <v>10198</v>
      </c>
      <c r="I1416" s="16">
        <f t="shared" si="72"/>
        <v>0</v>
      </c>
      <c r="J1416" s="31">
        <v>10198</v>
      </c>
      <c r="K1416" s="69">
        <f t="shared" si="78"/>
        <v>0</v>
      </c>
      <c r="L1416" s="50">
        <v>500</v>
      </c>
      <c r="M1416" s="109">
        <v>500</v>
      </c>
      <c r="N1416" s="110">
        <v>0.95</v>
      </c>
    </row>
    <row r="1417" spans="1:14" ht="15" hidden="1" customHeight="1" thickBot="1" x14ac:dyDescent="0.35">
      <c r="A1417" s="20">
        <v>235</v>
      </c>
      <c r="B1417" s="14" t="s">
        <v>874</v>
      </c>
      <c r="C1417" s="20" t="s">
        <v>837</v>
      </c>
      <c r="D1417" s="14" t="s">
        <v>510</v>
      </c>
      <c r="E1417" s="15" t="s">
        <v>500</v>
      </c>
      <c r="F1417" s="15">
        <v>3</v>
      </c>
      <c r="G1417" s="16">
        <f t="shared" si="77"/>
        <v>9310</v>
      </c>
      <c r="H1417" s="16">
        <v>9310</v>
      </c>
      <c r="I1417" s="16">
        <f t="shared" si="72"/>
        <v>0</v>
      </c>
      <c r="J1417" s="31">
        <v>9310</v>
      </c>
      <c r="K1417" s="69">
        <f t="shared" si="78"/>
        <v>0</v>
      </c>
      <c r="L1417" s="50"/>
      <c r="M1417" s="109"/>
      <c r="N1417" s="110">
        <v>0.9</v>
      </c>
    </row>
    <row r="1418" spans="1:14" ht="15" hidden="1" customHeight="1" thickBot="1" x14ac:dyDescent="0.35">
      <c r="A1418" s="20">
        <v>235</v>
      </c>
      <c r="B1418" s="14" t="s">
        <v>874</v>
      </c>
      <c r="C1418" s="20" t="s">
        <v>837</v>
      </c>
      <c r="D1418" s="14" t="s">
        <v>510</v>
      </c>
      <c r="E1418" s="15" t="s">
        <v>506</v>
      </c>
      <c r="F1418" s="15">
        <v>3</v>
      </c>
      <c r="G1418" s="16">
        <f t="shared" si="77"/>
        <v>13152</v>
      </c>
      <c r="H1418" s="16">
        <v>13152</v>
      </c>
      <c r="I1418" s="16">
        <f t="shared" si="72"/>
        <v>0</v>
      </c>
      <c r="J1418" s="31">
        <v>13152</v>
      </c>
      <c r="K1418" s="69">
        <f t="shared" si="78"/>
        <v>0</v>
      </c>
      <c r="L1418" s="50"/>
      <c r="M1418" s="109"/>
      <c r="N1418" s="110">
        <v>0.95</v>
      </c>
    </row>
    <row r="1419" spans="1:14" ht="15" hidden="1" customHeight="1" thickBot="1" x14ac:dyDescent="0.35">
      <c r="A1419" s="20">
        <v>235</v>
      </c>
      <c r="B1419" s="14" t="s">
        <v>874</v>
      </c>
      <c r="C1419" s="20" t="s">
        <v>837</v>
      </c>
      <c r="D1419" s="14" t="s">
        <v>510</v>
      </c>
      <c r="E1419" s="15" t="s">
        <v>503</v>
      </c>
      <c r="F1419" s="15">
        <v>3</v>
      </c>
      <c r="G1419" s="16">
        <f t="shared" si="77"/>
        <v>10650</v>
      </c>
      <c r="H1419" s="16">
        <v>10650</v>
      </c>
      <c r="I1419" s="16">
        <f t="shared" si="72"/>
        <v>0</v>
      </c>
      <c r="J1419" s="31">
        <v>10650</v>
      </c>
      <c r="K1419" s="69">
        <f t="shared" si="78"/>
        <v>0</v>
      </c>
      <c r="L1419" s="50"/>
      <c r="M1419" s="109"/>
      <c r="N1419" s="110">
        <v>0.95</v>
      </c>
    </row>
    <row r="1420" spans="1:14" ht="15" hidden="1" customHeight="1" thickBot="1" x14ac:dyDescent="0.35">
      <c r="A1420" s="20">
        <v>235</v>
      </c>
      <c r="B1420" s="14" t="s">
        <v>874</v>
      </c>
      <c r="C1420" s="20" t="s">
        <v>837</v>
      </c>
      <c r="D1420" s="14" t="s">
        <v>524</v>
      </c>
      <c r="E1420" s="15" t="s">
        <v>503</v>
      </c>
      <c r="F1420" s="15">
        <v>5</v>
      </c>
      <c r="G1420" s="16">
        <f t="shared" si="77"/>
        <v>8993</v>
      </c>
      <c r="H1420" s="16">
        <v>8993</v>
      </c>
      <c r="I1420" s="16">
        <f t="shared" si="72"/>
        <v>0</v>
      </c>
      <c r="J1420" s="31">
        <v>8993</v>
      </c>
      <c r="K1420" s="69">
        <f t="shared" si="78"/>
        <v>0</v>
      </c>
      <c r="L1420" s="50"/>
      <c r="M1420" s="109"/>
      <c r="N1420" s="110">
        <v>0.95</v>
      </c>
    </row>
    <row r="1421" spans="1:14" ht="15" hidden="1" customHeight="1" thickBot="1" x14ac:dyDescent="0.35">
      <c r="A1421" s="20">
        <v>235</v>
      </c>
      <c r="B1421" s="14" t="s">
        <v>874</v>
      </c>
      <c r="C1421" s="20" t="s">
        <v>837</v>
      </c>
      <c r="D1421" s="14" t="s">
        <v>1051</v>
      </c>
      <c r="E1421" s="15" t="s">
        <v>500</v>
      </c>
      <c r="F1421" s="15">
        <v>3</v>
      </c>
      <c r="G1421" s="16">
        <f t="shared" si="77"/>
        <v>26920</v>
      </c>
      <c r="H1421" s="16">
        <v>27370</v>
      </c>
      <c r="I1421" s="16">
        <f t="shared" si="72"/>
        <v>0</v>
      </c>
      <c r="J1421" s="31">
        <v>27370</v>
      </c>
      <c r="K1421" s="69">
        <f t="shared" si="78"/>
        <v>0</v>
      </c>
      <c r="L1421" s="50">
        <v>450</v>
      </c>
      <c r="M1421" s="109">
        <v>450</v>
      </c>
      <c r="N1421" s="110">
        <v>0.95</v>
      </c>
    </row>
    <row r="1422" spans="1:14" ht="15" hidden="1" customHeight="1" thickBot="1" x14ac:dyDescent="0.35">
      <c r="A1422" s="20">
        <v>235</v>
      </c>
      <c r="B1422" s="14" t="s">
        <v>874</v>
      </c>
      <c r="C1422" s="20" t="s">
        <v>837</v>
      </c>
      <c r="D1422" s="14" t="s">
        <v>679</v>
      </c>
      <c r="E1422" s="15" t="s">
        <v>502</v>
      </c>
      <c r="F1422" s="15">
        <v>4</v>
      </c>
      <c r="G1422" s="16">
        <f t="shared" si="77"/>
        <v>129582</v>
      </c>
      <c r="H1422" s="16">
        <v>129582</v>
      </c>
      <c r="I1422" s="16">
        <f t="shared" si="72"/>
        <v>0</v>
      </c>
      <c r="J1422" s="31">
        <v>129582</v>
      </c>
      <c r="K1422" s="69">
        <f t="shared" si="78"/>
        <v>0</v>
      </c>
      <c r="L1422" s="50"/>
      <c r="M1422" s="109"/>
      <c r="N1422" s="110">
        <v>0.9</v>
      </c>
    </row>
    <row r="1423" spans="1:14" ht="15" hidden="1" customHeight="1" thickBot="1" x14ac:dyDescent="0.35">
      <c r="A1423" s="20">
        <v>235</v>
      </c>
      <c r="B1423" s="14" t="s">
        <v>874</v>
      </c>
      <c r="C1423" s="20" t="s">
        <v>837</v>
      </c>
      <c r="D1423" s="14" t="s">
        <v>999</v>
      </c>
      <c r="E1423" s="15" t="s">
        <v>626</v>
      </c>
      <c r="F1423" s="15">
        <v>3</v>
      </c>
      <c r="G1423" s="16">
        <f t="shared" si="77"/>
        <v>31797</v>
      </c>
      <c r="H1423" s="16">
        <v>32547</v>
      </c>
      <c r="I1423" s="16">
        <f t="shared" si="72"/>
        <v>0</v>
      </c>
      <c r="J1423" s="31">
        <v>32547</v>
      </c>
      <c r="K1423" s="69">
        <f t="shared" si="78"/>
        <v>0</v>
      </c>
      <c r="L1423" s="50">
        <v>750</v>
      </c>
      <c r="M1423" s="109">
        <v>750</v>
      </c>
      <c r="N1423" s="110">
        <v>0.95</v>
      </c>
    </row>
    <row r="1424" spans="1:14" ht="15" hidden="1" customHeight="1" thickBot="1" x14ac:dyDescent="0.35">
      <c r="A1424" s="20">
        <v>235</v>
      </c>
      <c r="B1424" s="14" t="s">
        <v>874</v>
      </c>
      <c r="C1424" s="20" t="s">
        <v>837</v>
      </c>
      <c r="D1424" s="14" t="s">
        <v>752</v>
      </c>
      <c r="E1424" s="15" t="s">
        <v>504</v>
      </c>
      <c r="F1424" s="15">
        <v>5</v>
      </c>
      <c r="G1424" s="16">
        <f t="shared" si="77"/>
        <v>130552</v>
      </c>
      <c r="H1424" s="16">
        <v>131002</v>
      </c>
      <c r="I1424" s="16">
        <f t="shared" si="72"/>
        <v>0</v>
      </c>
      <c r="J1424" s="31">
        <v>131002</v>
      </c>
      <c r="K1424" s="69">
        <f t="shared" si="78"/>
        <v>0</v>
      </c>
      <c r="L1424" s="50">
        <v>450</v>
      </c>
      <c r="M1424" s="109">
        <v>450</v>
      </c>
      <c r="N1424" s="110">
        <v>0.95</v>
      </c>
    </row>
    <row r="1425" spans="1:14" ht="15" hidden="1" customHeight="1" thickBot="1" x14ac:dyDescent="0.35">
      <c r="A1425" s="20">
        <v>235</v>
      </c>
      <c r="B1425" s="14" t="s">
        <v>874</v>
      </c>
      <c r="C1425" s="20" t="s">
        <v>837</v>
      </c>
      <c r="D1425" s="14" t="s">
        <v>614</v>
      </c>
      <c r="E1425" s="15" t="s">
        <v>512</v>
      </c>
      <c r="F1425" s="15">
        <v>2</v>
      </c>
      <c r="G1425" s="16">
        <f t="shared" si="77"/>
        <v>19143</v>
      </c>
      <c r="H1425" s="16">
        <v>19143</v>
      </c>
      <c r="I1425" s="16">
        <f t="shared" si="72"/>
        <v>0</v>
      </c>
      <c r="J1425" s="31">
        <v>19143</v>
      </c>
      <c r="K1425" s="69">
        <f t="shared" si="78"/>
        <v>0</v>
      </c>
      <c r="L1425" s="50"/>
      <c r="M1425" s="109"/>
      <c r="N1425" s="110">
        <v>0.95</v>
      </c>
    </row>
    <row r="1426" spans="1:14" ht="15" hidden="1" customHeight="1" thickBot="1" x14ac:dyDescent="0.35">
      <c r="A1426" s="20">
        <v>235</v>
      </c>
      <c r="B1426" s="14" t="s">
        <v>874</v>
      </c>
      <c r="C1426" s="20" t="s">
        <v>837</v>
      </c>
      <c r="D1426" s="14" t="s">
        <v>614</v>
      </c>
      <c r="E1426" s="15" t="s">
        <v>500</v>
      </c>
      <c r="F1426" s="15">
        <v>2</v>
      </c>
      <c r="G1426" s="16">
        <f t="shared" si="77"/>
        <v>20340</v>
      </c>
      <c r="H1426" s="16">
        <v>20340</v>
      </c>
      <c r="I1426" s="16">
        <f t="shared" si="72"/>
        <v>0</v>
      </c>
      <c r="J1426" s="31">
        <v>20340</v>
      </c>
      <c r="K1426" s="69">
        <f t="shared" si="78"/>
        <v>0</v>
      </c>
      <c r="L1426" s="50"/>
      <c r="M1426" s="109"/>
      <c r="N1426" s="110">
        <v>0.9</v>
      </c>
    </row>
    <row r="1427" spans="1:14" ht="15" hidden="1" customHeight="1" thickBot="1" x14ac:dyDescent="0.35">
      <c r="A1427" s="20">
        <v>235</v>
      </c>
      <c r="B1427" s="14" t="s">
        <v>874</v>
      </c>
      <c r="C1427" s="20" t="s">
        <v>837</v>
      </c>
      <c r="D1427" s="14" t="s">
        <v>1044</v>
      </c>
      <c r="E1427" s="15"/>
      <c r="F1427" s="15">
        <v>3</v>
      </c>
      <c r="G1427" s="16">
        <f t="shared" si="77"/>
        <v>10839</v>
      </c>
      <c r="H1427" s="16">
        <v>12189</v>
      </c>
      <c r="I1427" s="16">
        <f t="shared" si="72"/>
        <v>0</v>
      </c>
      <c r="J1427" s="31">
        <v>12189</v>
      </c>
      <c r="K1427" s="69">
        <f t="shared" si="78"/>
        <v>0</v>
      </c>
      <c r="L1427" s="50">
        <v>1350</v>
      </c>
      <c r="M1427" s="109">
        <v>1350</v>
      </c>
      <c r="N1427" s="110">
        <v>0.95</v>
      </c>
    </row>
    <row r="1428" spans="1:14" ht="15" hidden="1" customHeight="1" thickBot="1" x14ac:dyDescent="0.35">
      <c r="A1428" s="20">
        <v>235</v>
      </c>
      <c r="B1428" s="14" t="s">
        <v>874</v>
      </c>
      <c r="C1428" s="20" t="s">
        <v>837</v>
      </c>
      <c r="D1428" s="14" t="s">
        <v>614</v>
      </c>
      <c r="E1428" s="15" t="s">
        <v>504</v>
      </c>
      <c r="F1428" s="15">
        <v>1</v>
      </c>
      <c r="G1428" s="16">
        <f t="shared" ref="G1428:G1512" si="84">H1428-M1428</f>
        <v>1046</v>
      </c>
      <c r="H1428" s="16">
        <v>1046</v>
      </c>
      <c r="I1428" s="16">
        <f t="shared" si="72"/>
        <v>0</v>
      </c>
      <c r="J1428" s="31">
        <v>1046</v>
      </c>
      <c r="K1428" s="69">
        <f t="shared" si="78"/>
        <v>0</v>
      </c>
      <c r="L1428" s="50"/>
      <c r="M1428" s="109"/>
      <c r="N1428" s="110">
        <v>0.9</v>
      </c>
    </row>
    <row r="1429" spans="1:14" ht="15" hidden="1" customHeight="1" thickBot="1" x14ac:dyDescent="0.35">
      <c r="A1429" s="20">
        <v>235</v>
      </c>
      <c r="B1429" s="14" t="s">
        <v>874</v>
      </c>
      <c r="C1429" s="20" t="s">
        <v>837</v>
      </c>
      <c r="D1429" s="14" t="s">
        <v>510</v>
      </c>
      <c r="E1429" s="15" t="s">
        <v>509</v>
      </c>
      <c r="F1429" s="15">
        <v>2</v>
      </c>
      <c r="G1429" s="16">
        <f t="shared" si="84"/>
        <v>4449</v>
      </c>
      <c r="H1429" s="16">
        <v>4449</v>
      </c>
      <c r="I1429" s="16">
        <f t="shared" si="72"/>
        <v>0</v>
      </c>
      <c r="J1429" s="31">
        <v>4449</v>
      </c>
      <c r="K1429" s="69">
        <f t="shared" si="78"/>
        <v>0</v>
      </c>
      <c r="L1429" s="50"/>
      <c r="M1429" s="109"/>
      <c r="N1429" s="110">
        <v>0.95</v>
      </c>
    </row>
    <row r="1430" spans="1:14" ht="15" hidden="1" customHeight="1" thickBot="1" x14ac:dyDescent="0.35">
      <c r="A1430" s="20">
        <v>235</v>
      </c>
      <c r="B1430" s="14" t="s">
        <v>874</v>
      </c>
      <c r="C1430" s="20" t="s">
        <v>837</v>
      </c>
      <c r="D1430" s="14" t="s">
        <v>614</v>
      </c>
      <c r="E1430" s="15" t="s">
        <v>509</v>
      </c>
      <c r="F1430" s="15">
        <v>2</v>
      </c>
      <c r="G1430" s="16">
        <f t="shared" si="84"/>
        <v>1929</v>
      </c>
      <c r="H1430" s="16">
        <v>1929</v>
      </c>
      <c r="I1430" s="16">
        <f t="shared" si="72"/>
        <v>0</v>
      </c>
      <c r="J1430" s="31">
        <v>1929</v>
      </c>
      <c r="K1430" s="69">
        <f t="shared" ref="K1430:K1514" si="85">M1430-L1430</f>
        <v>0</v>
      </c>
      <c r="L1430" s="50"/>
      <c r="M1430" s="109"/>
      <c r="N1430" s="110">
        <v>0.95</v>
      </c>
    </row>
    <row r="1431" spans="1:14" ht="15" hidden="1" customHeight="1" thickBot="1" x14ac:dyDescent="0.35">
      <c r="A1431" s="20">
        <v>235</v>
      </c>
      <c r="B1431" s="14" t="s">
        <v>874</v>
      </c>
      <c r="C1431" s="20" t="s">
        <v>837</v>
      </c>
      <c r="D1431" s="14" t="s">
        <v>1570</v>
      </c>
      <c r="E1431" s="15" t="s">
        <v>504</v>
      </c>
      <c r="F1431" s="15">
        <v>4</v>
      </c>
      <c r="G1431" s="16">
        <f t="shared" si="84"/>
        <v>49610</v>
      </c>
      <c r="H1431" s="16">
        <v>49780</v>
      </c>
      <c r="I1431" s="16">
        <f t="shared" si="72"/>
        <v>0</v>
      </c>
      <c r="J1431" s="31">
        <v>49780</v>
      </c>
      <c r="K1431" s="69">
        <f t="shared" si="85"/>
        <v>0</v>
      </c>
      <c r="L1431" s="50">
        <v>170</v>
      </c>
      <c r="M1431" s="109">
        <v>170</v>
      </c>
      <c r="N1431" s="110">
        <v>0.95</v>
      </c>
    </row>
    <row r="1432" spans="1:14" ht="15" hidden="1" customHeight="1" thickBot="1" x14ac:dyDescent="0.35">
      <c r="A1432" s="20">
        <v>235</v>
      </c>
      <c r="B1432" s="14" t="s">
        <v>874</v>
      </c>
      <c r="C1432" s="20" t="s">
        <v>837</v>
      </c>
      <c r="D1432" s="14" t="s">
        <v>692</v>
      </c>
      <c r="E1432" s="15" t="s">
        <v>502</v>
      </c>
      <c r="F1432" s="15">
        <v>6</v>
      </c>
      <c r="G1432" s="16">
        <f t="shared" si="84"/>
        <v>127439</v>
      </c>
      <c r="H1432" s="16">
        <v>128279</v>
      </c>
      <c r="I1432" s="16">
        <f t="shared" si="72"/>
        <v>0</v>
      </c>
      <c r="J1432" s="31">
        <v>128279</v>
      </c>
      <c r="K1432" s="69">
        <f t="shared" si="85"/>
        <v>0</v>
      </c>
      <c r="L1432" s="50">
        <v>840</v>
      </c>
      <c r="M1432" s="109">
        <v>840</v>
      </c>
      <c r="N1432" s="110">
        <v>0.95</v>
      </c>
    </row>
    <row r="1433" spans="1:14" ht="15" hidden="1" customHeight="1" thickBot="1" x14ac:dyDescent="0.35">
      <c r="A1433" s="20">
        <v>235</v>
      </c>
      <c r="B1433" s="14" t="s">
        <v>874</v>
      </c>
      <c r="C1433" s="20" t="s">
        <v>837</v>
      </c>
      <c r="D1433" s="14" t="s">
        <v>670</v>
      </c>
      <c r="E1433" s="15" t="s">
        <v>506</v>
      </c>
      <c r="F1433" s="15">
        <v>10</v>
      </c>
      <c r="G1433" s="16">
        <f t="shared" si="84"/>
        <v>148193</v>
      </c>
      <c r="H1433" s="16">
        <v>148193</v>
      </c>
      <c r="I1433" s="16">
        <f t="shared" si="72"/>
        <v>0</v>
      </c>
      <c r="J1433" s="31">
        <v>148193</v>
      </c>
      <c r="K1433" s="69">
        <f t="shared" si="85"/>
        <v>0</v>
      </c>
      <c r="L1433" s="50"/>
      <c r="M1433" s="109"/>
      <c r="N1433" s="110">
        <v>0.9</v>
      </c>
    </row>
    <row r="1434" spans="1:14" ht="15" hidden="1" customHeight="1" thickBot="1" x14ac:dyDescent="0.35">
      <c r="A1434" s="20">
        <v>235</v>
      </c>
      <c r="B1434" s="14" t="s">
        <v>874</v>
      </c>
      <c r="C1434" s="20" t="s">
        <v>837</v>
      </c>
      <c r="D1434" s="14" t="s">
        <v>1061</v>
      </c>
      <c r="E1434" s="15" t="s">
        <v>508</v>
      </c>
      <c r="F1434" s="15">
        <v>8</v>
      </c>
      <c r="G1434" s="16">
        <f t="shared" si="84"/>
        <v>200720</v>
      </c>
      <c r="H1434" s="16">
        <v>202100</v>
      </c>
      <c r="I1434" s="16">
        <f t="shared" si="72"/>
        <v>0</v>
      </c>
      <c r="J1434" s="31">
        <v>202100</v>
      </c>
      <c r="K1434" s="69">
        <f t="shared" si="85"/>
        <v>0</v>
      </c>
      <c r="L1434" s="50">
        <v>1380</v>
      </c>
      <c r="M1434" s="109">
        <v>1380</v>
      </c>
      <c r="N1434" s="110">
        <v>0.9</v>
      </c>
    </row>
    <row r="1435" spans="1:14" ht="15" hidden="1" customHeight="1" thickBot="1" x14ac:dyDescent="0.35">
      <c r="A1435" s="20">
        <v>235</v>
      </c>
      <c r="B1435" s="14" t="s">
        <v>874</v>
      </c>
      <c r="C1435" s="20" t="s">
        <v>837</v>
      </c>
      <c r="D1435" s="14" t="s">
        <v>1076</v>
      </c>
      <c r="E1435" s="15" t="s">
        <v>512</v>
      </c>
      <c r="F1435" s="15">
        <v>7</v>
      </c>
      <c r="G1435" s="16">
        <f t="shared" si="84"/>
        <v>125086</v>
      </c>
      <c r="H1435" s="16">
        <v>126736</v>
      </c>
      <c r="I1435" s="16">
        <f t="shared" si="72"/>
        <v>0</v>
      </c>
      <c r="J1435" s="31">
        <v>126736</v>
      </c>
      <c r="K1435" s="69">
        <f t="shared" si="85"/>
        <v>0</v>
      </c>
      <c r="L1435" s="50">
        <v>1650</v>
      </c>
      <c r="M1435" s="109">
        <v>1650</v>
      </c>
      <c r="N1435" s="110">
        <v>0.9</v>
      </c>
    </row>
    <row r="1436" spans="1:14" ht="15" hidden="1" customHeight="1" thickBot="1" x14ac:dyDescent="0.35">
      <c r="A1436" s="20">
        <v>235</v>
      </c>
      <c r="B1436" s="14" t="s">
        <v>874</v>
      </c>
      <c r="C1436" s="20" t="s">
        <v>837</v>
      </c>
      <c r="D1436" s="14" t="s">
        <v>981</v>
      </c>
      <c r="E1436" s="15" t="s">
        <v>502</v>
      </c>
      <c r="F1436" s="15">
        <v>5</v>
      </c>
      <c r="G1436" s="16">
        <f t="shared" si="84"/>
        <v>118764</v>
      </c>
      <c r="H1436" s="16">
        <v>118764</v>
      </c>
      <c r="I1436" s="16">
        <f t="shared" si="72"/>
        <v>0</v>
      </c>
      <c r="J1436" s="31">
        <v>118764</v>
      </c>
      <c r="K1436" s="69">
        <f t="shared" si="85"/>
        <v>0</v>
      </c>
      <c r="L1436" s="50"/>
      <c r="M1436" s="109"/>
      <c r="N1436" s="110">
        <v>0.9</v>
      </c>
    </row>
    <row r="1437" spans="1:14" ht="15" hidden="1" customHeight="1" thickBot="1" x14ac:dyDescent="0.35">
      <c r="A1437" s="20">
        <v>235</v>
      </c>
      <c r="B1437" s="14" t="s">
        <v>874</v>
      </c>
      <c r="C1437" s="20" t="s">
        <v>837</v>
      </c>
      <c r="D1437" s="14" t="s">
        <v>985</v>
      </c>
      <c r="E1437" s="15" t="s">
        <v>506</v>
      </c>
      <c r="F1437" s="15">
        <v>7</v>
      </c>
      <c r="G1437" s="16">
        <f t="shared" si="84"/>
        <v>129487</v>
      </c>
      <c r="H1437" s="16">
        <v>129487</v>
      </c>
      <c r="I1437" s="16">
        <f t="shared" si="72"/>
        <v>0</v>
      </c>
      <c r="J1437" s="31">
        <v>129487</v>
      </c>
      <c r="K1437" s="69">
        <f t="shared" si="85"/>
        <v>0</v>
      </c>
      <c r="L1437" s="50"/>
      <c r="M1437" s="109"/>
      <c r="N1437" s="110">
        <v>0.9</v>
      </c>
    </row>
    <row r="1438" spans="1:14" ht="15" hidden="1" customHeight="1" thickBot="1" x14ac:dyDescent="0.35">
      <c r="A1438" s="20">
        <v>235</v>
      </c>
      <c r="B1438" s="14" t="s">
        <v>874</v>
      </c>
      <c r="C1438" s="20" t="s">
        <v>837</v>
      </c>
      <c r="D1438" s="14" t="s">
        <v>1102</v>
      </c>
      <c r="E1438" s="15" t="s">
        <v>500</v>
      </c>
      <c r="F1438" s="15">
        <v>8</v>
      </c>
      <c r="G1438" s="16">
        <f t="shared" si="84"/>
        <v>99011</v>
      </c>
      <c r="H1438" s="16">
        <v>100391</v>
      </c>
      <c r="I1438" s="16">
        <f t="shared" si="72"/>
        <v>0</v>
      </c>
      <c r="J1438" s="31">
        <v>100391</v>
      </c>
      <c r="K1438" s="69">
        <f t="shared" si="85"/>
        <v>0</v>
      </c>
      <c r="L1438" s="50">
        <v>1380</v>
      </c>
      <c r="M1438" s="109">
        <v>1380</v>
      </c>
      <c r="N1438" s="110">
        <v>0.9</v>
      </c>
    </row>
    <row r="1439" spans="1:14" ht="15" hidden="1" customHeight="1" thickBot="1" x14ac:dyDescent="0.35">
      <c r="A1439" s="20">
        <v>235</v>
      </c>
      <c r="B1439" s="14" t="s">
        <v>874</v>
      </c>
      <c r="C1439" s="20" t="s">
        <v>837</v>
      </c>
      <c r="D1439" s="14" t="s">
        <v>618</v>
      </c>
      <c r="E1439" s="15" t="s">
        <v>509</v>
      </c>
      <c r="F1439" s="15">
        <v>5</v>
      </c>
      <c r="G1439" s="16">
        <f t="shared" si="84"/>
        <v>56210</v>
      </c>
      <c r="H1439" s="16">
        <v>56210</v>
      </c>
      <c r="I1439" s="16">
        <f t="shared" si="72"/>
        <v>0</v>
      </c>
      <c r="J1439" s="31">
        <v>56210</v>
      </c>
      <c r="K1439" s="69">
        <f t="shared" si="85"/>
        <v>0</v>
      </c>
      <c r="L1439" s="50"/>
      <c r="M1439" s="109"/>
      <c r="N1439" s="110">
        <v>0.9</v>
      </c>
    </row>
    <row r="1440" spans="1:14" ht="15" hidden="1" customHeight="1" thickBot="1" x14ac:dyDescent="0.35">
      <c r="A1440" s="20">
        <v>235</v>
      </c>
      <c r="B1440" s="14" t="s">
        <v>874</v>
      </c>
      <c r="C1440" s="20" t="s">
        <v>837</v>
      </c>
      <c r="D1440" s="14" t="s">
        <v>694</v>
      </c>
      <c r="E1440" s="15" t="s">
        <v>509</v>
      </c>
      <c r="F1440" s="15">
        <v>4</v>
      </c>
      <c r="G1440" s="16">
        <f t="shared" si="84"/>
        <v>93356</v>
      </c>
      <c r="H1440" s="16">
        <v>93356</v>
      </c>
      <c r="I1440" s="16">
        <f t="shared" si="72"/>
        <v>0</v>
      </c>
      <c r="J1440" s="31">
        <v>93356</v>
      </c>
      <c r="K1440" s="69">
        <f t="shared" si="85"/>
        <v>0</v>
      </c>
      <c r="L1440" s="50"/>
      <c r="M1440" s="109"/>
      <c r="N1440" s="110">
        <v>0.9</v>
      </c>
    </row>
    <row r="1441" spans="1:14" ht="15" hidden="1" customHeight="1" thickBot="1" x14ac:dyDescent="0.35">
      <c r="A1441" s="20">
        <v>235</v>
      </c>
      <c r="B1441" s="14" t="s">
        <v>874</v>
      </c>
      <c r="C1441" s="20" t="s">
        <v>837</v>
      </c>
      <c r="D1441" s="14" t="s">
        <v>1043</v>
      </c>
      <c r="E1441" s="15" t="s">
        <v>500</v>
      </c>
      <c r="F1441" s="15">
        <v>4</v>
      </c>
      <c r="G1441" s="16">
        <f t="shared" si="84"/>
        <v>91367</v>
      </c>
      <c r="H1441" s="16">
        <v>91367</v>
      </c>
      <c r="I1441" s="16">
        <f t="shared" si="72"/>
        <v>0</v>
      </c>
      <c r="J1441" s="31">
        <v>91367</v>
      </c>
      <c r="K1441" s="69">
        <f t="shared" si="85"/>
        <v>0</v>
      </c>
      <c r="L1441" s="50"/>
      <c r="M1441" s="109"/>
      <c r="N1441" s="110">
        <v>0.9</v>
      </c>
    </row>
    <row r="1442" spans="1:14" ht="15" hidden="1" customHeight="1" thickBot="1" x14ac:dyDescent="0.35">
      <c r="A1442" s="20">
        <v>235</v>
      </c>
      <c r="B1442" s="14" t="s">
        <v>874</v>
      </c>
      <c r="C1442" s="20" t="s">
        <v>837</v>
      </c>
      <c r="D1442" s="14" t="s">
        <v>638</v>
      </c>
      <c r="E1442" s="15" t="s">
        <v>504</v>
      </c>
      <c r="F1442" s="15">
        <v>4</v>
      </c>
      <c r="G1442" s="16">
        <f t="shared" si="84"/>
        <v>164247</v>
      </c>
      <c r="H1442" s="16">
        <v>164247</v>
      </c>
      <c r="I1442" s="16">
        <f t="shared" si="72"/>
        <v>0</v>
      </c>
      <c r="J1442" s="31">
        <v>164247</v>
      </c>
      <c r="K1442" s="69">
        <f t="shared" si="85"/>
        <v>0</v>
      </c>
      <c r="L1442" s="50"/>
      <c r="M1442" s="109"/>
      <c r="N1442" s="110">
        <v>0.9</v>
      </c>
    </row>
    <row r="1443" spans="1:14" ht="15" hidden="1" customHeight="1" thickBot="1" x14ac:dyDescent="0.35">
      <c r="A1443" s="20">
        <v>235</v>
      </c>
      <c r="B1443" s="14" t="s">
        <v>874</v>
      </c>
      <c r="C1443" s="20" t="s">
        <v>837</v>
      </c>
      <c r="D1443" s="14" t="s">
        <v>1001</v>
      </c>
      <c r="E1443" s="15" t="s">
        <v>504</v>
      </c>
      <c r="F1443" s="15">
        <v>4</v>
      </c>
      <c r="G1443" s="16">
        <f t="shared" si="84"/>
        <v>120920</v>
      </c>
      <c r="H1443" s="16">
        <v>120920</v>
      </c>
      <c r="I1443" s="16">
        <f t="shared" si="72"/>
        <v>0</v>
      </c>
      <c r="J1443" s="31">
        <v>120920</v>
      </c>
      <c r="K1443" s="69">
        <f t="shared" si="85"/>
        <v>0</v>
      </c>
      <c r="L1443" s="50"/>
      <c r="M1443" s="109"/>
      <c r="N1443" s="110">
        <v>0.9</v>
      </c>
    </row>
    <row r="1444" spans="1:14" ht="15" hidden="1" customHeight="1" thickBot="1" x14ac:dyDescent="0.35">
      <c r="A1444" s="20">
        <v>235</v>
      </c>
      <c r="B1444" s="14" t="s">
        <v>874</v>
      </c>
      <c r="C1444" s="20" t="s">
        <v>837</v>
      </c>
      <c r="D1444" s="14" t="s">
        <v>980</v>
      </c>
      <c r="E1444" s="15" t="s">
        <v>503</v>
      </c>
      <c r="F1444" s="15">
        <v>5</v>
      </c>
      <c r="G1444" s="16">
        <f t="shared" si="84"/>
        <v>109362</v>
      </c>
      <c r="H1444" s="16">
        <v>109362</v>
      </c>
      <c r="I1444" s="16">
        <f t="shared" si="72"/>
        <v>0</v>
      </c>
      <c r="J1444" s="31">
        <v>109362</v>
      </c>
      <c r="K1444" s="69">
        <f t="shared" si="85"/>
        <v>0</v>
      </c>
      <c r="L1444" s="50"/>
      <c r="M1444" s="109"/>
      <c r="N1444" s="110">
        <v>0.9</v>
      </c>
    </row>
    <row r="1445" spans="1:14" ht="15" hidden="1" customHeight="1" thickBot="1" x14ac:dyDescent="0.35">
      <c r="A1445" s="20">
        <v>235</v>
      </c>
      <c r="B1445" s="14" t="s">
        <v>874</v>
      </c>
      <c r="C1445" s="20" t="s">
        <v>837</v>
      </c>
      <c r="D1445" s="14" t="s">
        <v>1105</v>
      </c>
      <c r="E1445" s="15" t="s">
        <v>504</v>
      </c>
      <c r="F1445" s="15">
        <v>5</v>
      </c>
      <c r="G1445" s="16">
        <f t="shared" si="84"/>
        <v>106987.5</v>
      </c>
      <c r="H1445" s="16">
        <v>106987.5</v>
      </c>
      <c r="I1445" s="16">
        <f t="shared" si="72"/>
        <v>0</v>
      </c>
      <c r="J1445" s="31">
        <v>106987.5</v>
      </c>
      <c r="K1445" s="69">
        <f t="shared" si="85"/>
        <v>0</v>
      </c>
      <c r="L1445" s="50"/>
      <c r="M1445" s="109"/>
      <c r="N1445" s="110">
        <v>0.9</v>
      </c>
    </row>
    <row r="1446" spans="1:14" ht="15" hidden="1" customHeight="1" thickBot="1" x14ac:dyDescent="0.35">
      <c r="A1446" s="20">
        <v>235</v>
      </c>
      <c r="B1446" s="14" t="s">
        <v>874</v>
      </c>
      <c r="C1446" s="20" t="s">
        <v>837</v>
      </c>
      <c r="D1446" s="14" t="s">
        <v>622</v>
      </c>
      <c r="E1446" s="15" t="s">
        <v>502</v>
      </c>
      <c r="F1446" s="15">
        <v>9</v>
      </c>
      <c r="G1446" s="16">
        <f t="shared" si="84"/>
        <v>96730</v>
      </c>
      <c r="H1446" s="16">
        <v>97480</v>
      </c>
      <c r="I1446" s="16">
        <f t="shared" si="72"/>
        <v>0</v>
      </c>
      <c r="J1446" s="31">
        <v>97480</v>
      </c>
      <c r="K1446" s="69">
        <f t="shared" si="85"/>
        <v>0</v>
      </c>
      <c r="L1446" s="50">
        <v>750</v>
      </c>
      <c r="M1446" s="109">
        <v>750</v>
      </c>
      <c r="N1446" s="110">
        <v>0.95</v>
      </c>
    </row>
    <row r="1447" spans="1:14" ht="15" hidden="1" customHeight="1" thickBot="1" x14ac:dyDescent="0.35">
      <c r="A1447" s="20">
        <v>235</v>
      </c>
      <c r="B1447" s="14" t="s">
        <v>874</v>
      </c>
      <c r="C1447" s="14" t="s">
        <v>1552</v>
      </c>
      <c r="D1447" s="14" t="s">
        <v>638</v>
      </c>
      <c r="E1447" s="15" t="s">
        <v>504</v>
      </c>
      <c r="F1447" s="15">
        <v>1</v>
      </c>
      <c r="G1447" s="16">
        <f t="shared" si="84"/>
        <v>13689</v>
      </c>
      <c r="H1447" s="16">
        <v>13689</v>
      </c>
      <c r="I1447" s="16">
        <f t="shared" si="72"/>
        <v>0</v>
      </c>
      <c r="J1447" s="31">
        <v>13689</v>
      </c>
      <c r="K1447" s="69">
        <f t="shared" si="85"/>
        <v>0</v>
      </c>
      <c r="L1447" s="50">
        <v>0</v>
      </c>
      <c r="M1447" s="109">
        <v>0</v>
      </c>
      <c r="N1447" s="110" t="s">
        <v>1553</v>
      </c>
    </row>
    <row r="1448" spans="1:14" ht="15" hidden="1" thickBot="1" x14ac:dyDescent="0.35">
      <c r="A1448" s="14">
        <v>236</v>
      </c>
      <c r="B1448" s="14" t="s">
        <v>877</v>
      </c>
      <c r="C1448" s="19" t="s">
        <v>648</v>
      </c>
      <c r="D1448" s="14" t="s">
        <v>513</v>
      </c>
      <c r="E1448" s="15" t="s">
        <v>546</v>
      </c>
      <c r="F1448" s="15">
        <v>2</v>
      </c>
      <c r="G1448" s="16">
        <f t="shared" si="84"/>
        <v>13608</v>
      </c>
      <c r="H1448" s="16">
        <v>13608</v>
      </c>
      <c r="I1448" s="16">
        <f t="shared" si="72"/>
        <v>0</v>
      </c>
      <c r="J1448" s="31">
        <v>13608</v>
      </c>
      <c r="K1448" s="69">
        <f t="shared" si="85"/>
        <v>0</v>
      </c>
      <c r="L1448" s="50"/>
      <c r="M1448" s="109"/>
      <c r="N1448" s="110"/>
    </row>
    <row r="1449" spans="1:14" ht="15" hidden="1" thickBot="1" x14ac:dyDescent="0.35">
      <c r="A1449" s="14">
        <v>236</v>
      </c>
      <c r="B1449" s="14" t="s">
        <v>877</v>
      </c>
      <c r="C1449" s="14" t="s">
        <v>730</v>
      </c>
      <c r="D1449" s="14" t="s">
        <v>513</v>
      </c>
      <c r="E1449" s="15" t="s">
        <v>546</v>
      </c>
      <c r="F1449" s="15">
        <v>6</v>
      </c>
      <c r="G1449" s="16">
        <f t="shared" si="84"/>
        <v>11619</v>
      </c>
      <c r="H1449" s="16">
        <v>12099</v>
      </c>
      <c r="I1449" s="16">
        <f t="shared" si="72"/>
        <v>0</v>
      </c>
      <c r="J1449" s="31">
        <v>12099</v>
      </c>
      <c r="K1449" s="69">
        <f t="shared" si="85"/>
        <v>0</v>
      </c>
      <c r="L1449" s="50">
        <v>480</v>
      </c>
      <c r="M1449" s="109">
        <v>480</v>
      </c>
      <c r="N1449" s="110"/>
    </row>
    <row r="1450" spans="1:14" ht="15" hidden="1" thickBot="1" x14ac:dyDescent="0.35">
      <c r="A1450" s="14">
        <v>237</v>
      </c>
      <c r="B1450" s="14" t="s">
        <v>878</v>
      </c>
      <c r="C1450" s="15" t="s">
        <v>719</v>
      </c>
      <c r="D1450" s="14" t="s">
        <v>510</v>
      </c>
      <c r="E1450" s="15" t="s">
        <v>503</v>
      </c>
      <c r="F1450" s="15">
        <v>5</v>
      </c>
      <c r="G1450" s="16">
        <f t="shared" si="84"/>
        <v>20340</v>
      </c>
      <c r="H1450" s="16">
        <v>20610</v>
      </c>
      <c r="I1450" s="16">
        <f t="shared" ref="I1450:I1522" si="86">J1450-H1450</f>
        <v>0</v>
      </c>
      <c r="J1450" s="31">
        <v>20610</v>
      </c>
      <c r="K1450" s="69">
        <f t="shared" si="85"/>
        <v>0</v>
      </c>
      <c r="L1450" s="50">
        <v>270</v>
      </c>
      <c r="M1450" s="109">
        <v>270</v>
      </c>
      <c r="N1450" s="110"/>
    </row>
    <row r="1451" spans="1:14" ht="15" hidden="1" thickBot="1" x14ac:dyDescent="0.35">
      <c r="A1451" s="14">
        <v>237</v>
      </c>
      <c r="B1451" s="14" t="s">
        <v>878</v>
      </c>
      <c r="C1451" s="15" t="s">
        <v>719</v>
      </c>
      <c r="D1451" s="14" t="s">
        <v>614</v>
      </c>
      <c r="E1451" s="15" t="s">
        <v>503</v>
      </c>
      <c r="F1451" s="15">
        <v>3</v>
      </c>
      <c r="G1451" s="16">
        <f t="shared" si="84"/>
        <v>9072</v>
      </c>
      <c r="H1451" s="16">
        <v>9072</v>
      </c>
      <c r="I1451" s="16">
        <f t="shared" si="86"/>
        <v>0</v>
      </c>
      <c r="J1451" s="31">
        <v>9072</v>
      </c>
      <c r="K1451" s="69">
        <f t="shared" si="85"/>
        <v>0</v>
      </c>
      <c r="L1451" s="50"/>
      <c r="M1451" s="109"/>
      <c r="N1451" s="110"/>
    </row>
    <row r="1452" spans="1:14" ht="15" hidden="1" customHeight="1" thickBot="1" x14ac:dyDescent="0.35">
      <c r="A1452" s="14">
        <v>238</v>
      </c>
      <c r="B1452" s="14" t="s">
        <v>879</v>
      </c>
      <c r="C1452" s="15" t="s">
        <v>276</v>
      </c>
      <c r="D1452" s="14" t="s">
        <v>497</v>
      </c>
      <c r="E1452" s="15" t="s">
        <v>14</v>
      </c>
      <c r="F1452" s="15">
        <v>5</v>
      </c>
      <c r="G1452" s="16">
        <f t="shared" si="84"/>
        <v>237487</v>
      </c>
      <c r="H1452" s="16">
        <v>237487</v>
      </c>
      <c r="I1452" s="16">
        <f t="shared" si="86"/>
        <v>0</v>
      </c>
      <c r="J1452" s="31">
        <v>237487</v>
      </c>
      <c r="K1452" s="69">
        <f t="shared" si="85"/>
        <v>0</v>
      </c>
      <c r="L1452" s="50"/>
      <c r="M1452" s="109"/>
      <c r="N1452" s="110"/>
    </row>
    <row r="1453" spans="1:14" ht="15" hidden="1" thickBot="1" x14ac:dyDescent="0.35">
      <c r="A1453" s="14">
        <v>239</v>
      </c>
      <c r="B1453" s="14" t="s">
        <v>880</v>
      </c>
      <c r="C1453" s="14" t="s">
        <v>602</v>
      </c>
      <c r="D1453" s="14" t="s">
        <v>511</v>
      </c>
      <c r="E1453" s="15" t="s">
        <v>503</v>
      </c>
      <c r="F1453" s="15">
        <v>1</v>
      </c>
      <c r="G1453" s="16">
        <f t="shared" si="84"/>
        <v>1159</v>
      </c>
      <c r="H1453" s="16">
        <v>1159</v>
      </c>
      <c r="I1453" s="16">
        <f t="shared" si="86"/>
        <v>0</v>
      </c>
      <c r="J1453" s="31">
        <v>1159</v>
      </c>
      <c r="K1453" s="69">
        <f t="shared" si="85"/>
        <v>0</v>
      </c>
      <c r="L1453" s="50"/>
      <c r="M1453" s="109"/>
      <c r="N1453" s="110"/>
    </row>
    <row r="1454" spans="1:14" ht="15" hidden="1" thickBot="1" x14ac:dyDescent="0.35">
      <c r="A1454" s="20">
        <v>240</v>
      </c>
      <c r="B1454" s="14" t="s">
        <v>881</v>
      </c>
      <c r="C1454" s="20" t="s">
        <v>602</v>
      </c>
      <c r="D1454" s="14" t="s">
        <v>1043</v>
      </c>
      <c r="E1454" s="15" t="s">
        <v>500</v>
      </c>
      <c r="F1454" s="15">
        <v>10</v>
      </c>
      <c r="G1454" s="16">
        <f t="shared" si="84"/>
        <v>35657</v>
      </c>
      <c r="H1454" s="16">
        <v>35657</v>
      </c>
      <c r="I1454" s="16">
        <f t="shared" si="86"/>
        <v>0</v>
      </c>
      <c r="J1454" s="31">
        <v>35657</v>
      </c>
      <c r="K1454" s="69">
        <f t="shared" si="85"/>
        <v>0</v>
      </c>
      <c r="L1454" s="50">
        <v>0</v>
      </c>
      <c r="M1454" s="109">
        <v>0</v>
      </c>
      <c r="N1454" s="110" t="s">
        <v>1442</v>
      </c>
    </row>
    <row r="1455" spans="1:14" ht="15" hidden="1" thickBot="1" x14ac:dyDescent="0.35">
      <c r="A1455" s="20">
        <v>240</v>
      </c>
      <c r="B1455" s="14" t="s">
        <v>881</v>
      </c>
      <c r="C1455" s="20" t="s">
        <v>602</v>
      </c>
      <c r="D1455" s="14" t="s">
        <v>1105</v>
      </c>
      <c r="E1455" s="15" t="s">
        <v>504</v>
      </c>
      <c r="F1455" s="15">
        <v>13</v>
      </c>
      <c r="G1455" s="16">
        <f t="shared" si="84"/>
        <v>40780</v>
      </c>
      <c r="H1455" s="16">
        <v>41380</v>
      </c>
      <c r="I1455" s="16">
        <f t="shared" si="86"/>
        <v>0</v>
      </c>
      <c r="J1455" s="31">
        <v>41380</v>
      </c>
      <c r="K1455" s="69">
        <f t="shared" si="85"/>
        <v>0</v>
      </c>
      <c r="L1455" s="50">
        <v>600</v>
      </c>
      <c r="M1455" s="109">
        <v>600</v>
      </c>
      <c r="N1455" s="110" t="s">
        <v>1442</v>
      </c>
    </row>
    <row r="1456" spans="1:14" ht="15" hidden="1" thickBot="1" x14ac:dyDescent="0.35">
      <c r="A1456" s="20">
        <v>240</v>
      </c>
      <c r="B1456" s="14" t="s">
        <v>881</v>
      </c>
      <c r="C1456" s="20" t="s">
        <v>602</v>
      </c>
      <c r="D1456" s="14" t="s">
        <v>548</v>
      </c>
      <c r="E1456" s="15" t="s">
        <v>504</v>
      </c>
      <c r="F1456" s="15">
        <v>7</v>
      </c>
      <c r="G1456" s="16">
        <f t="shared" si="84"/>
        <v>15202</v>
      </c>
      <c r="H1456" s="16">
        <v>16592</v>
      </c>
      <c r="I1456" s="16">
        <f t="shared" si="86"/>
        <v>0</v>
      </c>
      <c r="J1456" s="31">
        <v>16592</v>
      </c>
      <c r="K1456" s="69">
        <f t="shared" si="85"/>
        <v>0</v>
      </c>
      <c r="L1456" s="50">
        <v>1390</v>
      </c>
      <c r="M1456" s="109">
        <v>1390</v>
      </c>
      <c r="N1456" s="110">
        <v>0.97</v>
      </c>
    </row>
    <row r="1457" spans="1:14" ht="15" hidden="1" thickBot="1" x14ac:dyDescent="0.35">
      <c r="A1457" s="20">
        <v>240</v>
      </c>
      <c r="B1457" s="14" t="s">
        <v>881</v>
      </c>
      <c r="C1457" s="20" t="s">
        <v>602</v>
      </c>
      <c r="D1457" s="14" t="s">
        <v>510</v>
      </c>
      <c r="E1457" s="15" t="s">
        <v>504</v>
      </c>
      <c r="F1457" s="15">
        <v>8</v>
      </c>
      <c r="G1457" s="16">
        <f t="shared" si="84"/>
        <v>17238</v>
      </c>
      <c r="H1457" s="16">
        <v>17528</v>
      </c>
      <c r="I1457" s="16">
        <f t="shared" si="86"/>
        <v>0</v>
      </c>
      <c r="J1457" s="31">
        <v>17528</v>
      </c>
      <c r="K1457" s="69">
        <f t="shared" si="85"/>
        <v>0</v>
      </c>
      <c r="L1457" s="50">
        <v>290</v>
      </c>
      <c r="M1457" s="109">
        <v>290</v>
      </c>
      <c r="N1457" s="110" t="s">
        <v>1671</v>
      </c>
    </row>
    <row r="1458" spans="1:14" ht="15" hidden="1" thickBot="1" x14ac:dyDescent="0.35">
      <c r="A1458" s="20">
        <v>240</v>
      </c>
      <c r="B1458" s="14" t="s">
        <v>881</v>
      </c>
      <c r="C1458" s="14" t="s">
        <v>643</v>
      </c>
      <c r="D1458" s="14" t="s">
        <v>510</v>
      </c>
      <c r="E1458" s="15" t="s">
        <v>504</v>
      </c>
      <c r="F1458" s="15">
        <v>10</v>
      </c>
      <c r="G1458" s="16">
        <f t="shared" si="84"/>
        <v>39212.589999999997</v>
      </c>
      <c r="H1458" s="16">
        <v>39332.589999999997</v>
      </c>
      <c r="I1458" s="16">
        <f t="shared" si="86"/>
        <v>0</v>
      </c>
      <c r="J1458" s="31">
        <v>39332.589999999997</v>
      </c>
      <c r="K1458" s="69">
        <f t="shared" si="85"/>
        <v>0</v>
      </c>
      <c r="L1458" s="50">
        <v>120</v>
      </c>
      <c r="M1458" s="109">
        <v>120</v>
      </c>
      <c r="N1458" s="110">
        <v>0.93</v>
      </c>
    </row>
    <row r="1459" spans="1:14" ht="15" hidden="1" thickBot="1" x14ac:dyDescent="0.35">
      <c r="A1459" s="20">
        <v>240</v>
      </c>
      <c r="B1459" s="14" t="s">
        <v>881</v>
      </c>
      <c r="C1459" s="14" t="s">
        <v>643</v>
      </c>
      <c r="D1459" s="14" t="s">
        <v>614</v>
      </c>
      <c r="E1459" s="15" t="s">
        <v>504</v>
      </c>
      <c r="F1459" s="15">
        <v>11</v>
      </c>
      <c r="G1459" s="16">
        <f t="shared" si="84"/>
        <v>94042.59</v>
      </c>
      <c r="H1459" s="16">
        <v>94042.59</v>
      </c>
      <c r="I1459" s="16">
        <f t="shared" si="86"/>
        <v>0</v>
      </c>
      <c r="J1459" s="31">
        <v>94042.59</v>
      </c>
      <c r="K1459" s="69">
        <f t="shared" si="85"/>
        <v>0</v>
      </c>
      <c r="L1459" s="50"/>
      <c r="M1459" s="109"/>
      <c r="N1459" s="110"/>
    </row>
    <row r="1460" spans="1:14" ht="15" hidden="1" thickBot="1" x14ac:dyDescent="0.35">
      <c r="A1460" s="14">
        <v>241</v>
      </c>
      <c r="B1460" s="14" t="s">
        <v>801</v>
      </c>
      <c r="C1460" s="14" t="s">
        <v>940</v>
      </c>
      <c r="D1460" s="14" t="s">
        <v>882</v>
      </c>
      <c r="E1460" s="15" t="s">
        <v>500</v>
      </c>
      <c r="F1460" s="15">
        <v>4</v>
      </c>
      <c r="G1460" s="16">
        <f t="shared" si="84"/>
        <v>7260</v>
      </c>
      <c r="H1460" s="16">
        <v>7500</v>
      </c>
      <c r="I1460" s="16">
        <f t="shared" si="86"/>
        <v>0</v>
      </c>
      <c r="J1460" s="31">
        <v>7500</v>
      </c>
      <c r="K1460" s="69">
        <f t="shared" si="85"/>
        <v>0</v>
      </c>
      <c r="L1460" s="50">
        <v>240</v>
      </c>
      <c r="M1460" s="109">
        <v>240</v>
      </c>
      <c r="N1460" s="110">
        <v>1</v>
      </c>
    </row>
    <row r="1461" spans="1:14" ht="15" hidden="1" thickBot="1" x14ac:dyDescent="0.35">
      <c r="A1461" s="14">
        <v>242</v>
      </c>
      <c r="B1461" s="14" t="s">
        <v>883</v>
      </c>
      <c r="C1461" s="14" t="s">
        <v>837</v>
      </c>
      <c r="D1461" s="14" t="s">
        <v>505</v>
      </c>
      <c r="E1461" s="15" t="s">
        <v>504</v>
      </c>
      <c r="F1461" s="15">
        <v>5</v>
      </c>
      <c r="G1461" s="16">
        <f t="shared" si="84"/>
        <v>78433</v>
      </c>
      <c r="H1461" s="16">
        <v>79033</v>
      </c>
      <c r="I1461" s="16">
        <f t="shared" si="86"/>
        <v>0</v>
      </c>
      <c r="J1461" s="31">
        <v>79033</v>
      </c>
      <c r="K1461" s="69">
        <f t="shared" si="85"/>
        <v>0</v>
      </c>
      <c r="L1461" s="50">
        <v>600</v>
      </c>
      <c r="M1461" s="109">
        <v>600</v>
      </c>
      <c r="N1461" s="110">
        <v>0.90500000000000003</v>
      </c>
    </row>
    <row r="1462" spans="1:14" ht="15" hidden="1" thickBot="1" x14ac:dyDescent="0.35">
      <c r="A1462" s="14">
        <v>242</v>
      </c>
      <c r="B1462" s="14" t="s">
        <v>883</v>
      </c>
      <c r="C1462" s="14" t="s">
        <v>837</v>
      </c>
      <c r="D1462" s="14" t="s">
        <v>507</v>
      </c>
      <c r="E1462" s="15" t="s">
        <v>504</v>
      </c>
      <c r="F1462" s="15">
        <v>3</v>
      </c>
      <c r="G1462" s="16">
        <f t="shared" si="84"/>
        <v>16248</v>
      </c>
      <c r="H1462" s="16">
        <v>17148</v>
      </c>
      <c r="I1462" s="16">
        <f t="shared" si="86"/>
        <v>0</v>
      </c>
      <c r="J1462" s="31">
        <v>17148</v>
      </c>
      <c r="K1462" s="69">
        <f t="shared" si="85"/>
        <v>0</v>
      </c>
      <c r="L1462" s="50">
        <v>900</v>
      </c>
      <c r="M1462" s="109">
        <v>900</v>
      </c>
      <c r="N1462" s="110">
        <v>0.95</v>
      </c>
    </row>
    <row r="1463" spans="1:14" ht="15" hidden="1" thickBot="1" x14ac:dyDescent="0.35">
      <c r="A1463" s="14">
        <v>242</v>
      </c>
      <c r="B1463" s="14" t="s">
        <v>883</v>
      </c>
      <c r="C1463" s="14" t="s">
        <v>837</v>
      </c>
      <c r="D1463" s="14" t="s">
        <v>510</v>
      </c>
      <c r="E1463" s="15" t="s">
        <v>504</v>
      </c>
      <c r="F1463" s="15">
        <v>3</v>
      </c>
      <c r="G1463" s="16">
        <f t="shared" si="84"/>
        <v>20179.8</v>
      </c>
      <c r="H1463" s="16">
        <v>20179.8</v>
      </c>
      <c r="I1463" s="16">
        <f t="shared" si="86"/>
        <v>0</v>
      </c>
      <c r="J1463" s="31">
        <v>20179.8</v>
      </c>
      <c r="K1463" s="69">
        <f t="shared" si="85"/>
        <v>0</v>
      </c>
      <c r="L1463" s="50"/>
      <c r="M1463" s="109"/>
      <c r="N1463" s="110"/>
    </row>
    <row r="1464" spans="1:14" ht="15" hidden="1" thickBot="1" x14ac:dyDescent="0.35">
      <c r="A1464" s="14">
        <v>242</v>
      </c>
      <c r="B1464" s="14" t="s">
        <v>883</v>
      </c>
      <c r="C1464" s="14" t="s">
        <v>837</v>
      </c>
      <c r="D1464" s="14" t="s">
        <v>614</v>
      </c>
      <c r="E1464" s="15" t="s">
        <v>500</v>
      </c>
      <c r="F1464" s="15">
        <v>4</v>
      </c>
      <c r="G1464" s="16">
        <f t="shared" si="84"/>
        <v>30149</v>
      </c>
      <c r="H1464" s="16">
        <v>30269</v>
      </c>
      <c r="I1464" s="16">
        <f t="shared" si="86"/>
        <v>0</v>
      </c>
      <c r="J1464" s="31">
        <v>30269</v>
      </c>
      <c r="K1464" s="69">
        <f t="shared" si="85"/>
        <v>0</v>
      </c>
      <c r="L1464" s="50">
        <v>120</v>
      </c>
      <c r="M1464" s="109">
        <v>120</v>
      </c>
      <c r="N1464" s="110">
        <v>0.9</v>
      </c>
    </row>
    <row r="1465" spans="1:14" ht="15" hidden="1" thickBot="1" x14ac:dyDescent="0.35">
      <c r="A1465" s="14">
        <v>242</v>
      </c>
      <c r="B1465" s="14" t="s">
        <v>883</v>
      </c>
      <c r="C1465" s="14" t="s">
        <v>837</v>
      </c>
      <c r="D1465" s="14" t="s">
        <v>510</v>
      </c>
      <c r="E1465" s="15" t="s">
        <v>500</v>
      </c>
      <c r="F1465" s="15">
        <v>4</v>
      </c>
      <c r="G1465" s="16">
        <f t="shared" si="84"/>
        <v>60450</v>
      </c>
      <c r="H1465" s="16">
        <v>60690</v>
      </c>
      <c r="I1465" s="16">
        <f t="shared" si="86"/>
        <v>0</v>
      </c>
      <c r="J1465" s="31">
        <v>60690</v>
      </c>
      <c r="K1465" s="69">
        <f t="shared" si="85"/>
        <v>0</v>
      </c>
      <c r="L1465" s="50">
        <v>240</v>
      </c>
      <c r="M1465" s="109">
        <v>240</v>
      </c>
      <c r="N1465" s="110">
        <v>0.90500000000000003</v>
      </c>
    </row>
    <row r="1466" spans="1:14" ht="15" hidden="1" thickBot="1" x14ac:dyDescent="0.35">
      <c r="A1466" s="14">
        <v>242</v>
      </c>
      <c r="B1466" s="14" t="s">
        <v>883</v>
      </c>
      <c r="C1466" s="14" t="s">
        <v>837</v>
      </c>
      <c r="D1466" s="14" t="s">
        <v>510</v>
      </c>
      <c r="E1466" s="15" t="s">
        <v>512</v>
      </c>
      <c r="F1466" s="15">
        <v>5</v>
      </c>
      <c r="G1466" s="16">
        <f t="shared" si="84"/>
        <v>56378.2</v>
      </c>
      <c r="H1466" s="16">
        <v>57058.2</v>
      </c>
      <c r="I1466" s="16">
        <f t="shared" si="86"/>
        <v>0</v>
      </c>
      <c r="J1466" s="31">
        <v>57058.2</v>
      </c>
      <c r="K1466" s="69">
        <f t="shared" si="85"/>
        <v>0</v>
      </c>
      <c r="L1466" s="50">
        <v>680</v>
      </c>
      <c r="M1466" s="109">
        <v>680</v>
      </c>
      <c r="N1466" s="110">
        <v>0.9</v>
      </c>
    </row>
    <row r="1467" spans="1:14" ht="15" hidden="1" thickBot="1" x14ac:dyDescent="0.35">
      <c r="A1467" s="14">
        <v>242</v>
      </c>
      <c r="B1467" s="14" t="s">
        <v>883</v>
      </c>
      <c r="C1467" s="14" t="s">
        <v>837</v>
      </c>
      <c r="D1467" s="14" t="s">
        <v>614</v>
      </c>
      <c r="E1467" s="15" t="s">
        <v>512</v>
      </c>
      <c r="F1467" s="15">
        <v>6</v>
      </c>
      <c r="G1467" s="16">
        <f t="shared" si="84"/>
        <v>60738</v>
      </c>
      <c r="H1467" s="16">
        <v>61418</v>
      </c>
      <c r="I1467" s="16">
        <f t="shared" si="86"/>
        <v>0</v>
      </c>
      <c r="J1467" s="31">
        <v>61418</v>
      </c>
      <c r="K1467" s="69">
        <f t="shared" si="85"/>
        <v>0</v>
      </c>
      <c r="L1467" s="50">
        <v>680</v>
      </c>
      <c r="M1467" s="109">
        <v>680</v>
      </c>
      <c r="N1467" s="110">
        <v>0.9</v>
      </c>
    </row>
    <row r="1468" spans="1:14" ht="15" hidden="1" thickBot="1" x14ac:dyDescent="0.35">
      <c r="A1468" s="14">
        <v>242</v>
      </c>
      <c r="B1468" s="14" t="s">
        <v>883</v>
      </c>
      <c r="C1468" s="14" t="s">
        <v>837</v>
      </c>
      <c r="D1468" s="14" t="s">
        <v>510</v>
      </c>
      <c r="E1468" s="15" t="s">
        <v>509</v>
      </c>
      <c r="F1468" s="15">
        <v>3</v>
      </c>
      <c r="G1468" s="16">
        <f t="shared" si="84"/>
        <v>57715</v>
      </c>
      <c r="H1468" s="16">
        <v>57715</v>
      </c>
      <c r="I1468" s="16">
        <f t="shared" si="86"/>
        <v>0</v>
      </c>
      <c r="J1468" s="31">
        <v>57715</v>
      </c>
      <c r="K1468" s="69">
        <f t="shared" si="85"/>
        <v>0</v>
      </c>
      <c r="L1468" s="50"/>
      <c r="M1468" s="109"/>
      <c r="N1468" s="110"/>
    </row>
    <row r="1469" spans="1:14" ht="15" hidden="1" thickBot="1" x14ac:dyDescent="0.35">
      <c r="A1469" s="14">
        <v>242</v>
      </c>
      <c r="B1469" s="14" t="s">
        <v>883</v>
      </c>
      <c r="C1469" s="14" t="s">
        <v>837</v>
      </c>
      <c r="D1469" s="14" t="s">
        <v>614</v>
      </c>
      <c r="E1469" s="15" t="s">
        <v>504</v>
      </c>
      <c r="F1469" s="15">
        <v>5</v>
      </c>
      <c r="G1469" s="16">
        <f t="shared" si="84"/>
        <v>30643</v>
      </c>
      <c r="H1469" s="16">
        <v>30643</v>
      </c>
      <c r="I1469" s="16">
        <f t="shared" si="86"/>
        <v>0</v>
      </c>
      <c r="J1469" s="31">
        <v>30643</v>
      </c>
      <c r="K1469" s="69">
        <f t="shared" si="85"/>
        <v>0</v>
      </c>
      <c r="L1469" s="50"/>
      <c r="M1469" s="109"/>
      <c r="N1469" s="110"/>
    </row>
    <row r="1470" spans="1:14" ht="15" hidden="1" thickBot="1" x14ac:dyDescent="0.35">
      <c r="A1470" s="14">
        <v>242</v>
      </c>
      <c r="B1470" s="14" t="s">
        <v>883</v>
      </c>
      <c r="C1470" s="14" t="s">
        <v>837</v>
      </c>
      <c r="D1470" s="14" t="s">
        <v>548</v>
      </c>
      <c r="E1470" s="15" t="s">
        <v>504</v>
      </c>
      <c r="F1470" s="15">
        <v>6</v>
      </c>
      <c r="G1470" s="16">
        <f t="shared" si="84"/>
        <v>111506</v>
      </c>
      <c r="H1470" s="16">
        <v>113546</v>
      </c>
      <c r="I1470" s="16">
        <f t="shared" si="86"/>
        <v>0</v>
      </c>
      <c r="J1470" s="31">
        <v>113546</v>
      </c>
      <c r="K1470" s="69">
        <f t="shared" si="85"/>
        <v>0</v>
      </c>
      <c r="L1470" s="50">
        <v>2040</v>
      </c>
      <c r="M1470" s="109">
        <v>2040</v>
      </c>
      <c r="N1470" s="110">
        <v>0.91500000000000004</v>
      </c>
    </row>
    <row r="1471" spans="1:14" ht="15" hidden="1" thickBot="1" x14ac:dyDescent="0.35">
      <c r="A1471" s="14">
        <v>242</v>
      </c>
      <c r="B1471" s="14" t="s">
        <v>883</v>
      </c>
      <c r="C1471" s="14" t="s">
        <v>837</v>
      </c>
      <c r="D1471" s="14" t="s">
        <v>614</v>
      </c>
      <c r="E1471" s="15" t="s">
        <v>509</v>
      </c>
      <c r="F1471" s="15">
        <v>6</v>
      </c>
      <c r="G1471" s="16">
        <f t="shared" si="84"/>
        <v>50271</v>
      </c>
      <c r="H1471" s="16">
        <v>50571</v>
      </c>
      <c r="I1471" s="16">
        <f t="shared" si="86"/>
        <v>0</v>
      </c>
      <c r="J1471" s="31">
        <v>50571</v>
      </c>
      <c r="K1471" s="69">
        <f t="shared" si="85"/>
        <v>0</v>
      </c>
      <c r="L1471" s="50">
        <v>300</v>
      </c>
      <c r="M1471" s="109">
        <v>300</v>
      </c>
      <c r="N1471" s="110">
        <v>0.90500000000000003</v>
      </c>
    </row>
    <row r="1472" spans="1:14" ht="15" hidden="1" thickBot="1" x14ac:dyDescent="0.35">
      <c r="A1472" s="14">
        <v>242</v>
      </c>
      <c r="B1472" s="14" t="s">
        <v>883</v>
      </c>
      <c r="C1472" s="14" t="s">
        <v>837</v>
      </c>
      <c r="D1472" s="14" t="s">
        <v>513</v>
      </c>
      <c r="E1472" s="15" t="s">
        <v>546</v>
      </c>
      <c r="F1472" s="15">
        <v>5</v>
      </c>
      <c r="G1472" s="16">
        <f t="shared" si="84"/>
        <v>64662.9</v>
      </c>
      <c r="H1472" s="16">
        <v>64962.9</v>
      </c>
      <c r="I1472" s="16">
        <f t="shared" si="86"/>
        <v>0</v>
      </c>
      <c r="J1472" s="31">
        <v>64962.9</v>
      </c>
      <c r="K1472" s="69">
        <f t="shared" si="85"/>
        <v>0</v>
      </c>
      <c r="L1472" s="50">
        <v>300</v>
      </c>
      <c r="M1472" s="109">
        <v>300</v>
      </c>
      <c r="N1472" s="110"/>
    </row>
    <row r="1473" spans="1:14" ht="15" hidden="1" thickBot="1" x14ac:dyDescent="0.35">
      <c r="A1473" s="14">
        <v>242</v>
      </c>
      <c r="B1473" s="14" t="s">
        <v>883</v>
      </c>
      <c r="C1473" s="14" t="s">
        <v>837</v>
      </c>
      <c r="D1473" s="14" t="s">
        <v>980</v>
      </c>
      <c r="E1473" s="15" t="s">
        <v>503</v>
      </c>
      <c r="F1473" s="15">
        <v>1</v>
      </c>
      <c r="G1473" s="16">
        <f t="shared" si="84"/>
        <v>24269</v>
      </c>
      <c r="H1473" s="16">
        <v>24269</v>
      </c>
      <c r="I1473" s="16">
        <f t="shared" si="86"/>
        <v>0</v>
      </c>
      <c r="J1473" s="31">
        <v>24269</v>
      </c>
      <c r="K1473" s="69">
        <f t="shared" si="85"/>
        <v>0</v>
      </c>
      <c r="L1473" s="50">
        <v>0</v>
      </c>
      <c r="M1473" s="109">
        <v>0</v>
      </c>
      <c r="N1473" s="110">
        <v>0.8</v>
      </c>
    </row>
    <row r="1474" spans="1:14" ht="15" hidden="1" thickBot="1" x14ac:dyDescent="0.35">
      <c r="A1474" s="14">
        <v>243</v>
      </c>
      <c r="B1474" s="14" t="s">
        <v>884</v>
      </c>
      <c r="C1474" s="14" t="s">
        <v>730</v>
      </c>
      <c r="D1474" s="14" t="s">
        <v>614</v>
      </c>
      <c r="E1474" s="15" t="s">
        <v>512</v>
      </c>
      <c r="F1474" s="15">
        <v>7</v>
      </c>
      <c r="G1474" s="16">
        <f t="shared" si="84"/>
        <v>23918</v>
      </c>
      <c r="H1474" s="16">
        <v>25568</v>
      </c>
      <c r="I1474" s="16">
        <f t="shared" si="86"/>
        <v>0</v>
      </c>
      <c r="J1474" s="31">
        <v>25568</v>
      </c>
      <c r="K1474" s="69">
        <f t="shared" si="85"/>
        <v>0</v>
      </c>
      <c r="L1474" s="50">
        <v>1650</v>
      </c>
      <c r="M1474" s="109">
        <v>1650</v>
      </c>
      <c r="N1474" s="110"/>
    </row>
    <row r="1475" spans="1:14" ht="15" hidden="1" thickBot="1" x14ac:dyDescent="0.35">
      <c r="A1475" s="14">
        <v>243</v>
      </c>
      <c r="B1475" s="14" t="s">
        <v>884</v>
      </c>
      <c r="C1475" s="14" t="s">
        <v>730</v>
      </c>
      <c r="D1475" s="14" t="s">
        <v>510</v>
      </c>
      <c r="E1475" s="15" t="s">
        <v>512</v>
      </c>
      <c r="F1475" s="15">
        <v>6</v>
      </c>
      <c r="G1475" s="16">
        <f t="shared" si="84"/>
        <v>12603</v>
      </c>
      <c r="H1475" s="16">
        <v>15003</v>
      </c>
      <c r="I1475" s="16">
        <f t="shared" si="86"/>
        <v>0</v>
      </c>
      <c r="J1475" s="31">
        <v>15003</v>
      </c>
      <c r="K1475" s="69">
        <f t="shared" si="85"/>
        <v>0</v>
      </c>
      <c r="L1475" s="50">
        <v>2400</v>
      </c>
      <c r="M1475" s="109">
        <v>2400</v>
      </c>
      <c r="N1475" s="110">
        <v>0.96</v>
      </c>
    </row>
    <row r="1476" spans="1:14" ht="15" hidden="1" thickBot="1" x14ac:dyDescent="0.35">
      <c r="A1476" s="14">
        <v>243</v>
      </c>
      <c r="B1476" s="14" t="s">
        <v>884</v>
      </c>
      <c r="C1476" s="14" t="s">
        <v>730</v>
      </c>
      <c r="D1476" s="14" t="s">
        <v>505</v>
      </c>
      <c r="E1476" s="15" t="s">
        <v>504</v>
      </c>
      <c r="F1476" s="15">
        <v>8</v>
      </c>
      <c r="G1476" s="16">
        <f t="shared" si="84"/>
        <v>7534.5</v>
      </c>
      <c r="H1476" s="16">
        <v>9094.5</v>
      </c>
      <c r="I1476" s="16">
        <f t="shared" si="86"/>
        <v>0</v>
      </c>
      <c r="J1476" s="31">
        <v>9094.5</v>
      </c>
      <c r="K1476" s="69">
        <f t="shared" si="85"/>
        <v>0</v>
      </c>
      <c r="L1476" s="50">
        <v>1560</v>
      </c>
      <c r="M1476" s="109">
        <v>1560</v>
      </c>
      <c r="N1476" s="110"/>
    </row>
    <row r="1477" spans="1:14" ht="15" hidden="1" thickBot="1" x14ac:dyDescent="0.35">
      <c r="A1477" s="14">
        <v>244</v>
      </c>
      <c r="B1477" s="14" t="s">
        <v>885</v>
      </c>
      <c r="C1477" s="14" t="s">
        <v>886</v>
      </c>
      <c r="D1477" s="14" t="s">
        <v>497</v>
      </c>
      <c r="E1477" s="15" t="s">
        <v>14</v>
      </c>
      <c r="F1477" s="15">
        <v>1</v>
      </c>
      <c r="G1477" s="16">
        <f t="shared" si="84"/>
        <v>42140</v>
      </c>
      <c r="H1477" s="16">
        <v>42140</v>
      </c>
      <c r="I1477" s="16">
        <f t="shared" si="86"/>
        <v>0</v>
      </c>
      <c r="J1477" s="31">
        <v>42140</v>
      </c>
      <c r="K1477" s="69">
        <f t="shared" si="85"/>
        <v>0</v>
      </c>
      <c r="L1477" s="50"/>
      <c r="M1477" s="109"/>
      <c r="N1477" s="110"/>
    </row>
    <row r="1478" spans="1:14" ht="15" hidden="1" thickBot="1" x14ac:dyDescent="0.35">
      <c r="A1478" s="14">
        <v>245</v>
      </c>
      <c r="B1478" s="14" t="s">
        <v>887</v>
      </c>
      <c r="C1478" s="20" t="s">
        <v>643</v>
      </c>
      <c r="D1478" s="14" t="s">
        <v>614</v>
      </c>
      <c r="E1478" s="15" t="s">
        <v>506</v>
      </c>
      <c r="F1478" s="15">
        <v>9</v>
      </c>
      <c r="G1478" s="16">
        <f t="shared" si="84"/>
        <v>68389</v>
      </c>
      <c r="H1478" s="16">
        <v>68449</v>
      </c>
      <c r="I1478" s="16">
        <f t="shared" si="86"/>
        <v>0</v>
      </c>
      <c r="J1478" s="31">
        <v>68449</v>
      </c>
      <c r="K1478" s="69">
        <f t="shared" si="85"/>
        <v>0</v>
      </c>
      <c r="L1478" s="50">
        <v>60</v>
      </c>
      <c r="M1478" s="109">
        <v>60</v>
      </c>
      <c r="N1478" s="110"/>
    </row>
    <row r="1479" spans="1:14" ht="15" hidden="1" thickBot="1" x14ac:dyDescent="0.35">
      <c r="A1479" s="14">
        <v>245</v>
      </c>
      <c r="B1479" s="14" t="s">
        <v>887</v>
      </c>
      <c r="C1479" s="20" t="s">
        <v>643</v>
      </c>
      <c r="D1479" s="14" t="s">
        <v>510</v>
      </c>
      <c r="E1479" s="15" t="s">
        <v>506</v>
      </c>
      <c r="F1479" s="15">
        <v>8</v>
      </c>
      <c r="G1479" s="16">
        <f t="shared" si="84"/>
        <v>38869</v>
      </c>
      <c r="H1479" s="16">
        <v>38929</v>
      </c>
      <c r="I1479" s="16">
        <f t="shared" si="86"/>
        <v>0</v>
      </c>
      <c r="J1479" s="31">
        <v>38929</v>
      </c>
      <c r="K1479" s="69">
        <f t="shared" si="85"/>
        <v>0</v>
      </c>
      <c r="L1479" s="50">
        <v>60</v>
      </c>
      <c r="M1479" s="109">
        <v>60</v>
      </c>
      <c r="N1479" s="110"/>
    </row>
    <row r="1480" spans="1:14" ht="15" hidden="1" thickBot="1" x14ac:dyDescent="0.35">
      <c r="A1480" s="14">
        <v>246</v>
      </c>
      <c r="B1480" s="14" t="s">
        <v>888</v>
      </c>
      <c r="C1480" s="14" t="s">
        <v>889</v>
      </c>
      <c r="D1480" s="14" t="s">
        <v>497</v>
      </c>
      <c r="E1480" s="15" t="s">
        <v>14</v>
      </c>
      <c r="F1480" s="15">
        <v>3</v>
      </c>
      <c r="G1480" s="16">
        <f t="shared" si="84"/>
        <v>540308.19999999995</v>
      </c>
      <c r="H1480" s="16">
        <v>540308.19999999995</v>
      </c>
      <c r="I1480" s="16">
        <f>J1480-H1480</f>
        <v>0</v>
      </c>
      <c r="J1480" s="31">
        <v>540308.19999999995</v>
      </c>
      <c r="K1480" s="69">
        <f t="shared" si="85"/>
        <v>0</v>
      </c>
      <c r="L1480" s="50"/>
      <c r="M1480" s="109"/>
      <c r="N1480" s="110"/>
    </row>
    <row r="1481" spans="1:14" ht="15" hidden="1" thickBot="1" x14ac:dyDescent="0.35">
      <c r="A1481" s="14">
        <v>247</v>
      </c>
      <c r="B1481" s="14" t="s">
        <v>890</v>
      </c>
      <c r="C1481" s="15" t="s">
        <v>891</v>
      </c>
      <c r="D1481" s="14" t="s">
        <v>510</v>
      </c>
      <c r="E1481" s="15" t="s">
        <v>512</v>
      </c>
      <c r="F1481" s="15">
        <v>7</v>
      </c>
      <c r="G1481" s="16">
        <f t="shared" si="84"/>
        <v>50188</v>
      </c>
      <c r="H1481" s="16">
        <v>50188</v>
      </c>
      <c r="I1481" s="16">
        <f t="shared" si="86"/>
        <v>0</v>
      </c>
      <c r="J1481" s="31">
        <v>50188</v>
      </c>
      <c r="K1481" s="69">
        <f t="shared" si="85"/>
        <v>0</v>
      </c>
      <c r="L1481" s="50"/>
      <c r="M1481" s="109"/>
      <c r="N1481" s="110">
        <v>0.93</v>
      </c>
    </row>
    <row r="1482" spans="1:14" ht="15" hidden="1" thickBot="1" x14ac:dyDescent="0.35">
      <c r="A1482" s="14">
        <v>247</v>
      </c>
      <c r="B1482" s="14" t="s">
        <v>890</v>
      </c>
      <c r="C1482" s="15" t="s">
        <v>891</v>
      </c>
      <c r="D1482" s="14" t="s">
        <v>524</v>
      </c>
      <c r="E1482" s="15" t="s">
        <v>503</v>
      </c>
      <c r="F1482" s="15">
        <v>5</v>
      </c>
      <c r="G1482" s="16">
        <f t="shared" si="84"/>
        <v>39709.014000000003</v>
      </c>
      <c r="H1482" s="16">
        <v>41282.514000000003</v>
      </c>
      <c r="I1482" s="16">
        <f t="shared" si="86"/>
        <v>0</v>
      </c>
      <c r="J1482" s="31">
        <v>41282.514000000003</v>
      </c>
      <c r="K1482" s="69">
        <f t="shared" si="85"/>
        <v>0</v>
      </c>
      <c r="L1482" s="50">
        <v>1573.5</v>
      </c>
      <c r="M1482" s="109">
        <v>1573.5</v>
      </c>
      <c r="N1482" s="110">
        <v>0.93</v>
      </c>
    </row>
    <row r="1483" spans="1:14" ht="15" hidden="1" thickBot="1" x14ac:dyDescent="0.35">
      <c r="A1483" s="14">
        <v>247</v>
      </c>
      <c r="B1483" s="14" t="s">
        <v>890</v>
      </c>
      <c r="C1483" s="15" t="s">
        <v>891</v>
      </c>
      <c r="D1483" s="14" t="s">
        <v>510</v>
      </c>
      <c r="E1483" s="15" t="s">
        <v>503</v>
      </c>
      <c r="F1483" s="15">
        <v>5</v>
      </c>
      <c r="G1483" s="16">
        <f t="shared" si="84"/>
        <v>12585</v>
      </c>
      <c r="H1483" s="16">
        <v>12705</v>
      </c>
      <c r="I1483" s="16">
        <f t="shared" si="86"/>
        <v>0</v>
      </c>
      <c r="J1483" s="31">
        <v>12705</v>
      </c>
      <c r="K1483" s="69">
        <f t="shared" si="85"/>
        <v>0</v>
      </c>
      <c r="L1483" s="50">
        <v>120</v>
      </c>
      <c r="M1483" s="109">
        <f>120</f>
        <v>120</v>
      </c>
      <c r="N1483" s="110">
        <v>0.95</v>
      </c>
    </row>
    <row r="1484" spans="1:14" ht="15" hidden="1" thickBot="1" x14ac:dyDescent="0.35">
      <c r="A1484" s="14">
        <v>247</v>
      </c>
      <c r="B1484" s="14" t="s">
        <v>890</v>
      </c>
      <c r="C1484" s="15" t="s">
        <v>891</v>
      </c>
      <c r="D1484" s="14" t="s">
        <v>1105</v>
      </c>
      <c r="E1484" s="15" t="s">
        <v>504</v>
      </c>
      <c r="F1484" s="15">
        <v>13</v>
      </c>
      <c r="G1484" s="16">
        <f t="shared" si="84"/>
        <v>478388</v>
      </c>
      <c r="H1484" s="16">
        <v>480918</v>
      </c>
      <c r="I1484" s="16">
        <f t="shared" si="86"/>
        <v>0</v>
      </c>
      <c r="J1484" s="31">
        <v>480918</v>
      </c>
      <c r="K1484" s="69">
        <f t="shared" si="85"/>
        <v>0</v>
      </c>
      <c r="L1484" s="50">
        <v>2530</v>
      </c>
      <c r="M1484" s="109">
        <v>2530</v>
      </c>
      <c r="N1484" s="110">
        <v>0.85</v>
      </c>
    </row>
    <row r="1485" spans="1:14" ht="15" hidden="1" thickBot="1" x14ac:dyDescent="0.35">
      <c r="A1485" s="14">
        <v>247</v>
      </c>
      <c r="B1485" s="14" t="s">
        <v>890</v>
      </c>
      <c r="C1485" s="15" t="s">
        <v>891</v>
      </c>
      <c r="D1485" s="14" t="s">
        <v>694</v>
      </c>
      <c r="E1485" s="15" t="s">
        <v>509</v>
      </c>
      <c r="F1485" s="15">
        <v>16</v>
      </c>
      <c r="G1485" s="16">
        <f t="shared" si="84"/>
        <v>484346</v>
      </c>
      <c r="H1485" s="16">
        <v>485226</v>
      </c>
      <c r="I1485" s="16">
        <f t="shared" si="86"/>
        <v>0</v>
      </c>
      <c r="J1485" s="31">
        <v>485226</v>
      </c>
      <c r="K1485" s="69">
        <f t="shared" si="85"/>
        <v>0</v>
      </c>
      <c r="L1485" s="50">
        <v>880</v>
      </c>
      <c r="M1485" s="109">
        <v>880</v>
      </c>
      <c r="N1485" s="110">
        <v>0.9</v>
      </c>
    </row>
    <row r="1486" spans="1:14" ht="15" hidden="1" thickBot="1" x14ac:dyDescent="0.35">
      <c r="A1486" s="14">
        <v>247</v>
      </c>
      <c r="B1486" s="14" t="s">
        <v>890</v>
      </c>
      <c r="C1486" s="15" t="s">
        <v>891</v>
      </c>
      <c r="D1486" s="14" t="s">
        <v>638</v>
      </c>
      <c r="E1486" s="15" t="s">
        <v>504</v>
      </c>
      <c r="F1486" s="15">
        <v>8</v>
      </c>
      <c r="G1486" s="16">
        <f t="shared" si="84"/>
        <v>191907</v>
      </c>
      <c r="H1486" s="16">
        <v>191907</v>
      </c>
      <c r="I1486" s="16">
        <f t="shared" si="86"/>
        <v>0</v>
      </c>
      <c r="J1486" s="31">
        <v>191907</v>
      </c>
      <c r="K1486" s="69">
        <f t="shared" si="85"/>
        <v>0</v>
      </c>
      <c r="L1486" s="50"/>
      <c r="M1486" s="109"/>
      <c r="N1486" s="110">
        <v>0.9</v>
      </c>
    </row>
    <row r="1487" spans="1:14" ht="15" hidden="1" thickBot="1" x14ac:dyDescent="0.35">
      <c r="A1487" s="14">
        <v>247</v>
      </c>
      <c r="B1487" s="14" t="s">
        <v>890</v>
      </c>
      <c r="C1487" s="15" t="s">
        <v>891</v>
      </c>
      <c r="D1487" s="14" t="s">
        <v>618</v>
      </c>
      <c r="E1487" s="15" t="s">
        <v>509</v>
      </c>
      <c r="F1487" s="15">
        <v>16</v>
      </c>
      <c r="G1487" s="16">
        <f t="shared" si="84"/>
        <v>459217</v>
      </c>
      <c r="H1487" s="16">
        <v>459977</v>
      </c>
      <c r="I1487" s="16">
        <f t="shared" si="86"/>
        <v>0</v>
      </c>
      <c r="J1487" s="31">
        <v>459977</v>
      </c>
      <c r="K1487" s="69">
        <f t="shared" si="85"/>
        <v>0</v>
      </c>
      <c r="L1487" s="50">
        <v>760</v>
      </c>
      <c r="M1487" s="109">
        <v>760</v>
      </c>
      <c r="N1487" s="110">
        <v>0.9</v>
      </c>
    </row>
    <row r="1488" spans="1:14" ht="15" hidden="1" thickBot="1" x14ac:dyDescent="0.35">
      <c r="A1488" s="14">
        <v>247</v>
      </c>
      <c r="B1488" s="14" t="s">
        <v>890</v>
      </c>
      <c r="C1488" s="15" t="s">
        <v>891</v>
      </c>
      <c r="D1488" s="14" t="s">
        <v>1102</v>
      </c>
      <c r="E1488" s="15" t="s">
        <v>500</v>
      </c>
      <c r="F1488" s="15">
        <v>6</v>
      </c>
      <c r="G1488" s="16">
        <f t="shared" si="84"/>
        <v>207313</v>
      </c>
      <c r="H1488" s="16">
        <v>207313</v>
      </c>
      <c r="I1488" s="16">
        <f t="shared" si="86"/>
        <v>0</v>
      </c>
      <c r="J1488" s="31">
        <v>207313</v>
      </c>
      <c r="K1488" s="69">
        <f t="shared" si="85"/>
        <v>0</v>
      </c>
      <c r="L1488" s="50">
        <v>0</v>
      </c>
      <c r="M1488" s="109">
        <v>0</v>
      </c>
      <c r="N1488" s="110">
        <v>0.85</v>
      </c>
    </row>
    <row r="1489" spans="1:14" ht="15" hidden="1" thickBot="1" x14ac:dyDescent="0.35">
      <c r="A1489" s="14">
        <v>247</v>
      </c>
      <c r="B1489" s="14" t="s">
        <v>890</v>
      </c>
      <c r="C1489" s="15" t="s">
        <v>891</v>
      </c>
      <c r="D1489" s="14" t="s">
        <v>1043</v>
      </c>
      <c r="E1489" s="15" t="s">
        <v>500</v>
      </c>
      <c r="F1489" s="15">
        <v>4</v>
      </c>
      <c r="G1489" s="16">
        <f t="shared" si="84"/>
        <v>89508</v>
      </c>
      <c r="H1489" s="16">
        <v>89508</v>
      </c>
      <c r="I1489" s="16">
        <f t="shared" si="86"/>
        <v>0</v>
      </c>
      <c r="J1489" s="31">
        <v>89508</v>
      </c>
      <c r="K1489" s="69">
        <f t="shared" si="85"/>
        <v>0</v>
      </c>
      <c r="L1489" s="50">
        <v>0</v>
      </c>
      <c r="M1489" s="109">
        <v>0</v>
      </c>
      <c r="N1489" s="110">
        <v>0.85</v>
      </c>
    </row>
    <row r="1490" spans="1:14" ht="15" hidden="1" thickBot="1" x14ac:dyDescent="0.35">
      <c r="A1490" s="14">
        <v>247</v>
      </c>
      <c r="B1490" s="14" t="s">
        <v>890</v>
      </c>
      <c r="C1490" s="15" t="s">
        <v>891</v>
      </c>
      <c r="D1490" s="14" t="s">
        <v>614</v>
      </c>
      <c r="E1490" s="15" t="s">
        <v>512</v>
      </c>
      <c r="F1490" s="15">
        <v>10</v>
      </c>
      <c r="G1490" s="16">
        <f t="shared" si="84"/>
        <v>320475</v>
      </c>
      <c r="H1490" s="16">
        <v>320625</v>
      </c>
      <c r="I1490" s="16">
        <f t="shared" si="86"/>
        <v>0</v>
      </c>
      <c r="J1490" s="31">
        <v>320625</v>
      </c>
      <c r="K1490" s="69">
        <f t="shared" si="85"/>
        <v>0</v>
      </c>
      <c r="L1490" s="50">
        <v>150</v>
      </c>
      <c r="M1490" s="109">
        <v>150</v>
      </c>
      <c r="N1490" s="110">
        <v>0.95</v>
      </c>
    </row>
    <row r="1491" spans="1:14" ht="15" hidden="1" customHeight="1" thickBot="1" x14ac:dyDescent="0.35">
      <c r="A1491" s="14">
        <v>248</v>
      </c>
      <c r="B1491" s="14" t="s">
        <v>892</v>
      </c>
      <c r="C1491" s="15" t="s">
        <v>1815</v>
      </c>
      <c r="D1491" s="14" t="s">
        <v>497</v>
      </c>
      <c r="E1491" s="15" t="s">
        <v>14</v>
      </c>
      <c r="F1491" s="15">
        <v>1</v>
      </c>
      <c r="G1491" s="16">
        <f t="shared" si="84"/>
        <v>95760</v>
      </c>
      <c r="H1491" s="16">
        <v>95760</v>
      </c>
      <c r="I1491" s="16">
        <f t="shared" si="86"/>
        <v>0</v>
      </c>
      <c r="J1491" s="31">
        <v>95760</v>
      </c>
      <c r="K1491" s="69">
        <f t="shared" si="85"/>
        <v>0</v>
      </c>
      <c r="L1491" s="50"/>
      <c r="M1491" s="109"/>
      <c r="N1491" s="110"/>
    </row>
    <row r="1492" spans="1:14" ht="15" hidden="1" thickBot="1" x14ac:dyDescent="0.35">
      <c r="A1492" s="14">
        <v>249</v>
      </c>
      <c r="B1492" s="14" t="s">
        <v>893</v>
      </c>
      <c r="C1492" s="15" t="s">
        <v>641</v>
      </c>
      <c r="D1492" s="14" t="s">
        <v>548</v>
      </c>
      <c r="E1492" s="15" t="s">
        <v>504</v>
      </c>
      <c r="F1492" s="15">
        <v>9</v>
      </c>
      <c r="G1492" s="16">
        <f t="shared" si="84"/>
        <v>44223</v>
      </c>
      <c r="H1492" s="16">
        <v>44223</v>
      </c>
      <c r="I1492" s="16">
        <f t="shared" si="86"/>
        <v>0</v>
      </c>
      <c r="J1492" s="31">
        <v>44223</v>
      </c>
      <c r="K1492" s="69">
        <f t="shared" si="85"/>
        <v>0</v>
      </c>
      <c r="L1492" s="50">
        <v>0</v>
      </c>
      <c r="M1492" s="109">
        <v>0</v>
      </c>
      <c r="N1492" s="110"/>
    </row>
    <row r="1493" spans="1:14" ht="15" hidden="1" thickBot="1" x14ac:dyDescent="0.35">
      <c r="A1493" s="14">
        <v>249</v>
      </c>
      <c r="B1493" s="14" t="s">
        <v>893</v>
      </c>
      <c r="C1493" s="15" t="s">
        <v>641</v>
      </c>
      <c r="D1493" s="14" t="s">
        <v>507</v>
      </c>
      <c r="E1493" s="15" t="s">
        <v>504</v>
      </c>
      <c r="F1493" s="15">
        <v>7</v>
      </c>
      <c r="G1493" s="16">
        <f t="shared" si="84"/>
        <v>25289</v>
      </c>
      <c r="H1493" s="16">
        <v>25289</v>
      </c>
      <c r="I1493" s="16">
        <f t="shared" si="86"/>
        <v>0</v>
      </c>
      <c r="J1493" s="31">
        <v>25289</v>
      </c>
      <c r="K1493" s="69">
        <f t="shared" si="85"/>
        <v>0</v>
      </c>
      <c r="L1493" s="50">
        <v>0</v>
      </c>
      <c r="M1493" s="109">
        <v>0</v>
      </c>
      <c r="N1493" s="110"/>
    </row>
    <row r="1494" spans="1:14" ht="15" hidden="1" thickBot="1" x14ac:dyDescent="0.35">
      <c r="A1494" s="14">
        <v>250</v>
      </c>
      <c r="B1494" s="14" t="s">
        <v>894</v>
      </c>
      <c r="C1494" s="14" t="s">
        <v>730</v>
      </c>
      <c r="D1494" s="14" t="s">
        <v>510</v>
      </c>
      <c r="E1494" s="15" t="s">
        <v>502</v>
      </c>
      <c r="F1494" s="15">
        <v>1</v>
      </c>
      <c r="G1494" s="16">
        <f t="shared" si="84"/>
        <v>4500</v>
      </c>
      <c r="H1494" s="16">
        <v>4500</v>
      </c>
      <c r="I1494" s="16">
        <f t="shared" si="86"/>
        <v>0</v>
      </c>
      <c r="J1494" s="31">
        <v>4500</v>
      </c>
      <c r="K1494" s="69">
        <f t="shared" si="85"/>
        <v>0</v>
      </c>
      <c r="L1494" s="50"/>
      <c r="M1494" s="109"/>
      <c r="N1494" s="110"/>
    </row>
    <row r="1495" spans="1:14" ht="15" hidden="1" thickBot="1" x14ac:dyDescent="0.35">
      <c r="A1495" s="14">
        <v>251</v>
      </c>
      <c r="B1495" s="14" t="s">
        <v>895</v>
      </c>
      <c r="C1495" s="15" t="s">
        <v>891</v>
      </c>
      <c r="D1495" s="14" t="s">
        <v>614</v>
      </c>
      <c r="E1495" s="15" t="s">
        <v>506</v>
      </c>
      <c r="F1495" s="15">
        <v>10</v>
      </c>
      <c r="G1495" s="16">
        <f t="shared" si="84"/>
        <v>320156</v>
      </c>
      <c r="H1495" s="16">
        <v>322996</v>
      </c>
      <c r="I1495" s="16">
        <f t="shared" si="86"/>
        <v>0</v>
      </c>
      <c r="J1495" s="31">
        <v>322996</v>
      </c>
      <c r="K1495" s="69">
        <f t="shared" si="85"/>
        <v>0</v>
      </c>
      <c r="L1495" s="50">
        <v>2840</v>
      </c>
      <c r="M1495" s="109">
        <v>2840</v>
      </c>
      <c r="N1495" s="110"/>
    </row>
    <row r="1496" spans="1:14" ht="15" hidden="1" thickBot="1" x14ac:dyDescent="0.35">
      <c r="A1496" s="14">
        <v>251</v>
      </c>
      <c r="B1496" s="14" t="s">
        <v>895</v>
      </c>
      <c r="C1496" s="15" t="s">
        <v>891</v>
      </c>
      <c r="D1496" s="14" t="s">
        <v>510</v>
      </c>
      <c r="E1496" s="15" t="s">
        <v>508</v>
      </c>
      <c r="F1496" s="15">
        <v>8</v>
      </c>
      <c r="G1496" s="16">
        <f t="shared" si="84"/>
        <v>46836</v>
      </c>
      <c r="H1496" s="16">
        <v>47466</v>
      </c>
      <c r="I1496" s="16">
        <f t="shared" si="86"/>
        <v>0</v>
      </c>
      <c r="J1496" s="31">
        <v>47466</v>
      </c>
      <c r="K1496" s="69">
        <f t="shared" si="85"/>
        <v>0</v>
      </c>
      <c r="L1496" s="50">
        <v>630</v>
      </c>
      <c r="M1496" s="109">
        <v>630</v>
      </c>
      <c r="N1496" s="110">
        <v>0.93</v>
      </c>
    </row>
    <row r="1497" spans="1:14" ht="15" hidden="1" thickBot="1" x14ac:dyDescent="0.35">
      <c r="A1497" s="14">
        <v>251</v>
      </c>
      <c r="B1497" s="14" t="s">
        <v>895</v>
      </c>
      <c r="C1497" s="15" t="s">
        <v>891</v>
      </c>
      <c r="D1497" s="14" t="s">
        <v>510</v>
      </c>
      <c r="E1497" s="15" t="s">
        <v>506</v>
      </c>
      <c r="F1497" s="15">
        <v>8</v>
      </c>
      <c r="G1497" s="16">
        <f t="shared" si="84"/>
        <v>47187</v>
      </c>
      <c r="H1497" s="16">
        <v>47187</v>
      </c>
      <c r="I1497" s="16">
        <f t="shared" si="86"/>
        <v>0</v>
      </c>
      <c r="J1497" s="31">
        <v>47187</v>
      </c>
      <c r="K1497" s="69">
        <f t="shared" si="85"/>
        <v>0</v>
      </c>
      <c r="L1497" s="50"/>
      <c r="M1497" s="109"/>
      <c r="N1497" s="110"/>
    </row>
    <row r="1498" spans="1:14" ht="15" hidden="1" thickBot="1" x14ac:dyDescent="0.35">
      <c r="A1498" s="14">
        <v>251</v>
      </c>
      <c r="B1498" s="14" t="s">
        <v>895</v>
      </c>
      <c r="C1498" s="15" t="s">
        <v>891</v>
      </c>
      <c r="D1498" s="14" t="s">
        <v>614</v>
      </c>
      <c r="E1498" s="15" t="s">
        <v>508</v>
      </c>
      <c r="F1498" s="15">
        <v>11</v>
      </c>
      <c r="G1498" s="16">
        <f t="shared" si="84"/>
        <v>314133.67099999997</v>
      </c>
      <c r="H1498" s="16">
        <v>318243.67099999997</v>
      </c>
      <c r="I1498" s="16">
        <f t="shared" si="86"/>
        <v>0</v>
      </c>
      <c r="J1498" s="31">
        <v>318243.67099999997</v>
      </c>
      <c r="K1498" s="69">
        <f t="shared" si="85"/>
        <v>0</v>
      </c>
      <c r="L1498" s="50">
        <v>4110</v>
      </c>
      <c r="M1498" s="109">
        <v>4110</v>
      </c>
      <c r="N1498" s="110">
        <v>0.94</v>
      </c>
    </row>
    <row r="1499" spans="1:14" ht="15" hidden="1" thickBot="1" x14ac:dyDescent="0.35">
      <c r="A1499" s="14">
        <v>252</v>
      </c>
      <c r="B1499" s="14" t="s">
        <v>896</v>
      </c>
      <c r="C1499" s="14" t="s">
        <v>604</v>
      </c>
      <c r="D1499" s="14" t="s">
        <v>518</v>
      </c>
      <c r="E1499" s="15" t="s">
        <v>503</v>
      </c>
      <c r="F1499" s="15">
        <v>1</v>
      </c>
      <c r="G1499" s="16">
        <f t="shared" si="84"/>
        <v>5510</v>
      </c>
      <c r="H1499" s="16">
        <v>5510</v>
      </c>
      <c r="I1499" s="16">
        <f t="shared" si="86"/>
        <v>0</v>
      </c>
      <c r="J1499" s="31">
        <v>5510</v>
      </c>
      <c r="K1499" s="69">
        <f t="shared" si="85"/>
        <v>0</v>
      </c>
      <c r="L1499" s="50"/>
      <c r="M1499" s="109"/>
      <c r="N1499" s="110"/>
    </row>
    <row r="1500" spans="1:14" ht="15" hidden="1" thickBot="1" x14ac:dyDescent="0.35">
      <c r="A1500" s="14">
        <v>253</v>
      </c>
      <c r="B1500" s="14" t="s">
        <v>897</v>
      </c>
      <c r="C1500" s="14" t="s">
        <v>730</v>
      </c>
      <c r="D1500" s="14" t="s">
        <v>510</v>
      </c>
      <c r="E1500" s="15" t="s">
        <v>502</v>
      </c>
      <c r="F1500" s="15">
        <v>5</v>
      </c>
      <c r="G1500" s="16">
        <f t="shared" si="84"/>
        <v>19937.75</v>
      </c>
      <c r="H1500" s="16">
        <v>21807.75</v>
      </c>
      <c r="I1500" s="16">
        <f t="shared" si="86"/>
        <v>0</v>
      </c>
      <c r="J1500" s="31">
        <v>21807.75</v>
      </c>
      <c r="K1500" s="69">
        <f t="shared" si="85"/>
        <v>0</v>
      </c>
      <c r="L1500" s="50">
        <v>1870</v>
      </c>
      <c r="M1500" s="109">
        <v>1870</v>
      </c>
      <c r="N1500" s="110"/>
    </row>
    <row r="1501" spans="1:14" ht="15" hidden="1" thickBot="1" x14ac:dyDescent="0.35">
      <c r="A1501" s="14">
        <v>254</v>
      </c>
      <c r="B1501" s="14" t="s">
        <v>898</v>
      </c>
      <c r="C1501" s="14" t="s">
        <v>541</v>
      </c>
      <c r="D1501" s="14" t="s">
        <v>497</v>
      </c>
      <c r="E1501" s="15" t="s">
        <v>14</v>
      </c>
      <c r="F1501" s="15">
        <v>1</v>
      </c>
      <c r="G1501" s="16">
        <f t="shared" si="84"/>
        <v>64200</v>
      </c>
      <c r="H1501" s="16">
        <v>64200</v>
      </c>
      <c r="I1501" s="16">
        <f t="shared" si="86"/>
        <v>0</v>
      </c>
      <c r="J1501" s="31">
        <v>64200</v>
      </c>
      <c r="K1501" s="69">
        <f t="shared" si="85"/>
        <v>0</v>
      </c>
      <c r="L1501" s="50"/>
      <c r="M1501" s="109"/>
      <c r="N1501" s="110"/>
    </row>
    <row r="1502" spans="1:14" ht="15" hidden="1" thickBot="1" x14ac:dyDescent="0.35">
      <c r="A1502" s="20">
        <v>255</v>
      </c>
      <c r="B1502" s="14" t="s">
        <v>899</v>
      </c>
      <c r="C1502" s="14" t="s">
        <v>900</v>
      </c>
      <c r="D1502" s="14" t="s">
        <v>520</v>
      </c>
      <c r="E1502" s="15" t="s">
        <v>506</v>
      </c>
      <c r="F1502" s="15">
        <v>2</v>
      </c>
      <c r="G1502" s="16">
        <f t="shared" si="84"/>
        <v>12113</v>
      </c>
      <c r="H1502" s="16">
        <v>12113</v>
      </c>
      <c r="I1502" s="16">
        <f t="shared" si="86"/>
        <v>0</v>
      </c>
      <c r="J1502" s="31">
        <v>12113</v>
      </c>
      <c r="K1502" s="69">
        <f t="shared" si="85"/>
        <v>0</v>
      </c>
      <c r="L1502" s="50"/>
      <c r="M1502" s="109"/>
      <c r="N1502" s="110"/>
    </row>
    <row r="1503" spans="1:14" ht="15" hidden="1" thickBot="1" x14ac:dyDescent="0.35">
      <c r="A1503" s="20">
        <v>255</v>
      </c>
      <c r="B1503" s="14" t="s">
        <v>899</v>
      </c>
      <c r="C1503" s="14" t="s">
        <v>900</v>
      </c>
      <c r="D1503" s="14" t="s">
        <v>517</v>
      </c>
      <c r="E1503" s="15" t="s">
        <v>502</v>
      </c>
      <c r="F1503" s="15">
        <v>2</v>
      </c>
      <c r="G1503" s="16">
        <f t="shared" si="84"/>
        <v>12112</v>
      </c>
      <c r="H1503" s="16">
        <v>12112</v>
      </c>
      <c r="I1503" s="16">
        <f t="shared" si="86"/>
        <v>0</v>
      </c>
      <c r="J1503" s="31">
        <v>12112</v>
      </c>
      <c r="K1503" s="69">
        <f t="shared" si="85"/>
        <v>0</v>
      </c>
      <c r="L1503" s="50"/>
      <c r="M1503" s="109"/>
      <c r="N1503" s="110"/>
    </row>
    <row r="1504" spans="1:14" ht="15" hidden="1" thickBot="1" x14ac:dyDescent="0.35">
      <c r="A1504" s="20">
        <v>255</v>
      </c>
      <c r="B1504" s="14" t="s">
        <v>899</v>
      </c>
      <c r="C1504" s="14" t="s">
        <v>900</v>
      </c>
      <c r="D1504" s="14" t="s">
        <v>528</v>
      </c>
      <c r="E1504" s="15" t="s">
        <v>504</v>
      </c>
      <c r="F1504" s="15">
        <v>2</v>
      </c>
      <c r="G1504" s="16">
        <f t="shared" si="84"/>
        <v>10815</v>
      </c>
      <c r="H1504" s="16">
        <v>11475</v>
      </c>
      <c r="I1504" s="16">
        <f t="shared" si="86"/>
        <v>0</v>
      </c>
      <c r="J1504" s="31">
        <v>11475</v>
      </c>
      <c r="K1504" s="69">
        <f t="shared" si="85"/>
        <v>0</v>
      </c>
      <c r="L1504" s="50">
        <v>660</v>
      </c>
      <c r="M1504" s="109">
        <v>660</v>
      </c>
      <c r="N1504" s="110"/>
    </row>
    <row r="1505" spans="1:14" ht="15" hidden="1" thickBot="1" x14ac:dyDescent="0.35">
      <c r="A1505" s="20">
        <v>255</v>
      </c>
      <c r="B1505" s="14" t="s">
        <v>899</v>
      </c>
      <c r="C1505" s="14" t="s">
        <v>900</v>
      </c>
      <c r="D1505" s="14" t="s">
        <v>515</v>
      </c>
      <c r="E1505" s="15" t="s">
        <v>512</v>
      </c>
      <c r="F1505" s="15">
        <v>2</v>
      </c>
      <c r="G1505" s="16">
        <f t="shared" si="84"/>
        <v>11325</v>
      </c>
      <c r="H1505" s="16">
        <v>11475</v>
      </c>
      <c r="I1505" s="16">
        <f t="shared" si="86"/>
        <v>0</v>
      </c>
      <c r="J1505" s="31">
        <v>11475</v>
      </c>
      <c r="K1505" s="69">
        <f t="shared" si="85"/>
        <v>0</v>
      </c>
      <c r="L1505" s="50">
        <v>150</v>
      </c>
      <c r="M1505" s="109">
        <v>150</v>
      </c>
      <c r="N1505" s="110"/>
    </row>
    <row r="1506" spans="1:14" ht="15" hidden="1" thickBot="1" x14ac:dyDescent="0.35">
      <c r="A1506" s="20">
        <v>255</v>
      </c>
      <c r="B1506" s="14" t="s">
        <v>899</v>
      </c>
      <c r="C1506" s="14" t="s">
        <v>900</v>
      </c>
      <c r="D1506" s="14" t="s">
        <v>526</v>
      </c>
      <c r="E1506" s="15" t="s">
        <v>509</v>
      </c>
      <c r="F1506" s="15">
        <v>1</v>
      </c>
      <c r="G1506" s="16">
        <f t="shared" si="84"/>
        <v>10875</v>
      </c>
      <c r="H1506" s="16">
        <v>11475</v>
      </c>
      <c r="I1506" s="16">
        <f t="shared" si="86"/>
        <v>0</v>
      </c>
      <c r="J1506" s="31">
        <v>11475</v>
      </c>
      <c r="K1506" s="69">
        <f t="shared" si="85"/>
        <v>0</v>
      </c>
      <c r="L1506" s="50">
        <v>600</v>
      </c>
      <c r="M1506" s="109">
        <v>600</v>
      </c>
      <c r="N1506" s="110"/>
    </row>
    <row r="1507" spans="1:14" ht="15" hidden="1" thickBot="1" x14ac:dyDescent="0.35">
      <c r="A1507" s="20">
        <v>255</v>
      </c>
      <c r="B1507" s="14" t="s">
        <v>899</v>
      </c>
      <c r="C1507" s="14" t="s">
        <v>900</v>
      </c>
      <c r="D1507" s="14" t="s">
        <v>516</v>
      </c>
      <c r="E1507" s="15" t="s">
        <v>509</v>
      </c>
      <c r="F1507" s="15">
        <v>1</v>
      </c>
      <c r="G1507" s="16">
        <f t="shared" si="84"/>
        <v>11400</v>
      </c>
      <c r="H1507" s="16">
        <v>11475</v>
      </c>
      <c r="I1507" s="16">
        <f t="shared" si="86"/>
        <v>0</v>
      </c>
      <c r="J1507" s="31">
        <v>11475</v>
      </c>
      <c r="K1507" s="69">
        <f t="shared" si="85"/>
        <v>0</v>
      </c>
      <c r="L1507" s="50">
        <v>75</v>
      </c>
      <c r="M1507" s="109">
        <v>75</v>
      </c>
      <c r="N1507" s="110"/>
    </row>
    <row r="1508" spans="1:14" ht="15" hidden="1" thickBot="1" x14ac:dyDescent="0.35">
      <c r="A1508" s="20">
        <v>255</v>
      </c>
      <c r="B1508" s="14" t="s">
        <v>899</v>
      </c>
      <c r="C1508" s="14" t="s">
        <v>900</v>
      </c>
      <c r="D1508" s="14" t="s">
        <v>525</v>
      </c>
      <c r="E1508" s="15" t="s">
        <v>509</v>
      </c>
      <c r="F1508" s="15">
        <v>1</v>
      </c>
      <c r="G1508" s="16">
        <f t="shared" si="84"/>
        <v>11400</v>
      </c>
      <c r="H1508" s="16">
        <v>11475</v>
      </c>
      <c r="I1508" s="16">
        <f t="shared" si="86"/>
        <v>0</v>
      </c>
      <c r="J1508" s="31">
        <v>11475</v>
      </c>
      <c r="K1508" s="69">
        <f t="shared" si="85"/>
        <v>0</v>
      </c>
      <c r="L1508" s="50">
        <v>75</v>
      </c>
      <c r="M1508" s="109">
        <v>75</v>
      </c>
      <c r="N1508" s="110"/>
    </row>
    <row r="1509" spans="1:14" ht="15" hidden="1" thickBot="1" x14ac:dyDescent="0.35">
      <c r="A1509" s="20">
        <v>255</v>
      </c>
      <c r="B1509" s="14" t="s">
        <v>899</v>
      </c>
      <c r="C1509" s="14" t="s">
        <v>900</v>
      </c>
      <c r="D1509" s="14" t="s">
        <v>519</v>
      </c>
      <c r="E1509" s="15" t="s">
        <v>503</v>
      </c>
      <c r="F1509" s="15">
        <v>2</v>
      </c>
      <c r="G1509" s="16">
        <f t="shared" si="84"/>
        <v>12113</v>
      </c>
      <c r="H1509" s="16">
        <v>12113</v>
      </c>
      <c r="I1509" s="16">
        <f t="shared" si="86"/>
        <v>0</v>
      </c>
      <c r="J1509" s="31">
        <v>12113</v>
      </c>
      <c r="K1509" s="69">
        <f t="shared" si="85"/>
        <v>0</v>
      </c>
      <c r="L1509" s="50"/>
      <c r="M1509" s="109"/>
      <c r="N1509" s="110"/>
    </row>
    <row r="1510" spans="1:14" ht="15" hidden="1" thickBot="1" x14ac:dyDescent="0.35">
      <c r="A1510" s="20">
        <v>255</v>
      </c>
      <c r="B1510" s="14" t="s">
        <v>899</v>
      </c>
      <c r="C1510" s="14" t="s">
        <v>900</v>
      </c>
      <c r="D1510" s="14" t="s">
        <v>521</v>
      </c>
      <c r="E1510" s="15" t="s">
        <v>500</v>
      </c>
      <c r="F1510" s="15">
        <v>1</v>
      </c>
      <c r="G1510" s="16">
        <f t="shared" si="84"/>
        <v>11400</v>
      </c>
      <c r="H1510" s="16">
        <v>11475</v>
      </c>
      <c r="I1510" s="16">
        <f t="shared" si="86"/>
        <v>0</v>
      </c>
      <c r="J1510" s="31">
        <v>11475</v>
      </c>
      <c r="K1510" s="69">
        <f t="shared" si="85"/>
        <v>0</v>
      </c>
      <c r="L1510" s="50">
        <v>75</v>
      </c>
      <c r="M1510" s="109">
        <v>75</v>
      </c>
      <c r="N1510" s="110"/>
    </row>
    <row r="1511" spans="1:14" ht="15" hidden="1" thickBot="1" x14ac:dyDescent="0.35">
      <c r="A1511" s="20">
        <v>255</v>
      </c>
      <c r="B1511" s="14" t="s">
        <v>899</v>
      </c>
      <c r="C1511" s="14" t="s">
        <v>900</v>
      </c>
      <c r="D1511" s="14" t="s">
        <v>527</v>
      </c>
      <c r="E1511" s="15" t="s">
        <v>500</v>
      </c>
      <c r="F1511" s="15">
        <v>1</v>
      </c>
      <c r="G1511" s="16">
        <f t="shared" si="84"/>
        <v>11325</v>
      </c>
      <c r="H1511" s="16">
        <v>11475</v>
      </c>
      <c r="I1511" s="16">
        <f t="shared" si="86"/>
        <v>0</v>
      </c>
      <c r="J1511" s="31">
        <v>11475</v>
      </c>
      <c r="K1511" s="69">
        <f t="shared" si="85"/>
        <v>0</v>
      </c>
      <c r="L1511" s="50">
        <v>150</v>
      </c>
      <c r="M1511" s="109">
        <v>150</v>
      </c>
      <c r="N1511" s="110"/>
    </row>
    <row r="1512" spans="1:14" ht="15" hidden="1" thickBot="1" x14ac:dyDescent="0.35">
      <c r="A1512" s="20">
        <v>255</v>
      </c>
      <c r="B1512" s="14" t="s">
        <v>899</v>
      </c>
      <c r="C1512" s="14" t="s">
        <v>900</v>
      </c>
      <c r="D1512" s="14" t="s">
        <v>1831</v>
      </c>
      <c r="E1512" s="15" t="s">
        <v>504</v>
      </c>
      <c r="F1512" s="15">
        <v>1</v>
      </c>
      <c r="G1512" s="16">
        <f t="shared" si="84"/>
        <v>8604</v>
      </c>
      <c r="H1512" s="16">
        <v>8604</v>
      </c>
      <c r="I1512" s="16">
        <f t="shared" si="86"/>
        <v>0</v>
      </c>
      <c r="J1512" s="31">
        <v>8604</v>
      </c>
      <c r="K1512" s="69">
        <f t="shared" si="85"/>
        <v>0</v>
      </c>
      <c r="L1512" s="50"/>
      <c r="M1512" s="109"/>
      <c r="N1512" s="110"/>
    </row>
    <row r="1513" spans="1:14" ht="15" hidden="1" thickBot="1" x14ac:dyDescent="0.35">
      <c r="A1513" s="20">
        <v>255</v>
      </c>
      <c r="B1513" s="14" t="s">
        <v>899</v>
      </c>
      <c r="C1513" s="14" t="s">
        <v>900</v>
      </c>
      <c r="D1513" s="14" t="s">
        <v>806</v>
      </c>
      <c r="E1513" s="15" t="s">
        <v>506</v>
      </c>
      <c r="F1513" s="15">
        <v>2</v>
      </c>
      <c r="G1513" s="16">
        <f t="shared" ref="G1513:G1594" si="87">H1513-M1513</f>
        <v>10000</v>
      </c>
      <c r="H1513" s="16">
        <v>10000</v>
      </c>
      <c r="I1513" s="16">
        <f t="shared" si="86"/>
        <v>0</v>
      </c>
      <c r="J1513" s="31">
        <v>10000</v>
      </c>
      <c r="K1513" s="69">
        <f t="shared" si="85"/>
        <v>0</v>
      </c>
      <c r="L1513" s="50"/>
      <c r="M1513" s="109"/>
      <c r="N1513" s="110"/>
    </row>
    <row r="1514" spans="1:14" ht="15" hidden="1" thickBot="1" x14ac:dyDescent="0.35">
      <c r="A1514" s="20">
        <v>255</v>
      </c>
      <c r="B1514" s="14" t="s">
        <v>899</v>
      </c>
      <c r="C1514" s="14" t="s">
        <v>900</v>
      </c>
      <c r="D1514" s="14" t="s">
        <v>530</v>
      </c>
      <c r="E1514" s="15" t="s">
        <v>500</v>
      </c>
      <c r="F1514" s="15">
        <v>1</v>
      </c>
      <c r="G1514" s="16">
        <f t="shared" si="87"/>
        <v>6650</v>
      </c>
      <c r="H1514" s="16">
        <v>6650</v>
      </c>
      <c r="I1514" s="16">
        <f t="shared" si="86"/>
        <v>0</v>
      </c>
      <c r="J1514" s="31">
        <v>6650</v>
      </c>
      <c r="K1514" s="69">
        <f t="shared" si="85"/>
        <v>0</v>
      </c>
      <c r="L1514" s="50"/>
      <c r="M1514" s="109"/>
      <c r="N1514" s="110"/>
    </row>
    <row r="1515" spans="1:14" ht="15" hidden="1" thickBot="1" x14ac:dyDescent="0.35">
      <c r="A1515" s="20">
        <v>255</v>
      </c>
      <c r="B1515" s="14" t="s">
        <v>899</v>
      </c>
      <c r="C1515" s="14" t="s">
        <v>900</v>
      </c>
      <c r="D1515" s="14" t="s">
        <v>529</v>
      </c>
      <c r="E1515" s="15" t="s">
        <v>500</v>
      </c>
      <c r="F1515" s="15">
        <v>1</v>
      </c>
      <c r="G1515" s="16">
        <f t="shared" si="87"/>
        <v>6650</v>
      </c>
      <c r="H1515" s="16">
        <v>6650</v>
      </c>
      <c r="I1515" s="16">
        <f t="shared" si="86"/>
        <v>0</v>
      </c>
      <c r="J1515" s="31">
        <v>6650</v>
      </c>
      <c r="K1515" s="69">
        <f t="shared" ref="K1515:K1596" si="88">M1515-L1515</f>
        <v>0</v>
      </c>
      <c r="L1515" s="50"/>
      <c r="M1515" s="109"/>
      <c r="N1515" s="110"/>
    </row>
    <row r="1516" spans="1:14" ht="15" hidden="1" thickBot="1" x14ac:dyDescent="0.35">
      <c r="A1516" s="20">
        <v>255</v>
      </c>
      <c r="B1516" s="14" t="s">
        <v>899</v>
      </c>
      <c r="C1516" s="14" t="s">
        <v>900</v>
      </c>
      <c r="D1516" s="14" t="s">
        <v>760</v>
      </c>
      <c r="E1516" s="15" t="s">
        <v>500</v>
      </c>
      <c r="F1516" s="15">
        <v>1</v>
      </c>
      <c r="G1516" s="16">
        <f t="shared" si="87"/>
        <v>6650</v>
      </c>
      <c r="H1516" s="16">
        <v>6650</v>
      </c>
      <c r="I1516" s="16">
        <f t="shared" si="86"/>
        <v>0</v>
      </c>
      <c r="J1516" s="31">
        <v>6650</v>
      </c>
      <c r="K1516" s="69">
        <f t="shared" si="88"/>
        <v>0</v>
      </c>
      <c r="L1516" s="50"/>
      <c r="M1516" s="109"/>
      <c r="N1516" s="110"/>
    </row>
    <row r="1517" spans="1:14" ht="15" hidden="1" thickBot="1" x14ac:dyDescent="0.35">
      <c r="A1517" s="20">
        <v>255</v>
      </c>
      <c r="B1517" s="14" t="s">
        <v>899</v>
      </c>
      <c r="C1517" s="14" t="s">
        <v>900</v>
      </c>
      <c r="D1517" s="14" t="s">
        <v>720</v>
      </c>
      <c r="E1517" s="15" t="s">
        <v>508</v>
      </c>
      <c r="F1517" s="15">
        <v>2</v>
      </c>
      <c r="G1517" s="16">
        <f t="shared" si="87"/>
        <v>10000</v>
      </c>
      <c r="H1517" s="16">
        <v>10000</v>
      </c>
      <c r="I1517" s="16">
        <f t="shared" si="86"/>
        <v>0</v>
      </c>
      <c r="J1517" s="31">
        <v>10000</v>
      </c>
      <c r="K1517" s="69">
        <f t="shared" si="88"/>
        <v>0</v>
      </c>
      <c r="L1517" s="50"/>
      <c r="M1517" s="109"/>
      <c r="N1517" s="110"/>
    </row>
    <row r="1518" spans="1:14" ht="15" hidden="1" thickBot="1" x14ac:dyDescent="0.35">
      <c r="A1518" s="20">
        <v>255</v>
      </c>
      <c r="B1518" s="14" t="s">
        <v>899</v>
      </c>
      <c r="C1518" s="14" t="s">
        <v>900</v>
      </c>
      <c r="D1518" s="14" t="s">
        <v>637</v>
      </c>
      <c r="E1518" s="15" t="s">
        <v>504</v>
      </c>
      <c r="F1518" s="15">
        <v>1</v>
      </c>
      <c r="G1518" s="16">
        <f t="shared" si="87"/>
        <v>6650</v>
      </c>
      <c r="H1518" s="16">
        <v>6650</v>
      </c>
      <c r="I1518" s="16">
        <f t="shared" si="86"/>
        <v>0</v>
      </c>
      <c r="J1518" s="31">
        <v>6650</v>
      </c>
      <c r="K1518" s="69">
        <f t="shared" si="88"/>
        <v>0</v>
      </c>
      <c r="L1518" s="50"/>
      <c r="M1518" s="109"/>
      <c r="N1518" s="110"/>
    </row>
    <row r="1519" spans="1:14" ht="15" hidden="1" thickBot="1" x14ac:dyDescent="0.35">
      <c r="A1519" s="20">
        <v>255</v>
      </c>
      <c r="B1519" s="14" t="s">
        <v>899</v>
      </c>
      <c r="C1519" s="14" t="s">
        <v>900</v>
      </c>
      <c r="D1519" s="14" t="s">
        <v>511</v>
      </c>
      <c r="E1519" s="15" t="s">
        <v>503</v>
      </c>
      <c r="F1519" s="15">
        <v>2</v>
      </c>
      <c r="G1519" s="16">
        <f t="shared" si="87"/>
        <v>10000</v>
      </c>
      <c r="H1519" s="16">
        <v>10000</v>
      </c>
      <c r="I1519" s="16">
        <f t="shared" si="86"/>
        <v>0</v>
      </c>
      <c r="J1519" s="31">
        <v>10000</v>
      </c>
      <c r="K1519" s="69">
        <f t="shared" si="88"/>
        <v>0</v>
      </c>
      <c r="L1519" s="50"/>
      <c r="M1519" s="109"/>
      <c r="N1519" s="110"/>
    </row>
    <row r="1520" spans="1:14" ht="15" hidden="1" thickBot="1" x14ac:dyDescent="0.35">
      <c r="A1520" s="20">
        <v>255</v>
      </c>
      <c r="B1520" s="14" t="s">
        <v>899</v>
      </c>
      <c r="C1520" s="14" t="s">
        <v>900</v>
      </c>
      <c r="D1520" s="14" t="s">
        <v>1832</v>
      </c>
      <c r="E1520" s="15" t="s">
        <v>499</v>
      </c>
      <c r="F1520" s="15">
        <v>2</v>
      </c>
      <c r="G1520" s="16">
        <f t="shared" si="87"/>
        <v>10000</v>
      </c>
      <c r="H1520" s="16">
        <v>10000</v>
      </c>
      <c r="I1520" s="16">
        <f t="shared" si="86"/>
        <v>0</v>
      </c>
      <c r="J1520" s="31">
        <v>10000</v>
      </c>
      <c r="K1520" s="69">
        <f t="shared" si="88"/>
        <v>0</v>
      </c>
      <c r="L1520" s="50"/>
      <c r="M1520" s="109"/>
      <c r="N1520" s="110"/>
    </row>
    <row r="1521" spans="1:14" ht="15" hidden="1" thickBot="1" x14ac:dyDescent="0.35">
      <c r="A1521" s="20">
        <v>255</v>
      </c>
      <c r="B1521" s="14" t="s">
        <v>899</v>
      </c>
      <c r="C1521" s="14" t="s">
        <v>900</v>
      </c>
      <c r="D1521" s="14" t="s">
        <v>761</v>
      </c>
      <c r="E1521" s="15" t="s">
        <v>500</v>
      </c>
      <c r="F1521" s="15">
        <v>1</v>
      </c>
      <c r="G1521" s="16">
        <f t="shared" si="87"/>
        <v>9954</v>
      </c>
      <c r="H1521" s="16">
        <v>9954</v>
      </c>
      <c r="I1521" s="16">
        <f t="shared" si="86"/>
        <v>0</v>
      </c>
      <c r="J1521" s="31">
        <v>9954</v>
      </c>
      <c r="K1521" s="69">
        <f t="shared" si="88"/>
        <v>0</v>
      </c>
      <c r="L1521" s="50"/>
      <c r="M1521" s="109"/>
      <c r="N1521" s="110"/>
    </row>
    <row r="1522" spans="1:14" ht="15" hidden="1" thickBot="1" x14ac:dyDescent="0.35">
      <c r="A1522" s="20">
        <v>255</v>
      </c>
      <c r="B1522" s="14" t="s">
        <v>899</v>
      </c>
      <c r="C1522" s="14" t="s">
        <v>900</v>
      </c>
      <c r="D1522" s="14" t="s">
        <v>757</v>
      </c>
      <c r="E1522" s="15" t="s">
        <v>512</v>
      </c>
      <c r="F1522" s="15">
        <v>1</v>
      </c>
      <c r="G1522" s="16">
        <f t="shared" si="87"/>
        <v>10773</v>
      </c>
      <c r="H1522" s="16">
        <v>10773</v>
      </c>
      <c r="I1522" s="16">
        <f t="shared" si="86"/>
        <v>0</v>
      </c>
      <c r="J1522" s="31">
        <v>10773</v>
      </c>
      <c r="K1522" s="69">
        <f t="shared" si="88"/>
        <v>0</v>
      </c>
      <c r="L1522" s="50"/>
      <c r="M1522" s="109"/>
      <c r="N1522" s="110"/>
    </row>
    <row r="1523" spans="1:14" ht="15" hidden="1" thickBot="1" x14ac:dyDescent="0.35">
      <c r="A1523" s="20">
        <v>255</v>
      </c>
      <c r="B1523" s="14" t="s">
        <v>899</v>
      </c>
      <c r="C1523" s="14" t="s">
        <v>900</v>
      </c>
      <c r="D1523" s="14" t="s">
        <v>901</v>
      </c>
      <c r="E1523" s="15" t="s">
        <v>499</v>
      </c>
      <c r="F1523" s="15">
        <v>1</v>
      </c>
      <c r="G1523" s="16">
        <f t="shared" si="87"/>
        <v>400</v>
      </c>
      <c r="H1523" s="16">
        <v>400</v>
      </c>
      <c r="I1523" s="16">
        <f t="shared" ref="I1523:I1641" si="89">J1523-H1523</f>
        <v>0</v>
      </c>
      <c r="J1523" s="31">
        <v>400</v>
      </c>
      <c r="K1523" s="69">
        <f t="shared" si="88"/>
        <v>0</v>
      </c>
      <c r="L1523" s="50"/>
      <c r="M1523" s="109"/>
      <c r="N1523" s="110"/>
    </row>
    <row r="1524" spans="1:14" ht="15" hidden="1" thickBot="1" x14ac:dyDescent="0.35">
      <c r="A1524" s="20">
        <v>255</v>
      </c>
      <c r="B1524" s="14" t="s">
        <v>899</v>
      </c>
      <c r="C1524" s="14" t="s">
        <v>900</v>
      </c>
      <c r="D1524" s="14" t="s">
        <v>510</v>
      </c>
      <c r="E1524" s="15" t="s">
        <v>504</v>
      </c>
      <c r="F1524" s="15">
        <v>2</v>
      </c>
      <c r="G1524" s="16">
        <f t="shared" si="87"/>
        <v>16732</v>
      </c>
      <c r="H1524" s="16">
        <v>16732</v>
      </c>
      <c r="I1524" s="16">
        <f t="shared" si="89"/>
        <v>0</v>
      </c>
      <c r="J1524" s="31">
        <v>16732</v>
      </c>
      <c r="K1524" s="69">
        <f t="shared" si="88"/>
        <v>0</v>
      </c>
      <c r="L1524" s="50"/>
      <c r="M1524" s="109"/>
      <c r="N1524" s="110" t="s">
        <v>1279</v>
      </c>
    </row>
    <row r="1525" spans="1:14" ht="15" hidden="1" thickBot="1" x14ac:dyDescent="0.35">
      <c r="A1525" s="20">
        <v>255</v>
      </c>
      <c r="B1525" s="14" t="s">
        <v>899</v>
      </c>
      <c r="C1525" s="14" t="s">
        <v>900</v>
      </c>
      <c r="D1525" s="14" t="s">
        <v>523</v>
      </c>
      <c r="E1525" s="15" t="s">
        <v>508</v>
      </c>
      <c r="F1525" s="15">
        <v>1</v>
      </c>
      <c r="G1525" s="16">
        <f t="shared" si="87"/>
        <v>9000</v>
      </c>
      <c r="H1525" s="16">
        <v>9000</v>
      </c>
      <c r="I1525" s="16">
        <f t="shared" si="89"/>
        <v>0</v>
      </c>
      <c r="J1525" s="31">
        <v>9000</v>
      </c>
      <c r="K1525" s="69">
        <f t="shared" si="88"/>
        <v>0</v>
      </c>
      <c r="L1525" s="50"/>
      <c r="M1525" s="109"/>
      <c r="N1525" s="110"/>
    </row>
    <row r="1526" spans="1:14" ht="15" hidden="1" thickBot="1" x14ac:dyDescent="0.35">
      <c r="A1526" s="20">
        <v>255</v>
      </c>
      <c r="B1526" s="14" t="s">
        <v>899</v>
      </c>
      <c r="C1526" s="14" t="s">
        <v>900</v>
      </c>
      <c r="D1526" s="14" t="s">
        <v>614</v>
      </c>
      <c r="E1526" s="15" t="s">
        <v>509</v>
      </c>
      <c r="F1526" s="15">
        <v>2</v>
      </c>
      <c r="G1526" s="16">
        <f t="shared" si="87"/>
        <v>31495.35</v>
      </c>
      <c r="H1526" s="16">
        <v>31495.35</v>
      </c>
      <c r="I1526" s="16">
        <f t="shared" si="89"/>
        <v>0</v>
      </c>
      <c r="J1526" s="31">
        <v>31495.35</v>
      </c>
      <c r="K1526" s="69">
        <f t="shared" si="88"/>
        <v>0</v>
      </c>
      <c r="L1526" s="50"/>
      <c r="M1526" s="109"/>
      <c r="N1526" s="110"/>
    </row>
    <row r="1527" spans="1:14" ht="15" hidden="1" thickBot="1" x14ac:dyDescent="0.35">
      <c r="A1527" s="20">
        <v>255</v>
      </c>
      <c r="B1527" s="14" t="s">
        <v>899</v>
      </c>
      <c r="C1527" s="14" t="s">
        <v>900</v>
      </c>
      <c r="D1527" s="14" t="s">
        <v>524</v>
      </c>
      <c r="E1527" s="15" t="s">
        <v>503</v>
      </c>
      <c r="F1527" s="15">
        <v>1</v>
      </c>
      <c r="G1527" s="16">
        <f t="shared" si="87"/>
        <v>9000</v>
      </c>
      <c r="H1527" s="16">
        <v>9000</v>
      </c>
      <c r="I1527" s="16">
        <f t="shared" si="89"/>
        <v>0</v>
      </c>
      <c r="J1527" s="31">
        <v>9000</v>
      </c>
      <c r="K1527" s="69">
        <f t="shared" si="88"/>
        <v>0</v>
      </c>
      <c r="L1527" s="50"/>
      <c r="M1527" s="109"/>
      <c r="N1527" s="110"/>
    </row>
    <row r="1528" spans="1:14" ht="15" hidden="1" thickBot="1" x14ac:dyDescent="0.35">
      <c r="A1528" s="20">
        <v>255</v>
      </c>
      <c r="B1528" s="14" t="s">
        <v>899</v>
      </c>
      <c r="C1528" s="14" t="s">
        <v>900</v>
      </c>
      <c r="D1528" s="14" t="s">
        <v>522</v>
      </c>
      <c r="E1528" s="15" t="s">
        <v>503</v>
      </c>
      <c r="F1528" s="15">
        <v>1</v>
      </c>
      <c r="G1528" s="16">
        <f t="shared" si="87"/>
        <v>10000</v>
      </c>
      <c r="H1528" s="16">
        <v>10000</v>
      </c>
      <c r="I1528" s="16">
        <f t="shared" si="89"/>
        <v>0</v>
      </c>
      <c r="J1528" s="31">
        <v>10000</v>
      </c>
      <c r="K1528" s="69">
        <f t="shared" si="88"/>
        <v>0</v>
      </c>
      <c r="L1528" s="50"/>
      <c r="M1528" s="109"/>
      <c r="N1528" s="110"/>
    </row>
    <row r="1529" spans="1:14" ht="15" hidden="1" thickBot="1" x14ac:dyDescent="0.35">
      <c r="A1529" s="20">
        <v>255</v>
      </c>
      <c r="B1529" s="14" t="s">
        <v>899</v>
      </c>
      <c r="C1529" s="14" t="s">
        <v>900</v>
      </c>
      <c r="D1529" s="14" t="s">
        <v>545</v>
      </c>
      <c r="E1529" s="15"/>
      <c r="F1529" s="15">
        <v>1</v>
      </c>
      <c r="G1529" s="16">
        <f t="shared" si="87"/>
        <v>9000</v>
      </c>
      <c r="H1529" s="16">
        <v>9000</v>
      </c>
      <c r="I1529" s="16">
        <f t="shared" si="89"/>
        <v>0</v>
      </c>
      <c r="J1529" s="31">
        <v>9000</v>
      </c>
      <c r="K1529" s="69">
        <f t="shared" si="88"/>
        <v>0</v>
      </c>
      <c r="L1529" s="50"/>
      <c r="M1529" s="109"/>
      <c r="N1529" s="110"/>
    </row>
    <row r="1530" spans="1:14" ht="15" hidden="1" thickBot="1" x14ac:dyDescent="0.35">
      <c r="A1530" s="20">
        <v>255</v>
      </c>
      <c r="B1530" s="14" t="s">
        <v>899</v>
      </c>
      <c r="C1530" s="14" t="s">
        <v>900</v>
      </c>
      <c r="D1530" s="14" t="s">
        <v>614</v>
      </c>
      <c r="E1530" s="15" t="s">
        <v>500</v>
      </c>
      <c r="F1530" s="15">
        <v>2</v>
      </c>
      <c r="G1530" s="16">
        <f t="shared" si="87"/>
        <v>31495</v>
      </c>
      <c r="H1530" s="16">
        <v>31495</v>
      </c>
      <c r="I1530" s="16">
        <f t="shared" si="89"/>
        <v>0</v>
      </c>
      <c r="J1530" s="31">
        <v>31495</v>
      </c>
      <c r="K1530" s="69">
        <f t="shared" si="88"/>
        <v>0</v>
      </c>
      <c r="L1530" s="50"/>
      <c r="M1530" s="109"/>
      <c r="N1530" s="110" t="s">
        <v>1130</v>
      </c>
    </row>
    <row r="1531" spans="1:14" ht="15" hidden="1" thickBot="1" x14ac:dyDescent="0.35">
      <c r="A1531" s="20">
        <v>255</v>
      </c>
      <c r="B1531" s="14" t="s">
        <v>899</v>
      </c>
      <c r="C1531" s="14" t="s">
        <v>900</v>
      </c>
      <c r="D1531" s="14" t="s">
        <v>510</v>
      </c>
      <c r="E1531" s="15" t="s">
        <v>512</v>
      </c>
      <c r="F1531" s="15">
        <v>2</v>
      </c>
      <c r="G1531" s="16">
        <f t="shared" si="87"/>
        <v>16732</v>
      </c>
      <c r="H1531" s="16">
        <v>16732</v>
      </c>
      <c r="I1531" s="16">
        <f t="shared" si="89"/>
        <v>0</v>
      </c>
      <c r="J1531" s="31">
        <v>16732</v>
      </c>
      <c r="K1531" s="69">
        <f t="shared" si="88"/>
        <v>0</v>
      </c>
      <c r="L1531" s="50"/>
      <c r="M1531" s="109"/>
      <c r="N1531" s="110"/>
    </row>
    <row r="1532" spans="1:14" ht="15" hidden="1" thickBot="1" x14ac:dyDescent="0.35">
      <c r="A1532" s="20">
        <v>255</v>
      </c>
      <c r="B1532" s="14" t="s">
        <v>899</v>
      </c>
      <c r="C1532" s="14" t="s">
        <v>900</v>
      </c>
      <c r="D1532" s="14" t="s">
        <v>510</v>
      </c>
      <c r="E1532" s="15" t="s">
        <v>509</v>
      </c>
      <c r="F1532" s="15">
        <v>2</v>
      </c>
      <c r="G1532" s="16">
        <f t="shared" si="87"/>
        <v>16732</v>
      </c>
      <c r="H1532" s="16">
        <v>16732</v>
      </c>
      <c r="I1532" s="16">
        <f t="shared" si="89"/>
        <v>0</v>
      </c>
      <c r="J1532" s="31">
        <v>16732</v>
      </c>
      <c r="K1532" s="69">
        <f t="shared" si="88"/>
        <v>0</v>
      </c>
      <c r="L1532" s="50"/>
      <c r="M1532" s="109"/>
      <c r="N1532" s="110"/>
    </row>
    <row r="1533" spans="1:14" ht="15" hidden="1" thickBot="1" x14ac:dyDescent="0.35">
      <c r="A1533" s="20">
        <v>255</v>
      </c>
      <c r="B1533" s="14" t="s">
        <v>899</v>
      </c>
      <c r="C1533" s="14" t="s">
        <v>900</v>
      </c>
      <c r="D1533" s="14" t="s">
        <v>614</v>
      </c>
      <c r="E1533" s="15" t="s">
        <v>512</v>
      </c>
      <c r="F1533" s="15">
        <v>2</v>
      </c>
      <c r="G1533" s="16">
        <f t="shared" si="87"/>
        <v>31495</v>
      </c>
      <c r="H1533" s="16">
        <v>31495</v>
      </c>
      <c r="I1533" s="16">
        <f t="shared" si="89"/>
        <v>0</v>
      </c>
      <c r="J1533" s="31">
        <v>31495</v>
      </c>
      <c r="K1533" s="69">
        <f t="shared" si="88"/>
        <v>0</v>
      </c>
      <c r="L1533" s="50"/>
      <c r="M1533" s="109"/>
      <c r="N1533" s="110"/>
    </row>
    <row r="1534" spans="1:14" ht="15" hidden="1" thickBot="1" x14ac:dyDescent="0.35">
      <c r="A1534" s="20">
        <v>255</v>
      </c>
      <c r="B1534" s="14" t="s">
        <v>899</v>
      </c>
      <c r="C1534" s="14" t="s">
        <v>900</v>
      </c>
      <c r="D1534" s="14" t="s">
        <v>752</v>
      </c>
      <c r="E1534" s="15" t="s">
        <v>504</v>
      </c>
      <c r="F1534" s="15">
        <v>1</v>
      </c>
      <c r="G1534" s="16">
        <f t="shared" si="87"/>
        <v>1881</v>
      </c>
      <c r="H1534" s="16">
        <v>1881</v>
      </c>
      <c r="I1534" s="16">
        <f t="shared" si="89"/>
        <v>0</v>
      </c>
      <c r="J1534" s="31">
        <v>1881</v>
      </c>
      <c r="K1534" s="69">
        <f t="shared" si="88"/>
        <v>0</v>
      </c>
      <c r="L1534" s="50"/>
      <c r="M1534" s="109"/>
      <c r="N1534" s="110"/>
    </row>
    <row r="1535" spans="1:14" ht="15" hidden="1" thickBot="1" x14ac:dyDescent="0.35">
      <c r="A1535" s="20">
        <v>255</v>
      </c>
      <c r="B1535" s="14" t="s">
        <v>899</v>
      </c>
      <c r="C1535" s="14" t="s">
        <v>900</v>
      </c>
      <c r="D1535" s="14" t="s">
        <v>547</v>
      </c>
      <c r="E1535" s="15" t="s">
        <v>502</v>
      </c>
      <c r="F1535" s="15">
        <v>1</v>
      </c>
      <c r="G1535" s="16">
        <f t="shared" si="87"/>
        <v>10000</v>
      </c>
      <c r="H1535" s="16">
        <v>10000</v>
      </c>
      <c r="I1535" s="16">
        <f t="shared" si="89"/>
        <v>0</v>
      </c>
      <c r="J1535" s="31">
        <v>10000</v>
      </c>
      <c r="K1535" s="69">
        <f t="shared" si="88"/>
        <v>0</v>
      </c>
      <c r="L1535" s="50"/>
      <c r="M1535" s="109"/>
      <c r="N1535" s="110"/>
    </row>
    <row r="1536" spans="1:14" ht="15" hidden="1" thickBot="1" x14ac:dyDescent="0.35">
      <c r="A1536" s="20">
        <v>255</v>
      </c>
      <c r="B1536" s="14" t="s">
        <v>899</v>
      </c>
      <c r="C1536" s="14" t="s">
        <v>900</v>
      </c>
      <c r="D1536" s="14" t="s">
        <v>505</v>
      </c>
      <c r="E1536" s="15" t="s">
        <v>504</v>
      </c>
      <c r="F1536" s="15">
        <v>2</v>
      </c>
      <c r="G1536" s="16">
        <f t="shared" si="87"/>
        <v>14643</v>
      </c>
      <c r="H1536" s="16">
        <v>14643</v>
      </c>
      <c r="I1536" s="16">
        <f t="shared" si="89"/>
        <v>0</v>
      </c>
      <c r="J1536" s="31">
        <v>14643</v>
      </c>
      <c r="K1536" s="69">
        <f t="shared" si="88"/>
        <v>0</v>
      </c>
      <c r="L1536" s="50"/>
      <c r="M1536" s="109"/>
      <c r="N1536" s="110"/>
    </row>
    <row r="1537" spans="1:14" ht="15" hidden="1" thickBot="1" x14ac:dyDescent="0.35">
      <c r="A1537" s="20">
        <v>255</v>
      </c>
      <c r="B1537" s="14" t="s">
        <v>899</v>
      </c>
      <c r="C1537" s="14" t="s">
        <v>900</v>
      </c>
      <c r="D1537" s="14" t="s">
        <v>548</v>
      </c>
      <c r="E1537" s="15" t="s">
        <v>504</v>
      </c>
      <c r="F1537" s="15">
        <v>2</v>
      </c>
      <c r="G1537" s="16">
        <f t="shared" si="87"/>
        <v>14643</v>
      </c>
      <c r="H1537" s="16">
        <v>14643</v>
      </c>
      <c r="I1537" s="16">
        <f t="shared" si="89"/>
        <v>0</v>
      </c>
      <c r="J1537" s="31">
        <v>14643</v>
      </c>
      <c r="K1537" s="69">
        <f t="shared" si="88"/>
        <v>0</v>
      </c>
      <c r="L1537" s="50"/>
      <c r="M1537" s="109"/>
      <c r="N1537" s="110"/>
    </row>
    <row r="1538" spans="1:14" ht="15" hidden="1" thickBot="1" x14ac:dyDescent="0.35">
      <c r="A1538" s="20">
        <v>255</v>
      </c>
      <c r="B1538" s="14" t="s">
        <v>899</v>
      </c>
      <c r="C1538" s="14" t="s">
        <v>900</v>
      </c>
      <c r="D1538" s="14" t="s">
        <v>513</v>
      </c>
      <c r="E1538" s="15" t="s">
        <v>512</v>
      </c>
      <c r="F1538" s="15">
        <v>2</v>
      </c>
      <c r="G1538" s="16">
        <f t="shared" si="87"/>
        <v>14643</v>
      </c>
      <c r="H1538" s="16">
        <v>14643</v>
      </c>
      <c r="I1538" s="16">
        <f t="shared" si="89"/>
        <v>0</v>
      </c>
      <c r="J1538" s="31">
        <v>14643</v>
      </c>
      <c r="K1538" s="69">
        <f t="shared" si="88"/>
        <v>0</v>
      </c>
      <c r="L1538" s="50"/>
      <c r="M1538" s="109"/>
      <c r="N1538" s="110">
        <v>0.95</v>
      </c>
    </row>
    <row r="1539" spans="1:14" ht="15" hidden="1" thickBot="1" x14ac:dyDescent="0.35">
      <c r="A1539" s="20">
        <v>255</v>
      </c>
      <c r="B1539" s="14" t="s">
        <v>899</v>
      </c>
      <c r="C1539" s="14" t="s">
        <v>900</v>
      </c>
      <c r="D1539" s="14" t="s">
        <v>614</v>
      </c>
      <c r="E1539" s="15" t="s">
        <v>504</v>
      </c>
      <c r="F1539" s="15">
        <v>2</v>
      </c>
      <c r="G1539" s="16">
        <f t="shared" si="87"/>
        <v>31495</v>
      </c>
      <c r="H1539" s="16">
        <v>31495</v>
      </c>
      <c r="I1539" s="16">
        <f t="shared" si="89"/>
        <v>0</v>
      </c>
      <c r="J1539" s="31">
        <v>31495</v>
      </c>
      <c r="K1539" s="69">
        <f t="shared" si="88"/>
        <v>0</v>
      </c>
      <c r="L1539" s="50"/>
      <c r="M1539" s="109"/>
      <c r="N1539" s="110" t="s">
        <v>1130</v>
      </c>
    </row>
    <row r="1540" spans="1:14" ht="15" hidden="1" thickBot="1" x14ac:dyDescent="0.35">
      <c r="A1540" s="20">
        <v>255</v>
      </c>
      <c r="B1540" s="14" t="s">
        <v>899</v>
      </c>
      <c r="C1540" s="14" t="s">
        <v>900</v>
      </c>
      <c r="D1540" s="14" t="s">
        <v>652</v>
      </c>
      <c r="E1540" s="15"/>
      <c r="F1540" s="15">
        <v>1</v>
      </c>
      <c r="G1540" s="16">
        <f t="shared" si="87"/>
        <v>400</v>
      </c>
      <c r="H1540" s="16">
        <v>400</v>
      </c>
      <c r="I1540" s="16">
        <f t="shared" si="89"/>
        <v>0</v>
      </c>
      <c r="J1540" s="31">
        <v>400</v>
      </c>
      <c r="K1540" s="69">
        <f t="shared" si="88"/>
        <v>0</v>
      </c>
      <c r="L1540" s="50"/>
      <c r="M1540" s="109"/>
      <c r="N1540" s="110"/>
    </row>
    <row r="1541" spans="1:14" ht="15" hidden="1" thickBot="1" x14ac:dyDescent="0.35">
      <c r="A1541" s="20">
        <v>255</v>
      </c>
      <c r="B1541" s="14" t="s">
        <v>899</v>
      </c>
      <c r="C1541" s="14" t="s">
        <v>900</v>
      </c>
      <c r="D1541" s="14" t="s">
        <v>833</v>
      </c>
      <c r="E1541" s="15" t="s">
        <v>502</v>
      </c>
      <c r="F1541" s="15">
        <v>1</v>
      </c>
      <c r="G1541" s="16">
        <f t="shared" si="87"/>
        <v>400</v>
      </c>
      <c r="H1541" s="16">
        <v>400</v>
      </c>
      <c r="I1541" s="16">
        <f t="shared" si="89"/>
        <v>0</v>
      </c>
      <c r="J1541" s="31">
        <v>400</v>
      </c>
      <c r="K1541" s="69">
        <f t="shared" si="88"/>
        <v>0</v>
      </c>
      <c r="L1541" s="50"/>
      <c r="M1541" s="109"/>
      <c r="N1541" s="110"/>
    </row>
    <row r="1542" spans="1:14" ht="15" hidden="1" thickBot="1" x14ac:dyDescent="0.35">
      <c r="A1542" s="20">
        <v>255</v>
      </c>
      <c r="B1542" s="14" t="s">
        <v>899</v>
      </c>
      <c r="C1542" s="14" t="s">
        <v>900</v>
      </c>
      <c r="D1542" s="14" t="s">
        <v>638</v>
      </c>
      <c r="E1542" s="15" t="s">
        <v>508</v>
      </c>
      <c r="F1542" s="15">
        <v>1</v>
      </c>
      <c r="G1542" s="16">
        <f t="shared" si="87"/>
        <v>10700</v>
      </c>
      <c r="H1542" s="16">
        <v>10700</v>
      </c>
      <c r="I1542" s="16">
        <f t="shared" si="89"/>
        <v>0</v>
      </c>
      <c r="J1542" s="31">
        <v>10700</v>
      </c>
      <c r="K1542" s="69">
        <f t="shared" si="88"/>
        <v>0</v>
      </c>
      <c r="L1542" s="50"/>
      <c r="M1542" s="109"/>
      <c r="N1542" s="110"/>
    </row>
    <row r="1543" spans="1:14" ht="15" hidden="1" thickBot="1" x14ac:dyDescent="0.35">
      <c r="A1543" s="20">
        <v>255</v>
      </c>
      <c r="B1543" s="14" t="s">
        <v>899</v>
      </c>
      <c r="C1543" s="14" t="s">
        <v>900</v>
      </c>
      <c r="D1543" s="14" t="s">
        <v>831</v>
      </c>
      <c r="E1543" s="15"/>
      <c r="F1543" s="15">
        <v>1</v>
      </c>
      <c r="G1543" s="16">
        <f t="shared" si="87"/>
        <v>400</v>
      </c>
      <c r="H1543" s="16">
        <v>400</v>
      </c>
      <c r="I1543" s="16">
        <f t="shared" si="89"/>
        <v>0</v>
      </c>
      <c r="J1543" s="31">
        <v>400</v>
      </c>
      <c r="K1543" s="69">
        <f t="shared" si="88"/>
        <v>0</v>
      </c>
      <c r="L1543" s="50"/>
      <c r="M1543" s="109"/>
      <c r="N1543" s="110"/>
    </row>
    <row r="1544" spans="1:14" ht="15" hidden="1" thickBot="1" x14ac:dyDescent="0.35">
      <c r="A1544" s="20">
        <v>255</v>
      </c>
      <c r="B1544" s="14" t="s">
        <v>899</v>
      </c>
      <c r="C1544" s="14" t="s">
        <v>900</v>
      </c>
      <c r="D1544" s="14" t="s">
        <v>638</v>
      </c>
      <c r="E1544" s="15" t="s">
        <v>509</v>
      </c>
      <c r="F1544" s="15">
        <v>1</v>
      </c>
      <c r="G1544" s="16">
        <f t="shared" si="87"/>
        <v>9630</v>
      </c>
      <c r="H1544" s="16">
        <v>9630</v>
      </c>
      <c r="I1544" s="16">
        <f t="shared" si="89"/>
        <v>0</v>
      </c>
      <c r="J1544" s="31">
        <v>9630</v>
      </c>
      <c r="K1544" s="69">
        <f t="shared" si="88"/>
        <v>0</v>
      </c>
      <c r="L1544" s="50"/>
      <c r="M1544" s="109"/>
      <c r="N1544" s="110"/>
    </row>
    <row r="1545" spans="1:14" ht="15" hidden="1" thickBot="1" x14ac:dyDescent="0.35">
      <c r="A1545" s="20">
        <v>255</v>
      </c>
      <c r="B1545" s="14" t="s">
        <v>899</v>
      </c>
      <c r="C1545" s="14" t="s">
        <v>900</v>
      </c>
      <c r="D1545" s="14" t="s">
        <v>638</v>
      </c>
      <c r="E1545" s="15" t="s">
        <v>504</v>
      </c>
      <c r="F1545" s="15">
        <v>1</v>
      </c>
      <c r="G1545" s="16">
        <f t="shared" si="87"/>
        <v>9630</v>
      </c>
      <c r="H1545" s="16">
        <v>9630</v>
      </c>
      <c r="I1545" s="16">
        <f t="shared" si="89"/>
        <v>0</v>
      </c>
      <c r="J1545" s="31">
        <v>9630</v>
      </c>
      <c r="K1545" s="69">
        <f t="shared" si="88"/>
        <v>0</v>
      </c>
      <c r="L1545" s="50"/>
      <c r="M1545" s="109"/>
      <c r="N1545" s="110"/>
    </row>
    <row r="1546" spans="1:14" ht="15" hidden="1" thickBot="1" x14ac:dyDescent="0.35">
      <c r="A1546" s="20">
        <v>255</v>
      </c>
      <c r="B1546" s="14" t="s">
        <v>899</v>
      </c>
      <c r="C1546" s="14" t="s">
        <v>900</v>
      </c>
      <c r="D1546" s="14" t="s">
        <v>638</v>
      </c>
      <c r="E1546" s="15" t="s">
        <v>500</v>
      </c>
      <c r="F1546" s="15">
        <v>1</v>
      </c>
      <c r="G1546" s="16">
        <f t="shared" si="87"/>
        <v>9630</v>
      </c>
      <c r="H1546" s="16">
        <v>9630</v>
      </c>
      <c r="I1546" s="16">
        <f t="shared" si="89"/>
        <v>0</v>
      </c>
      <c r="J1546" s="31">
        <v>9630</v>
      </c>
      <c r="K1546" s="69">
        <f t="shared" si="88"/>
        <v>0</v>
      </c>
      <c r="L1546" s="50"/>
      <c r="M1546" s="109"/>
      <c r="N1546" s="110"/>
    </row>
    <row r="1547" spans="1:14" ht="15" hidden="1" thickBot="1" x14ac:dyDescent="0.35">
      <c r="A1547" s="20">
        <v>255</v>
      </c>
      <c r="B1547" s="14" t="s">
        <v>899</v>
      </c>
      <c r="C1547" s="14" t="s">
        <v>900</v>
      </c>
      <c r="D1547" s="14" t="s">
        <v>902</v>
      </c>
      <c r="E1547" s="15" t="s">
        <v>903</v>
      </c>
      <c r="F1547" s="15">
        <v>1</v>
      </c>
      <c r="G1547" s="16">
        <f t="shared" si="87"/>
        <v>28001</v>
      </c>
      <c r="H1547" s="16">
        <v>28001</v>
      </c>
      <c r="I1547" s="16">
        <f t="shared" si="89"/>
        <v>0</v>
      </c>
      <c r="J1547" s="31">
        <v>28001</v>
      </c>
      <c r="K1547" s="69">
        <f t="shared" si="88"/>
        <v>0</v>
      </c>
      <c r="L1547" s="50"/>
      <c r="M1547" s="109"/>
      <c r="N1547" s="110"/>
    </row>
    <row r="1548" spans="1:14" ht="15" hidden="1" thickBot="1" x14ac:dyDescent="0.35">
      <c r="A1548" s="20">
        <v>255</v>
      </c>
      <c r="B1548" s="14" t="s">
        <v>899</v>
      </c>
      <c r="C1548" s="14" t="s">
        <v>900</v>
      </c>
      <c r="D1548" s="14" t="s">
        <v>659</v>
      </c>
      <c r="E1548" s="15" t="s">
        <v>502</v>
      </c>
      <c r="F1548" s="15">
        <v>1</v>
      </c>
      <c r="G1548" s="16">
        <f t="shared" si="87"/>
        <v>400</v>
      </c>
      <c r="H1548" s="16">
        <v>400</v>
      </c>
      <c r="I1548" s="16">
        <f t="shared" si="89"/>
        <v>0</v>
      </c>
      <c r="J1548" s="31">
        <v>400</v>
      </c>
      <c r="K1548" s="69">
        <f t="shared" si="88"/>
        <v>0</v>
      </c>
      <c r="L1548" s="50"/>
      <c r="M1548" s="109"/>
      <c r="N1548" s="110"/>
    </row>
    <row r="1549" spans="1:14" ht="15" hidden="1" thickBot="1" x14ac:dyDescent="0.35">
      <c r="A1549" s="20">
        <v>255</v>
      </c>
      <c r="B1549" s="14" t="s">
        <v>899</v>
      </c>
      <c r="C1549" s="14" t="s">
        <v>900</v>
      </c>
      <c r="D1549" s="14" t="s">
        <v>634</v>
      </c>
      <c r="E1549" s="15" t="s">
        <v>499</v>
      </c>
      <c r="F1549" s="15">
        <v>1</v>
      </c>
      <c r="G1549" s="16">
        <f t="shared" si="87"/>
        <v>650</v>
      </c>
      <c r="H1549" s="16">
        <v>650</v>
      </c>
      <c r="I1549" s="16">
        <f t="shared" si="89"/>
        <v>0</v>
      </c>
      <c r="J1549" s="31">
        <v>650</v>
      </c>
      <c r="K1549" s="69">
        <f t="shared" si="88"/>
        <v>0</v>
      </c>
      <c r="L1549" s="50"/>
      <c r="M1549" s="109"/>
      <c r="N1549" s="110"/>
    </row>
    <row r="1550" spans="1:14" ht="15" hidden="1" thickBot="1" x14ac:dyDescent="0.35">
      <c r="A1550" s="20">
        <v>255</v>
      </c>
      <c r="B1550" s="14" t="s">
        <v>899</v>
      </c>
      <c r="C1550" s="14" t="s">
        <v>900</v>
      </c>
      <c r="D1550" s="14" t="s">
        <v>510</v>
      </c>
      <c r="E1550" s="15" t="s">
        <v>503</v>
      </c>
      <c r="F1550" s="15">
        <v>1</v>
      </c>
      <c r="G1550" s="16">
        <f t="shared" si="87"/>
        <v>7351</v>
      </c>
      <c r="H1550" s="16">
        <v>7351</v>
      </c>
      <c r="I1550" s="16">
        <f>J1550-H1550</f>
        <v>0</v>
      </c>
      <c r="J1550" s="31">
        <v>7351</v>
      </c>
      <c r="K1550" s="69">
        <f t="shared" si="88"/>
        <v>0</v>
      </c>
      <c r="L1550" s="50"/>
      <c r="M1550" s="109"/>
      <c r="N1550" s="110"/>
    </row>
    <row r="1551" spans="1:14" ht="15" hidden="1" thickBot="1" x14ac:dyDescent="0.35">
      <c r="A1551" s="20">
        <v>255</v>
      </c>
      <c r="B1551" s="14" t="s">
        <v>899</v>
      </c>
      <c r="C1551" s="14" t="s">
        <v>900</v>
      </c>
      <c r="D1551" s="14" t="s">
        <v>510</v>
      </c>
      <c r="E1551" s="15" t="s">
        <v>499</v>
      </c>
      <c r="F1551" s="15">
        <v>2</v>
      </c>
      <c r="G1551" s="16">
        <f t="shared" si="87"/>
        <v>7351</v>
      </c>
      <c r="H1551" s="16">
        <v>7351</v>
      </c>
      <c r="I1551" s="16">
        <f>J1551-H1551</f>
        <v>0</v>
      </c>
      <c r="J1551" s="31">
        <v>7351</v>
      </c>
      <c r="K1551" s="69">
        <f t="shared" si="88"/>
        <v>0</v>
      </c>
      <c r="L1551" s="50"/>
      <c r="M1551" s="109"/>
      <c r="N1551" s="110"/>
    </row>
    <row r="1552" spans="1:14" ht="15" hidden="1" thickBot="1" x14ac:dyDescent="0.35">
      <c r="A1552" s="20">
        <v>255</v>
      </c>
      <c r="B1552" s="14" t="s">
        <v>899</v>
      </c>
      <c r="C1552" s="14" t="s">
        <v>900</v>
      </c>
      <c r="D1552" s="14" t="s">
        <v>510</v>
      </c>
      <c r="E1552" s="15" t="s">
        <v>502</v>
      </c>
      <c r="F1552" s="15">
        <v>2</v>
      </c>
      <c r="G1552" s="16">
        <f t="shared" si="87"/>
        <v>7351</v>
      </c>
      <c r="H1552" s="16">
        <v>7351</v>
      </c>
      <c r="I1552" s="16">
        <f>J1552-H1552</f>
        <v>0</v>
      </c>
      <c r="J1552" s="31">
        <v>7351</v>
      </c>
      <c r="K1552" s="69">
        <f t="shared" si="88"/>
        <v>0</v>
      </c>
      <c r="L1552" s="50"/>
      <c r="M1552" s="109"/>
      <c r="N1552" s="110"/>
    </row>
    <row r="1553" spans="1:14" ht="15" hidden="1" thickBot="1" x14ac:dyDescent="0.35">
      <c r="A1553" s="20">
        <v>255</v>
      </c>
      <c r="B1553" s="14" t="s">
        <v>899</v>
      </c>
      <c r="C1553" s="14" t="s">
        <v>900</v>
      </c>
      <c r="D1553" s="14" t="s">
        <v>614</v>
      </c>
      <c r="E1553" s="15" t="s">
        <v>502</v>
      </c>
      <c r="F1553" s="15">
        <v>3</v>
      </c>
      <c r="G1553" s="16">
        <f t="shared" si="87"/>
        <v>19536</v>
      </c>
      <c r="H1553" s="16">
        <v>19536</v>
      </c>
      <c r="I1553" s="16">
        <f>J1553-H1553</f>
        <v>0</v>
      </c>
      <c r="J1553" s="31">
        <v>19536</v>
      </c>
      <c r="K1553" s="69">
        <f t="shared" si="88"/>
        <v>0</v>
      </c>
      <c r="L1553" s="50"/>
      <c r="M1553" s="109"/>
      <c r="N1553" s="110"/>
    </row>
    <row r="1554" spans="1:14" ht="15" hidden="1" thickBot="1" x14ac:dyDescent="0.35">
      <c r="A1554" s="20">
        <v>255</v>
      </c>
      <c r="B1554" s="14" t="s">
        <v>899</v>
      </c>
      <c r="C1554" s="14" t="s">
        <v>900</v>
      </c>
      <c r="D1554" s="14" t="s">
        <v>614</v>
      </c>
      <c r="E1554" s="15" t="s">
        <v>499</v>
      </c>
      <c r="F1554" s="15">
        <v>3</v>
      </c>
      <c r="G1554" s="16">
        <f t="shared" si="87"/>
        <v>19536</v>
      </c>
      <c r="H1554" s="16">
        <v>19536</v>
      </c>
      <c r="I1554" s="16">
        <f>J1554-H1554</f>
        <v>0</v>
      </c>
      <c r="J1554" s="31">
        <v>19536</v>
      </c>
      <c r="K1554" s="69">
        <f t="shared" si="88"/>
        <v>0</v>
      </c>
      <c r="L1554" s="50"/>
      <c r="M1554" s="109"/>
      <c r="N1554" s="110"/>
    </row>
    <row r="1555" spans="1:14" ht="15" hidden="1" thickBot="1" x14ac:dyDescent="0.35">
      <c r="A1555" s="20">
        <v>255</v>
      </c>
      <c r="B1555" s="14" t="s">
        <v>899</v>
      </c>
      <c r="C1555" s="14" t="s">
        <v>900</v>
      </c>
      <c r="D1555" s="14" t="s">
        <v>687</v>
      </c>
      <c r="E1555" s="15" t="s">
        <v>499</v>
      </c>
      <c r="F1555" s="15">
        <v>1</v>
      </c>
      <c r="G1555" s="16">
        <f t="shared" si="87"/>
        <v>650</v>
      </c>
      <c r="H1555" s="16">
        <v>650</v>
      </c>
      <c r="I1555" s="16">
        <f t="shared" si="89"/>
        <v>0</v>
      </c>
      <c r="J1555" s="31">
        <v>650</v>
      </c>
      <c r="K1555" s="69">
        <f t="shared" si="88"/>
        <v>0</v>
      </c>
      <c r="L1555" s="50"/>
      <c r="M1555" s="109"/>
      <c r="N1555" s="110"/>
    </row>
    <row r="1556" spans="1:14" ht="15" hidden="1" thickBot="1" x14ac:dyDescent="0.35">
      <c r="A1556" s="20">
        <v>255</v>
      </c>
      <c r="B1556" s="14" t="s">
        <v>899</v>
      </c>
      <c r="C1556" s="14" t="s">
        <v>900</v>
      </c>
      <c r="D1556" s="14" t="s">
        <v>836</v>
      </c>
      <c r="E1556" s="15" t="s">
        <v>499</v>
      </c>
      <c r="F1556" s="15">
        <v>1</v>
      </c>
      <c r="G1556" s="16">
        <f t="shared" si="87"/>
        <v>650</v>
      </c>
      <c r="H1556" s="16">
        <v>650</v>
      </c>
      <c r="I1556" s="16">
        <f t="shared" si="89"/>
        <v>0</v>
      </c>
      <c r="J1556" s="31">
        <v>650</v>
      </c>
      <c r="K1556" s="69">
        <f t="shared" si="88"/>
        <v>0</v>
      </c>
      <c r="L1556" s="50"/>
      <c r="M1556" s="109"/>
      <c r="N1556" s="110"/>
    </row>
    <row r="1557" spans="1:14" ht="15" hidden="1" thickBot="1" x14ac:dyDescent="0.35">
      <c r="A1557" s="20">
        <v>255</v>
      </c>
      <c r="B1557" s="14" t="s">
        <v>899</v>
      </c>
      <c r="C1557" s="14" t="s">
        <v>900</v>
      </c>
      <c r="D1557" s="14" t="s">
        <v>614</v>
      </c>
      <c r="E1557" s="15" t="s">
        <v>503</v>
      </c>
      <c r="F1557" s="15">
        <v>3</v>
      </c>
      <c r="G1557" s="16">
        <f t="shared" si="87"/>
        <v>21654</v>
      </c>
      <c r="H1557" s="16">
        <v>21654</v>
      </c>
      <c r="I1557" s="16">
        <f>J1557-H1557</f>
        <v>0</v>
      </c>
      <c r="J1557" s="31">
        <v>21654</v>
      </c>
      <c r="K1557" s="69">
        <f t="shared" si="88"/>
        <v>0</v>
      </c>
      <c r="L1557" s="50"/>
      <c r="M1557" s="109"/>
      <c r="N1557" s="110"/>
    </row>
    <row r="1558" spans="1:14" ht="15" hidden="1" thickBot="1" x14ac:dyDescent="0.35">
      <c r="A1558" s="20">
        <v>255</v>
      </c>
      <c r="B1558" s="14" t="s">
        <v>899</v>
      </c>
      <c r="C1558" s="14" t="s">
        <v>900</v>
      </c>
      <c r="D1558" s="14" t="s">
        <v>614</v>
      </c>
      <c r="E1558" s="15" t="s">
        <v>506</v>
      </c>
      <c r="F1558" s="15">
        <v>3</v>
      </c>
      <c r="G1558" s="16">
        <f t="shared" si="87"/>
        <v>21654</v>
      </c>
      <c r="H1558" s="16">
        <v>21654</v>
      </c>
      <c r="I1558" s="16">
        <f t="shared" ref="I1558:I1575" si="90">J1558-H1558</f>
        <v>0</v>
      </c>
      <c r="J1558" s="31">
        <v>21654</v>
      </c>
      <c r="K1558" s="69">
        <f t="shared" si="88"/>
        <v>0</v>
      </c>
      <c r="L1558" s="50"/>
      <c r="M1558" s="109"/>
      <c r="N1558" s="110"/>
    </row>
    <row r="1559" spans="1:14" ht="15" hidden="1" thickBot="1" x14ac:dyDescent="0.35">
      <c r="A1559" s="20">
        <v>255</v>
      </c>
      <c r="B1559" s="14" t="s">
        <v>899</v>
      </c>
      <c r="C1559" s="14" t="s">
        <v>900</v>
      </c>
      <c r="D1559" s="14" t="s">
        <v>510</v>
      </c>
      <c r="E1559" s="15" t="s">
        <v>508</v>
      </c>
      <c r="F1559" s="15">
        <v>2</v>
      </c>
      <c r="G1559" s="16">
        <f t="shared" si="87"/>
        <v>7810</v>
      </c>
      <c r="H1559" s="16">
        <v>7810</v>
      </c>
      <c r="I1559" s="16">
        <f t="shared" si="90"/>
        <v>0</v>
      </c>
      <c r="J1559" s="31">
        <v>7810</v>
      </c>
      <c r="K1559" s="69">
        <f t="shared" si="88"/>
        <v>0</v>
      </c>
      <c r="L1559" s="50"/>
      <c r="M1559" s="109"/>
      <c r="N1559" s="110"/>
    </row>
    <row r="1560" spans="1:14" ht="15" hidden="1" thickBot="1" x14ac:dyDescent="0.35">
      <c r="A1560" s="20">
        <v>255</v>
      </c>
      <c r="B1560" s="14" t="s">
        <v>899</v>
      </c>
      <c r="C1560" s="14" t="s">
        <v>900</v>
      </c>
      <c r="D1560" s="14" t="s">
        <v>614</v>
      </c>
      <c r="E1560" s="15" t="s">
        <v>508</v>
      </c>
      <c r="F1560" s="15">
        <v>3</v>
      </c>
      <c r="G1560" s="16">
        <f t="shared" si="87"/>
        <v>21654</v>
      </c>
      <c r="H1560" s="16">
        <v>21654</v>
      </c>
      <c r="I1560" s="16">
        <f t="shared" si="90"/>
        <v>0</v>
      </c>
      <c r="J1560" s="31">
        <v>21654</v>
      </c>
      <c r="K1560" s="69">
        <f t="shared" si="88"/>
        <v>0</v>
      </c>
      <c r="L1560" s="50"/>
      <c r="M1560" s="109"/>
      <c r="N1560" s="110"/>
    </row>
    <row r="1561" spans="1:14" ht="15" hidden="1" thickBot="1" x14ac:dyDescent="0.35">
      <c r="A1561" s="20">
        <v>255</v>
      </c>
      <c r="B1561" s="14" t="s">
        <v>899</v>
      </c>
      <c r="C1561" s="14" t="s">
        <v>900</v>
      </c>
      <c r="D1561" s="14" t="s">
        <v>510</v>
      </c>
      <c r="E1561" s="15" t="s">
        <v>506</v>
      </c>
      <c r="F1561" s="15">
        <v>2</v>
      </c>
      <c r="G1561" s="16">
        <f t="shared" si="87"/>
        <v>7810</v>
      </c>
      <c r="H1561" s="16">
        <v>7810</v>
      </c>
      <c r="I1561" s="16">
        <f t="shared" si="90"/>
        <v>0</v>
      </c>
      <c r="J1561" s="31">
        <v>7810</v>
      </c>
      <c r="K1561" s="69">
        <f t="shared" si="88"/>
        <v>0</v>
      </c>
      <c r="L1561" s="50"/>
      <c r="M1561" s="109"/>
      <c r="N1561" s="110"/>
    </row>
    <row r="1562" spans="1:14" ht="15" hidden="1" thickBot="1" x14ac:dyDescent="0.35">
      <c r="A1562" s="20">
        <v>255</v>
      </c>
      <c r="B1562" s="14" t="s">
        <v>899</v>
      </c>
      <c r="C1562" s="14" t="s">
        <v>900</v>
      </c>
      <c r="D1562" s="14" t="s">
        <v>510</v>
      </c>
      <c r="E1562" s="15" t="s">
        <v>500</v>
      </c>
      <c r="F1562" s="15">
        <v>2</v>
      </c>
      <c r="G1562" s="16">
        <f t="shared" si="87"/>
        <v>10775.1</v>
      </c>
      <c r="H1562" s="16">
        <v>10775.1</v>
      </c>
      <c r="I1562" s="16">
        <f t="shared" si="90"/>
        <v>0</v>
      </c>
      <c r="J1562" s="31">
        <v>10775.1</v>
      </c>
      <c r="K1562" s="69">
        <f t="shared" si="88"/>
        <v>0</v>
      </c>
      <c r="L1562" s="50"/>
      <c r="M1562" s="109"/>
      <c r="N1562" s="110"/>
    </row>
    <row r="1563" spans="1:14" ht="15" hidden="1" thickBot="1" x14ac:dyDescent="0.35">
      <c r="A1563" s="20">
        <v>255</v>
      </c>
      <c r="B1563" s="14" t="s">
        <v>899</v>
      </c>
      <c r="C1563" s="14" t="s">
        <v>900</v>
      </c>
      <c r="D1563" s="14" t="s">
        <v>985</v>
      </c>
      <c r="E1563" s="15" t="s">
        <v>506</v>
      </c>
      <c r="F1563" s="15">
        <v>3</v>
      </c>
      <c r="G1563" s="16">
        <f t="shared" si="87"/>
        <v>18140</v>
      </c>
      <c r="H1563" s="16">
        <v>18140</v>
      </c>
      <c r="I1563" s="16">
        <f t="shared" si="90"/>
        <v>0</v>
      </c>
      <c r="J1563" s="31">
        <v>18140</v>
      </c>
      <c r="K1563" s="69">
        <f t="shared" si="88"/>
        <v>0</v>
      </c>
      <c r="L1563" s="50"/>
      <c r="M1563" s="109"/>
      <c r="N1563" s="110">
        <v>0.9</v>
      </c>
    </row>
    <row r="1564" spans="1:14" ht="15" hidden="1" thickBot="1" x14ac:dyDescent="0.35">
      <c r="A1564" s="20">
        <v>255</v>
      </c>
      <c r="B1564" s="14" t="s">
        <v>899</v>
      </c>
      <c r="C1564" s="14" t="s">
        <v>900</v>
      </c>
      <c r="D1564" s="14" t="s">
        <v>670</v>
      </c>
      <c r="E1564" s="15" t="s">
        <v>506</v>
      </c>
      <c r="F1564" s="15">
        <v>3</v>
      </c>
      <c r="G1564" s="16">
        <f t="shared" si="87"/>
        <v>27230</v>
      </c>
      <c r="H1564" s="16">
        <v>27230</v>
      </c>
      <c r="I1564" s="16">
        <f t="shared" si="90"/>
        <v>0</v>
      </c>
      <c r="J1564" s="31">
        <v>27230</v>
      </c>
      <c r="K1564" s="69">
        <f t="shared" si="88"/>
        <v>0</v>
      </c>
      <c r="L1564" s="50"/>
      <c r="M1564" s="109"/>
      <c r="N1564" s="110">
        <v>0.9</v>
      </c>
    </row>
    <row r="1565" spans="1:14" ht="15" hidden="1" thickBot="1" x14ac:dyDescent="0.35">
      <c r="A1565" s="20">
        <v>255</v>
      </c>
      <c r="B1565" s="14" t="s">
        <v>899</v>
      </c>
      <c r="C1565" s="14" t="s">
        <v>900</v>
      </c>
      <c r="D1565" s="14" t="s">
        <v>1061</v>
      </c>
      <c r="E1565" s="15" t="s">
        <v>508</v>
      </c>
      <c r="F1565" s="15">
        <v>2</v>
      </c>
      <c r="G1565" s="16">
        <f t="shared" si="87"/>
        <v>28454</v>
      </c>
      <c r="H1565" s="16">
        <v>28454</v>
      </c>
      <c r="I1565" s="16">
        <f t="shared" si="90"/>
        <v>0</v>
      </c>
      <c r="J1565" s="31">
        <v>28454</v>
      </c>
      <c r="K1565" s="69">
        <f t="shared" si="88"/>
        <v>0</v>
      </c>
      <c r="L1565" s="50"/>
      <c r="M1565" s="109"/>
      <c r="N1565" s="110">
        <v>0.9</v>
      </c>
    </row>
    <row r="1566" spans="1:14" ht="15" hidden="1" thickBot="1" x14ac:dyDescent="0.35">
      <c r="A1566" s="20">
        <v>255</v>
      </c>
      <c r="B1566" s="14" t="s">
        <v>899</v>
      </c>
      <c r="C1566" s="14" t="s">
        <v>900</v>
      </c>
      <c r="D1566" s="14" t="s">
        <v>618</v>
      </c>
      <c r="E1566" s="15" t="s">
        <v>509</v>
      </c>
      <c r="F1566" s="15">
        <v>2</v>
      </c>
      <c r="G1566" s="16">
        <f t="shared" si="87"/>
        <v>14284</v>
      </c>
      <c r="H1566" s="16">
        <v>14284</v>
      </c>
      <c r="I1566" s="16">
        <f t="shared" si="90"/>
        <v>0</v>
      </c>
      <c r="J1566" s="31">
        <v>14284</v>
      </c>
      <c r="K1566" s="69">
        <f t="shared" si="88"/>
        <v>0</v>
      </c>
      <c r="L1566" s="50"/>
      <c r="M1566" s="109"/>
      <c r="N1566" s="110">
        <v>0.8</v>
      </c>
    </row>
    <row r="1567" spans="1:14" ht="15" hidden="1" thickBot="1" x14ac:dyDescent="0.35">
      <c r="A1567" s="20">
        <v>255</v>
      </c>
      <c r="B1567" s="14" t="s">
        <v>899</v>
      </c>
      <c r="C1567" s="14" t="s">
        <v>900</v>
      </c>
      <c r="D1567" s="14" t="s">
        <v>694</v>
      </c>
      <c r="E1567" s="15" t="s">
        <v>509</v>
      </c>
      <c r="F1567" s="15">
        <v>2</v>
      </c>
      <c r="G1567" s="16">
        <f t="shared" si="87"/>
        <v>14284</v>
      </c>
      <c r="H1567" s="16">
        <v>14284</v>
      </c>
      <c r="I1567" s="16">
        <f t="shared" si="90"/>
        <v>0</v>
      </c>
      <c r="J1567" s="31">
        <v>14284</v>
      </c>
      <c r="K1567" s="69">
        <f t="shared" si="88"/>
        <v>0</v>
      </c>
      <c r="L1567" s="50"/>
      <c r="M1567" s="109"/>
      <c r="N1567" s="110">
        <v>0.8</v>
      </c>
    </row>
    <row r="1568" spans="1:14" ht="15" hidden="1" thickBot="1" x14ac:dyDescent="0.35">
      <c r="A1568" s="20">
        <v>255</v>
      </c>
      <c r="B1568" s="14" t="s">
        <v>899</v>
      </c>
      <c r="C1568" s="14" t="s">
        <v>900</v>
      </c>
      <c r="D1568" s="14" t="s">
        <v>679</v>
      </c>
      <c r="E1568" s="15" t="s">
        <v>502</v>
      </c>
      <c r="F1568" s="15">
        <v>3</v>
      </c>
      <c r="G1568" s="16">
        <f t="shared" si="87"/>
        <v>22640</v>
      </c>
      <c r="H1568" s="16">
        <v>22640</v>
      </c>
      <c r="I1568" s="16">
        <f t="shared" si="90"/>
        <v>0</v>
      </c>
      <c r="J1568" s="31">
        <v>22640</v>
      </c>
      <c r="K1568" s="69">
        <f t="shared" si="88"/>
        <v>0</v>
      </c>
      <c r="L1568" s="50"/>
      <c r="M1568" s="109"/>
      <c r="N1568" s="110">
        <v>0.9</v>
      </c>
    </row>
    <row r="1569" spans="1:14" ht="15" hidden="1" thickBot="1" x14ac:dyDescent="0.35">
      <c r="A1569" s="20">
        <v>255</v>
      </c>
      <c r="B1569" s="14" t="s">
        <v>899</v>
      </c>
      <c r="C1569" s="14" t="s">
        <v>900</v>
      </c>
      <c r="D1569" s="14" t="s">
        <v>981</v>
      </c>
      <c r="E1569" s="15" t="s">
        <v>502</v>
      </c>
      <c r="F1569" s="15">
        <v>3</v>
      </c>
      <c r="G1569" s="16">
        <f t="shared" si="87"/>
        <v>19371</v>
      </c>
      <c r="H1569" s="16">
        <v>19571</v>
      </c>
      <c r="I1569" s="16">
        <f t="shared" si="90"/>
        <v>0</v>
      </c>
      <c r="J1569" s="31">
        <v>19571</v>
      </c>
      <c r="K1569" s="69">
        <f t="shared" si="88"/>
        <v>0</v>
      </c>
      <c r="L1569" s="50">
        <v>200</v>
      </c>
      <c r="M1569" s="109">
        <v>200</v>
      </c>
      <c r="N1569" s="110">
        <v>0.9</v>
      </c>
    </row>
    <row r="1570" spans="1:14" ht="15" hidden="1" thickBot="1" x14ac:dyDescent="0.35">
      <c r="A1570" s="20">
        <v>255</v>
      </c>
      <c r="B1570" s="14" t="s">
        <v>899</v>
      </c>
      <c r="C1570" s="14" t="s">
        <v>900</v>
      </c>
      <c r="D1570" s="14" t="s">
        <v>1102</v>
      </c>
      <c r="E1570" s="15" t="s">
        <v>500</v>
      </c>
      <c r="F1570" s="15">
        <v>2</v>
      </c>
      <c r="G1570" s="16">
        <f t="shared" si="87"/>
        <v>20291</v>
      </c>
      <c r="H1570" s="16">
        <v>20291</v>
      </c>
      <c r="I1570" s="16">
        <f t="shared" si="90"/>
        <v>0</v>
      </c>
      <c r="J1570" s="31">
        <v>20291</v>
      </c>
      <c r="K1570" s="69">
        <f t="shared" si="88"/>
        <v>0</v>
      </c>
      <c r="L1570" s="50"/>
      <c r="M1570" s="109"/>
      <c r="N1570" s="110">
        <v>0.9</v>
      </c>
    </row>
    <row r="1571" spans="1:14" ht="15" hidden="1" thickBot="1" x14ac:dyDescent="0.35">
      <c r="A1571" s="20">
        <v>255</v>
      </c>
      <c r="B1571" s="14" t="s">
        <v>899</v>
      </c>
      <c r="C1571" s="14" t="s">
        <v>900</v>
      </c>
      <c r="D1571" s="14" t="s">
        <v>1043</v>
      </c>
      <c r="E1571" s="15" t="s">
        <v>504</v>
      </c>
      <c r="F1571" s="15">
        <v>4</v>
      </c>
      <c r="G1571" s="16">
        <f t="shared" si="87"/>
        <v>23432</v>
      </c>
      <c r="H1571" s="16">
        <v>23432</v>
      </c>
      <c r="I1571" s="16">
        <f t="shared" si="90"/>
        <v>0</v>
      </c>
      <c r="J1571" s="31">
        <v>23432</v>
      </c>
      <c r="K1571" s="69">
        <f t="shared" si="88"/>
        <v>0</v>
      </c>
      <c r="L1571" s="50"/>
      <c r="M1571" s="109"/>
      <c r="N1571" s="110">
        <v>0.9</v>
      </c>
    </row>
    <row r="1572" spans="1:14" ht="15" hidden="1" thickBot="1" x14ac:dyDescent="0.35">
      <c r="A1572" s="20">
        <v>255</v>
      </c>
      <c r="B1572" s="14" t="s">
        <v>899</v>
      </c>
      <c r="C1572" s="14" t="s">
        <v>900</v>
      </c>
      <c r="D1572" s="14" t="s">
        <v>1001</v>
      </c>
      <c r="E1572" s="15" t="s">
        <v>504</v>
      </c>
      <c r="F1572" s="15">
        <v>3</v>
      </c>
      <c r="G1572" s="16">
        <f t="shared" ref="G1572" si="91">H1572-M1572</f>
        <v>19220</v>
      </c>
      <c r="H1572" s="16">
        <v>19220</v>
      </c>
      <c r="I1572" s="16">
        <f t="shared" ref="I1572" si="92">J1572-H1572</f>
        <v>0</v>
      </c>
      <c r="J1572" s="31">
        <v>19220</v>
      </c>
      <c r="K1572" s="69">
        <f t="shared" ref="K1572" si="93">M1572-L1572</f>
        <v>0</v>
      </c>
      <c r="L1572" s="50"/>
      <c r="M1572" s="109"/>
      <c r="N1572" s="110">
        <v>0.9</v>
      </c>
    </row>
    <row r="1573" spans="1:14" ht="15" hidden="1" thickBot="1" x14ac:dyDescent="0.35">
      <c r="A1573" s="20">
        <v>255</v>
      </c>
      <c r="B1573" s="14" t="s">
        <v>899</v>
      </c>
      <c r="C1573" s="14" t="s">
        <v>900</v>
      </c>
      <c r="D1573" s="14" t="s">
        <v>980</v>
      </c>
      <c r="E1573" s="15" t="s">
        <v>504</v>
      </c>
      <c r="F1573" s="15">
        <v>1</v>
      </c>
      <c r="G1573" s="16">
        <f t="shared" si="87"/>
        <v>18500</v>
      </c>
      <c r="H1573" s="16">
        <v>18500</v>
      </c>
      <c r="I1573" s="16">
        <f t="shared" si="90"/>
        <v>0</v>
      </c>
      <c r="J1573" s="31">
        <v>18500</v>
      </c>
      <c r="K1573" s="69">
        <f t="shared" si="88"/>
        <v>0</v>
      </c>
      <c r="L1573" s="50"/>
      <c r="M1573" s="109"/>
      <c r="N1573" s="110">
        <v>0.9</v>
      </c>
    </row>
    <row r="1574" spans="1:14" ht="15" hidden="1" thickBot="1" x14ac:dyDescent="0.35">
      <c r="A1574" s="20">
        <v>255</v>
      </c>
      <c r="B1574" s="14" t="s">
        <v>899</v>
      </c>
      <c r="C1574" s="14" t="s">
        <v>900</v>
      </c>
      <c r="D1574" s="14" t="s">
        <v>1076</v>
      </c>
      <c r="E1574" s="15" t="s">
        <v>512</v>
      </c>
      <c r="F1574" s="15">
        <v>3</v>
      </c>
      <c r="G1574" s="16">
        <f t="shared" si="87"/>
        <v>18932</v>
      </c>
      <c r="H1574" s="16">
        <v>18932</v>
      </c>
      <c r="I1574" s="16">
        <f t="shared" si="90"/>
        <v>0</v>
      </c>
      <c r="J1574" s="31">
        <v>18932</v>
      </c>
      <c r="K1574" s="69">
        <f t="shared" si="88"/>
        <v>0</v>
      </c>
      <c r="L1574" s="50"/>
      <c r="M1574" s="109"/>
      <c r="N1574" s="110">
        <v>0.9</v>
      </c>
    </row>
    <row r="1575" spans="1:14" ht="15" hidden="1" thickBot="1" x14ac:dyDescent="0.35">
      <c r="A1575" s="20">
        <v>255</v>
      </c>
      <c r="B1575" s="14" t="s">
        <v>899</v>
      </c>
      <c r="C1575" s="14" t="s">
        <v>900</v>
      </c>
      <c r="D1575" s="14" t="s">
        <v>518</v>
      </c>
      <c r="E1575" s="15" t="s">
        <v>503</v>
      </c>
      <c r="F1575" s="15">
        <v>2</v>
      </c>
      <c r="G1575" s="16">
        <f t="shared" si="87"/>
        <v>12113</v>
      </c>
      <c r="H1575" s="16">
        <v>12113</v>
      </c>
      <c r="I1575" s="16">
        <f t="shared" si="90"/>
        <v>0</v>
      </c>
      <c r="J1575" s="31">
        <v>12113</v>
      </c>
      <c r="K1575" s="69">
        <f t="shared" si="88"/>
        <v>0</v>
      </c>
      <c r="L1575" s="50"/>
      <c r="M1575" s="109"/>
      <c r="N1575" s="110"/>
    </row>
    <row r="1576" spans="1:14" ht="15" hidden="1" thickBot="1" x14ac:dyDescent="0.35">
      <c r="A1576" s="20">
        <v>255</v>
      </c>
      <c r="B1576" s="14" t="s">
        <v>899</v>
      </c>
      <c r="C1576" s="14" t="s">
        <v>900</v>
      </c>
      <c r="D1576" s="14" t="s">
        <v>638</v>
      </c>
      <c r="E1576" s="15" t="s">
        <v>504</v>
      </c>
      <c r="F1576" s="15">
        <v>2</v>
      </c>
      <c r="G1576" s="16">
        <f t="shared" si="87"/>
        <v>10044</v>
      </c>
      <c r="H1576" s="16">
        <v>10044</v>
      </c>
      <c r="I1576" s="16">
        <f t="shared" si="89"/>
        <v>0</v>
      </c>
      <c r="J1576" s="31">
        <v>10044</v>
      </c>
      <c r="K1576" s="69">
        <f t="shared" si="88"/>
        <v>0</v>
      </c>
      <c r="L1576" s="50"/>
      <c r="M1576" s="109"/>
      <c r="N1576" s="110">
        <v>0.9</v>
      </c>
    </row>
    <row r="1577" spans="1:14" ht="15" hidden="1" thickBot="1" x14ac:dyDescent="0.35">
      <c r="A1577" s="14">
        <v>256</v>
      </c>
      <c r="B1577" s="14" t="s">
        <v>904</v>
      </c>
      <c r="C1577" s="14" t="s">
        <v>533</v>
      </c>
      <c r="D1577" s="14" t="s">
        <v>497</v>
      </c>
      <c r="E1577" s="15" t="s">
        <v>14</v>
      </c>
      <c r="F1577" s="15">
        <v>1</v>
      </c>
      <c r="G1577" s="16">
        <f t="shared" si="87"/>
        <v>14400</v>
      </c>
      <c r="H1577" s="16">
        <v>14400</v>
      </c>
      <c r="I1577" s="16">
        <f t="shared" si="89"/>
        <v>0</v>
      </c>
      <c r="J1577" s="31">
        <v>14400</v>
      </c>
      <c r="K1577" s="69">
        <f t="shared" si="88"/>
        <v>0</v>
      </c>
      <c r="L1577" s="50"/>
      <c r="M1577" s="109"/>
      <c r="N1577" s="110"/>
    </row>
    <row r="1578" spans="1:14" ht="15" hidden="1" thickBot="1" x14ac:dyDescent="0.35">
      <c r="A1578" s="14">
        <v>257</v>
      </c>
      <c r="B1578" s="14" t="s">
        <v>905</v>
      </c>
      <c r="C1578" s="14" t="s">
        <v>906</v>
      </c>
      <c r="D1578" s="14" t="s">
        <v>752</v>
      </c>
      <c r="E1578" s="15" t="s">
        <v>504</v>
      </c>
      <c r="F1578" s="15">
        <v>3</v>
      </c>
      <c r="G1578" s="16">
        <f t="shared" si="87"/>
        <v>30993</v>
      </c>
      <c r="H1578" s="16">
        <v>31793</v>
      </c>
      <c r="I1578" s="16">
        <f t="shared" si="89"/>
        <v>0</v>
      </c>
      <c r="J1578" s="31">
        <v>31793</v>
      </c>
      <c r="K1578" s="69">
        <f t="shared" si="88"/>
        <v>0</v>
      </c>
      <c r="L1578" s="50">
        <v>800</v>
      </c>
      <c r="M1578" s="109">
        <v>800</v>
      </c>
      <c r="N1578" s="110"/>
    </row>
    <row r="1579" spans="1:14" ht="15" hidden="1" thickBot="1" x14ac:dyDescent="0.35">
      <c r="A1579" s="20">
        <v>258</v>
      </c>
      <c r="B1579" s="14" t="s">
        <v>907</v>
      </c>
      <c r="C1579" s="20" t="s">
        <v>730</v>
      </c>
      <c r="D1579" s="14" t="s">
        <v>694</v>
      </c>
      <c r="E1579" s="15" t="s">
        <v>509</v>
      </c>
      <c r="F1579" s="15">
        <v>11</v>
      </c>
      <c r="G1579" s="16">
        <f t="shared" si="87"/>
        <v>101413</v>
      </c>
      <c r="H1579" s="16">
        <v>103593</v>
      </c>
      <c r="I1579" s="16">
        <f t="shared" si="89"/>
        <v>0</v>
      </c>
      <c r="J1579" s="31">
        <v>103593</v>
      </c>
      <c r="K1579" s="69">
        <f t="shared" si="88"/>
        <v>0</v>
      </c>
      <c r="L1579" s="50">
        <v>2180</v>
      </c>
      <c r="M1579" s="109">
        <v>2180</v>
      </c>
      <c r="N1579" s="110" t="s">
        <v>1453</v>
      </c>
    </row>
    <row r="1580" spans="1:14" ht="15" hidden="1" thickBot="1" x14ac:dyDescent="0.35">
      <c r="A1580" s="20">
        <v>258</v>
      </c>
      <c r="B1580" s="14" t="s">
        <v>907</v>
      </c>
      <c r="C1580" s="14" t="s">
        <v>730</v>
      </c>
      <c r="D1580" s="14" t="s">
        <v>510</v>
      </c>
      <c r="E1580" s="15" t="s">
        <v>509</v>
      </c>
      <c r="F1580" s="15">
        <v>7</v>
      </c>
      <c r="G1580" s="16">
        <f t="shared" si="87"/>
        <v>19754.5</v>
      </c>
      <c r="H1580" s="16">
        <v>21174.5</v>
      </c>
      <c r="I1580" s="16">
        <f t="shared" si="89"/>
        <v>0</v>
      </c>
      <c r="J1580" s="31">
        <v>21174.5</v>
      </c>
      <c r="K1580" s="69">
        <f t="shared" si="88"/>
        <v>0</v>
      </c>
      <c r="L1580" s="50">
        <v>1420</v>
      </c>
      <c r="M1580" s="109">
        <v>1420</v>
      </c>
      <c r="N1580" s="110">
        <v>0.95</v>
      </c>
    </row>
    <row r="1581" spans="1:14" ht="15" hidden="1" thickBot="1" x14ac:dyDescent="0.35">
      <c r="A1581" s="20">
        <v>258</v>
      </c>
      <c r="B1581" s="14" t="s">
        <v>907</v>
      </c>
      <c r="C1581" s="14" t="s">
        <v>1470</v>
      </c>
      <c r="D1581" s="14" t="s">
        <v>694</v>
      </c>
      <c r="E1581" s="15" t="s">
        <v>509</v>
      </c>
      <c r="F1581" s="15">
        <v>1</v>
      </c>
      <c r="G1581" s="16">
        <f t="shared" si="87"/>
        <v>3942</v>
      </c>
      <c r="H1581" s="16">
        <v>3942</v>
      </c>
      <c r="I1581" s="16">
        <f t="shared" si="89"/>
        <v>0</v>
      </c>
      <c r="J1581" s="31">
        <v>3942</v>
      </c>
      <c r="K1581" s="69">
        <f t="shared" si="88"/>
        <v>0</v>
      </c>
      <c r="L1581" s="50"/>
      <c r="M1581" s="109"/>
      <c r="N1581" s="110">
        <v>0.9</v>
      </c>
    </row>
    <row r="1582" spans="1:14" ht="15" hidden="1" thickBot="1" x14ac:dyDescent="0.35">
      <c r="A1582" s="20">
        <v>258</v>
      </c>
      <c r="B1582" s="14" t="s">
        <v>907</v>
      </c>
      <c r="C1582" s="19" t="s">
        <v>1470</v>
      </c>
      <c r="D1582" s="14" t="s">
        <v>618</v>
      </c>
      <c r="E1582" s="15" t="s">
        <v>509</v>
      </c>
      <c r="F1582" s="15">
        <v>2</v>
      </c>
      <c r="G1582" s="16">
        <f t="shared" si="87"/>
        <v>4176</v>
      </c>
      <c r="H1582" s="16">
        <v>4176</v>
      </c>
      <c r="I1582" s="16">
        <f t="shared" si="89"/>
        <v>0</v>
      </c>
      <c r="J1582" s="31">
        <v>4176</v>
      </c>
      <c r="K1582" s="69">
        <f t="shared" si="88"/>
        <v>0</v>
      </c>
      <c r="L1582" s="50"/>
      <c r="M1582" s="109"/>
      <c r="N1582" s="110">
        <v>0.9</v>
      </c>
    </row>
    <row r="1583" spans="1:14" ht="15" hidden="1" thickBot="1" x14ac:dyDescent="0.35">
      <c r="A1583" s="14">
        <v>259</v>
      </c>
      <c r="B1583" s="14" t="s">
        <v>908</v>
      </c>
      <c r="C1583" s="14" t="s">
        <v>940</v>
      </c>
      <c r="D1583" s="14" t="s">
        <v>510</v>
      </c>
      <c r="E1583" s="15" t="s">
        <v>509</v>
      </c>
      <c r="F1583" s="15">
        <v>1</v>
      </c>
      <c r="G1583" s="16">
        <f t="shared" si="87"/>
        <v>4980</v>
      </c>
      <c r="H1583" s="16">
        <v>5130</v>
      </c>
      <c r="I1583" s="16">
        <f t="shared" si="89"/>
        <v>0</v>
      </c>
      <c r="J1583" s="31">
        <v>5130</v>
      </c>
      <c r="K1583" s="69">
        <f t="shared" si="88"/>
        <v>0</v>
      </c>
      <c r="L1583" s="50">
        <v>150</v>
      </c>
      <c r="M1583" s="109">
        <v>150</v>
      </c>
      <c r="N1583" s="110">
        <v>0.56999999999999995</v>
      </c>
    </row>
    <row r="1584" spans="1:14" ht="15" hidden="1" thickBot="1" x14ac:dyDescent="0.35">
      <c r="A1584" s="20">
        <v>260</v>
      </c>
      <c r="B1584" s="14" t="s">
        <v>909</v>
      </c>
      <c r="C1584" s="20" t="s">
        <v>1272</v>
      </c>
      <c r="D1584" s="14" t="s">
        <v>638</v>
      </c>
      <c r="E1584" s="15" t="s">
        <v>509</v>
      </c>
      <c r="F1584" s="15">
        <v>2</v>
      </c>
      <c r="G1584" s="16">
        <f t="shared" si="87"/>
        <v>16110</v>
      </c>
      <c r="H1584" s="16">
        <v>16110</v>
      </c>
      <c r="I1584" s="16">
        <f t="shared" si="89"/>
        <v>0</v>
      </c>
      <c r="J1584" s="31">
        <v>16110</v>
      </c>
      <c r="K1584" s="69">
        <f t="shared" si="88"/>
        <v>0</v>
      </c>
      <c r="L1584" s="50"/>
      <c r="M1584" s="109"/>
      <c r="N1584" s="110"/>
    </row>
    <row r="1585" spans="1:14" ht="15" hidden="1" thickBot="1" x14ac:dyDescent="0.35">
      <c r="A1585" s="20">
        <v>260</v>
      </c>
      <c r="B1585" s="14" t="s">
        <v>909</v>
      </c>
      <c r="C1585" s="20" t="s">
        <v>1272</v>
      </c>
      <c r="D1585" s="14" t="s">
        <v>638</v>
      </c>
      <c r="E1585" s="15" t="s">
        <v>508</v>
      </c>
      <c r="F1585" s="15">
        <v>2</v>
      </c>
      <c r="G1585" s="16">
        <f t="shared" si="87"/>
        <v>6850</v>
      </c>
      <c r="H1585" s="16">
        <v>6850</v>
      </c>
      <c r="I1585" s="16">
        <f t="shared" si="89"/>
        <v>0</v>
      </c>
      <c r="J1585" s="31">
        <v>6850</v>
      </c>
      <c r="K1585" s="69">
        <f t="shared" si="88"/>
        <v>0</v>
      </c>
      <c r="L1585" s="50"/>
      <c r="M1585" s="109"/>
      <c r="N1585" s="110"/>
    </row>
    <row r="1586" spans="1:14" ht="15" hidden="1" thickBot="1" x14ac:dyDescent="0.35">
      <c r="A1586" s="20">
        <v>260</v>
      </c>
      <c r="B1586" s="14" t="s">
        <v>909</v>
      </c>
      <c r="C1586" s="14" t="s">
        <v>1272</v>
      </c>
      <c r="D1586" s="14" t="s">
        <v>638</v>
      </c>
      <c r="E1586" s="15" t="s">
        <v>504</v>
      </c>
      <c r="F1586" s="15">
        <v>2</v>
      </c>
      <c r="G1586" s="16">
        <f t="shared" si="87"/>
        <v>7470</v>
      </c>
      <c r="H1586" s="16">
        <v>7470</v>
      </c>
      <c r="I1586" s="16">
        <f t="shared" si="89"/>
        <v>0</v>
      </c>
      <c r="J1586" s="31">
        <v>7470</v>
      </c>
      <c r="K1586" s="69">
        <f t="shared" si="88"/>
        <v>0</v>
      </c>
      <c r="L1586" s="50"/>
      <c r="M1586" s="109"/>
      <c r="N1586" s="110"/>
    </row>
    <row r="1587" spans="1:14" ht="15" hidden="1" thickBot="1" x14ac:dyDescent="0.35">
      <c r="A1587" s="20">
        <v>261</v>
      </c>
      <c r="B1587" s="14" t="s">
        <v>911</v>
      </c>
      <c r="C1587" s="21" t="s">
        <v>730</v>
      </c>
      <c r="D1587" s="14" t="s">
        <v>524</v>
      </c>
      <c r="E1587" s="15" t="s">
        <v>503</v>
      </c>
      <c r="F1587" s="15">
        <v>2</v>
      </c>
      <c r="G1587" s="16">
        <f t="shared" si="87"/>
        <v>12330</v>
      </c>
      <c r="H1587" s="16">
        <v>12570</v>
      </c>
      <c r="I1587" s="16">
        <f t="shared" si="89"/>
        <v>0</v>
      </c>
      <c r="J1587" s="31">
        <v>12570</v>
      </c>
      <c r="K1587" s="69">
        <f t="shared" si="88"/>
        <v>0</v>
      </c>
      <c r="L1587" s="50">
        <v>240</v>
      </c>
      <c r="M1587" s="109">
        <v>240</v>
      </c>
      <c r="N1587" s="110"/>
    </row>
    <row r="1588" spans="1:14" ht="15" hidden="1" thickBot="1" x14ac:dyDescent="0.35">
      <c r="A1588" s="20">
        <v>261</v>
      </c>
      <c r="B1588" s="14" t="s">
        <v>911</v>
      </c>
      <c r="C1588" s="20" t="s">
        <v>719</v>
      </c>
      <c r="D1588" s="14" t="s">
        <v>505</v>
      </c>
      <c r="E1588" s="15" t="s">
        <v>504</v>
      </c>
      <c r="F1588" s="15">
        <v>4</v>
      </c>
      <c r="G1588" s="16">
        <f t="shared" si="87"/>
        <v>3665</v>
      </c>
      <c r="H1588" s="16">
        <v>3665</v>
      </c>
      <c r="I1588" s="16">
        <f t="shared" si="89"/>
        <v>0</v>
      </c>
      <c r="J1588" s="31">
        <v>3665</v>
      </c>
      <c r="K1588" s="69">
        <f t="shared" si="88"/>
        <v>0</v>
      </c>
      <c r="L1588" s="50"/>
      <c r="M1588" s="109"/>
      <c r="N1588" s="110"/>
    </row>
    <row r="1589" spans="1:14" ht="15" hidden="1" thickBot="1" x14ac:dyDescent="0.35">
      <c r="A1589" s="20">
        <v>261</v>
      </c>
      <c r="B1589" s="14" t="s">
        <v>911</v>
      </c>
      <c r="C1589" s="20" t="s">
        <v>719</v>
      </c>
      <c r="D1589" s="14" t="s">
        <v>614</v>
      </c>
      <c r="E1589" s="15" t="s">
        <v>512</v>
      </c>
      <c r="F1589" s="15">
        <v>4</v>
      </c>
      <c r="G1589" s="16">
        <f t="shared" si="87"/>
        <v>10199</v>
      </c>
      <c r="H1589" s="16">
        <v>10199</v>
      </c>
      <c r="I1589" s="16">
        <f t="shared" si="89"/>
        <v>0</v>
      </c>
      <c r="J1589" s="31">
        <v>10199</v>
      </c>
      <c r="K1589" s="69">
        <f t="shared" si="88"/>
        <v>0</v>
      </c>
      <c r="L1589" s="50"/>
      <c r="M1589" s="109"/>
      <c r="N1589" s="110"/>
    </row>
    <row r="1590" spans="1:14" ht="15" hidden="1" thickBot="1" x14ac:dyDescent="0.35">
      <c r="A1590" s="20">
        <v>261</v>
      </c>
      <c r="B1590" s="14" t="s">
        <v>911</v>
      </c>
      <c r="C1590" s="20" t="s">
        <v>719</v>
      </c>
      <c r="D1590" s="14" t="s">
        <v>510</v>
      </c>
      <c r="E1590" s="15" t="s">
        <v>512</v>
      </c>
      <c r="F1590" s="15">
        <v>3</v>
      </c>
      <c r="G1590" s="16">
        <f t="shared" si="87"/>
        <v>6269</v>
      </c>
      <c r="H1590" s="16">
        <v>6269</v>
      </c>
      <c r="I1590" s="16">
        <f t="shared" si="89"/>
        <v>0</v>
      </c>
      <c r="J1590" s="31">
        <v>6269</v>
      </c>
      <c r="K1590" s="69">
        <f t="shared" si="88"/>
        <v>0</v>
      </c>
      <c r="L1590" s="50"/>
      <c r="M1590" s="109"/>
      <c r="N1590" s="110"/>
    </row>
    <row r="1591" spans="1:14" ht="15" hidden="1" thickBot="1" x14ac:dyDescent="0.35">
      <c r="A1591" s="20">
        <v>262</v>
      </c>
      <c r="B1591" s="14" t="s">
        <v>912</v>
      </c>
      <c r="C1591" s="20" t="s">
        <v>719</v>
      </c>
      <c r="D1591" s="14" t="s">
        <v>510</v>
      </c>
      <c r="E1591" s="15" t="s">
        <v>500</v>
      </c>
      <c r="F1591" s="15">
        <v>3</v>
      </c>
      <c r="G1591" s="16">
        <f t="shared" si="87"/>
        <v>6238</v>
      </c>
      <c r="H1591" s="16">
        <v>6238</v>
      </c>
      <c r="I1591" s="16">
        <f t="shared" si="89"/>
        <v>0</v>
      </c>
      <c r="J1591" s="31">
        <v>6238</v>
      </c>
      <c r="K1591" s="69">
        <f t="shared" si="88"/>
        <v>0</v>
      </c>
      <c r="L1591" s="50"/>
      <c r="M1591" s="109"/>
      <c r="N1591" s="110"/>
    </row>
    <row r="1592" spans="1:14" ht="15" hidden="1" thickBot="1" x14ac:dyDescent="0.35">
      <c r="A1592" s="20">
        <v>262</v>
      </c>
      <c r="B1592" s="14" t="s">
        <v>912</v>
      </c>
      <c r="C1592" s="14" t="s">
        <v>719</v>
      </c>
      <c r="D1592" s="14" t="s">
        <v>614</v>
      </c>
      <c r="E1592" s="15" t="s">
        <v>500</v>
      </c>
      <c r="F1592" s="15">
        <v>5</v>
      </c>
      <c r="G1592" s="16">
        <f t="shared" si="87"/>
        <v>10139</v>
      </c>
      <c r="H1592" s="16">
        <v>10199</v>
      </c>
      <c r="I1592" s="16">
        <f t="shared" si="89"/>
        <v>0</v>
      </c>
      <c r="J1592" s="31">
        <v>10199</v>
      </c>
      <c r="K1592" s="69">
        <f t="shared" si="88"/>
        <v>0</v>
      </c>
      <c r="L1592" s="50">
        <v>60</v>
      </c>
      <c r="M1592" s="109">
        <v>60</v>
      </c>
      <c r="N1592" s="110"/>
    </row>
    <row r="1593" spans="1:14" ht="15" hidden="1" thickBot="1" x14ac:dyDescent="0.35">
      <c r="A1593" s="20">
        <v>263</v>
      </c>
      <c r="B1593" s="14" t="s">
        <v>913</v>
      </c>
      <c r="C1593" s="20" t="s">
        <v>837</v>
      </c>
      <c r="D1593" s="14" t="s">
        <v>614</v>
      </c>
      <c r="E1593" s="15" t="s">
        <v>504</v>
      </c>
      <c r="F1593" s="15">
        <v>4</v>
      </c>
      <c r="G1593" s="16">
        <f t="shared" si="87"/>
        <v>23729</v>
      </c>
      <c r="H1593" s="16">
        <v>23729</v>
      </c>
      <c r="I1593" s="16">
        <f t="shared" si="89"/>
        <v>0</v>
      </c>
      <c r="J1593" s="31">
        <v>23729</v>
      </c>
      <c r="K1593" s="69">
        <f t="shared" si="88"/>
        <v>0</v>
      </c>
      <c r="L1593" s="50"/>
      <c r="M1593" s="109"/>
      <c r="N1593" s="110"/>
    </row>
    <row r="1594" spans="1:14" ht="15" hidden="1" thickBot="1" x14ac:dyDescent="0.35">
      <c r="A1594" s="20">
        <v>263</v>
      </c>
      <c r="B1594" s="14" t="s">
        <v>913</v>
      </c>
      <c r="C1594" s="20" t="s">
        <v>837</v>
      </c>
      <c r="D1594" s="14" t="s">
        <v>510</v>
      </c>
      <c r="E1594" s="15" t="s">
        <v>504</v>
      </c>
      <c r="F1594" s="15">
        <v>3</v>
      </c>
      <c r="G1594" s="16">
        <f t="shared" si="87"/>
        <v>29002</v>
      </c>
      <c r="H1594" s="16">
        <v>29002</v>
      </c>
      <c r="I1594" s="16">
        <f t="shared" si="89"/>
        <v>0</v>
      </c>
      <c r="J1594" s="31">
        <v>29002</v>
      </c>
      <c r="K1594" s="69">
        <f t="shared" si="88"/>
        <v>0</v>
      </c>
      <c r="L1594" s="50"/>
      <c r="M1594" s="109"/>
      <c r="N1594" s="110"/>
    </row>
    <row r="1595" spans="1:14" ht="15" hidden="1" thickBot="1" x14ac:dyDescent="0.35">
      <c r="A1595" s="14">
        <v>264</v>
      </c>
      <c r="B1595" s="14" t="s">
        <v>914</v>
      </c>
      <c r="C1595" s="20" t="s">
        <v>940</v>
      </c>
      <c r="D1595" s="14" t="s">
        <v>510</v>
      </c>
      <c r="E1595" s="15" t="s">
        <v>500</v>
      </c>
      <c r="F1595" s="15">
        <v>1</v>
      </c>
      <c r="G1595" s="16">
        <f t="shared" ref="G1595:G1659" si="94">H1595-M1595</f>
        <v>3000</v>
      </c>
      <c r="H1595" s="16">
        <v>3000</v>
      </c>
      <c r="I1595" s="16">
        <f t="shared" si="89"/>
        <v>0</v>
      </c>
      <c r="J1595" s="31">
        <v>3000</v>
      </c>
      <c r="K1595" s="69">
        <f t="shared" si="88"/>
        <v>0</v>
      </c>
      <c r="L1595" s="50"/>
      <c r="M1595" s="109"/>
      <c r="N1595" s="110"/>
    </row>
    <row r="1596" spans="1:14" ht="15" hidden="1" thickBot="1" x14ac:dyDescent="0.35">
      <c r="A1596" s="19">
        <v>264</v>
      </c>
      <c r="B1596" s="14" t="s">
        <v>914</v>
      </c>
      <c r="C1596" s="20" t="s">
        <v>940</v>
      </c>
      <c r="D1596" s="14" t="s">
        <v>614</v>
      </c>
      <c r="E1596" s="15" t="s">
        <v>500</v>
      </c>
      <c r="F1596" s="15">
        <v>3</v>
      </c>
      <c r="G1596" s="16">
        <f t="shared" si="94"/>
        <v>12920</v>
      </c>
      <c r="H1596" s="16">
        <v>12920</v>
      </c>
      <c r="I1596" s="16">
        <f t="shared" si="89"/>
        <v>0</v>
      </c>
      <c r="J1596" s="31">
        <v>12920</v>
      </c>
      <c r="K1596" s="69">
        <f t="shared" si="88"/>
        <v>0</v>
      </c>
      <c r="L1596" s="50"/>
      <c r="M1596" s="109"/>
      <c r="N1596" s="110"/>
    </row>
    <row r="1597" spans="1:14" ht="15" hidden="1" thickBot="1" x14ac:dyDescent="0.35">
      <c r="A1597" s="20">
        <v>265</v>
      </c>
      <c r="B1597" s="14" t="s">
        <v>915</v>
      </c>
      <c r="C1597" s="14" t="s">
        <v>940</v>
      </c>
      <c r="D1597" s="14" t="s">
        <v>985</v>
      </c>
      <c r="E1597" s="15" t="s">
        <v>506</v>
      </c>
      <c r="F1597" s="15">
        <v>4</v>
      </c>
      <c r="G1597" s="16">
        <f t="shared" si="94"/>
        <v>21466</v>
      </c>
      <c r="H1597" s="16">
        <v>40471</v>
      </c>
      <c r="I1597" s="16">
        <f>J1597-H1597</f>
        <v>0</v>
      </c>
      <c r="J1597" s="31">
        <v>40471</v>
      </c>
      <c r="K1597" s="69">
        <f t="shared" ref="K1597:K1661" si="95">M1597-L1597</f>
        <v>0</v>
      </c>
      <c r="L1597" s="50">
        <v>19005</v>
      </c>
      <c r="M1597" s="109">
        <v>19005</v>
      </c>
      <c r="N1597" s="110">
        <v>0.95</v>
      </c>
    </row>
    <row r="1598" spans="1:14" ht="15" hidden="1" thickBot="1" x14ac:dyDescent="0.35">
      <c r="A1598" s="20">
        <v>265</v>
      </c>
      <c r="B1598" s="14" t="s">
        <v>915</v>
      </c>
      <c r="C1598" s="20" t="s">
        <v>664</v>
      </c>
      <c r="D1598" s="14" t="s">
        <v>670</v>
      </c>
      <c r="E1598" s="15" t="s">
        <v>506</v>
      </c>
      <c r="F1598" s="15">
        <v>8</v>
      </c>
      <c r="G1598" s="16">
        <f t="shared" si="94"/>
        <v>133299</v>
      </c>
      <c r="H1598" s="16">
        <v>144622</v>
      </c>
      <c r="I1598" s="16">
        <f t="shared" si="89"/>
        <v>0</v>
      </c>
      <c r="J1598" s="31">
        <v>144622</v>
      </c>
      <c r="K1598" s="69">
        <f t="shared" si="95"/>
        <v>0</v>
      </c>
      <c r="L1598" s="50">
        <v>11323</v>
      </c>
      <c r="M1598" s="109">
        <v>11323</v>
      </c>
      <c r="N1598" s="110" t="s">
        <v>1119</v>
      </c>
    </row>
    <row r="1599" spans="1:14" ht="15" hidden="1" thickBot="1" x14ac:dyDescent="0.35">
      <c r="A1599" s="20">
        <v>265</v>
      </c>
      <c r="B1599" s="14" t="s">
        <v>915</v>
      </c>
      <c r="C1599" s="20" t="s">
        <v>664</v>
      </c>
      <c r="D1599" s="14" t="s">
        <v>981</v>
      </c>
      <c r="E1599" s="15" t="s">
        <v>502</v>
      </c>
      <c r="F1599" s="15">
        <v>2</v>
      </c>
      <c r="G1599" s="16">
        <f t="shared" si="94"/>
        <v>14163</v>
      </c>
      <c r="H1599" s="16">
        <v>14163</v>
      </c>
      <c r="I1599" s="16">
        <f t="shared" si="89"/>
        <v>0</v>
      </c>
      <c r="J1599" s="31">
        <v>14163</v>
      </c>
      <c r="K1599" s="69">
        <f t="shared" si="95"/>
        <v>0</v>
      </c>
      <c r="L1599" s="50"/>
      <c r="M1599" s="109"/>
      <c r="N1599" s="110"/>
    </row>
    <row r="1600" spans="1:14" ht="15" hidden="1" thickBot="1" x14ac:dyDescent="0.35">
      <c r="A1600" s="20">
        <v>265</v>
      </c>
      <c r="B1600" s="14" t="s">
        <v>915</v>
      </c>
      <c r="C1600" s="14" t="s">
        <v>664</v>
      </c>
      <c r="D1600" s="14" t="s">
        <v>985</v>
      </c>
      <c r="E1600" s="15" t="s">
        <v>506</v>
      </c>
      <c r="F1600" s="15">
        <v>4</v>
      </c>
      <c r="G1600" s="16">
        <f t="shared" si="94"/>
        <v>33560</v>
      </c>
      <c r="H1600" s="16">
        <v>35720</v>
      </c>
      <c r="I1600" s="16">
        <f t="shared" si="89"/>
        <v>0</v>
      </c>
      <c r="J1600" s="31">
        <v>35720</v>
      </c>
      <c r="K1600" s="69">
        <f t="shared" si="95"/>
        <v>0</v>
      </c>
      <c r="L1600" s="50">
        <v>2160</v>
      </c>
      <c r="M1600" s="109">
        <v>2160</v>
      </c>
      <c r="N1600" s="110"/>
    </row>
    <row r="1601" spans="1:14" ht="15" hidden="1" thickBot="1" x14ac:dyDescent="0.35">
      <c r="A1601" s="20">
        <v>266</v>
      </c>
      <c r="B1601" s="14" t="s">
        <v>916</v>
      </c>
      <c r="C1601" s="21" t="s">
        <v>648</v>
      </c>
      <c r="D1601" s="14" t="s">
        <v>1051</v>
      </c>
      <c r="E1601" s="15" t="s">
        <v>500</v>
      </c>
      <c r="F1601" s="15">
        <v>1</v>
      </c>
      <c r="G1601" s="16">
        <f t="shared" si="94"/>
        <v>1260</v>
      </c>
      <c r="H1601" s="16">
        <v>1260</v>
      </c>
      <c r="I1601" s="16">
        <f>J1601-H1601</f>
        <v>0</v>
      </c>
      <c r="J1601" s="31">
        <v>1260</v>
      </c>
      <c r="K1601" s="69">
        <f t="shared" si="95"/>
        <v>0</v>
      </c>
      <c r="L1601" s="50"/>
      <c r="M1601" s="109"/>
      <c r="N1601" s="110"/>
    </row>
    <row r="1602" spans="1:14" ht="15" hidden="1" thickBot="1" x14ac:dyDescent="0.35">
      <c r="A1602" s="20">
        <v>266</v>
      </c>
      <c r="B1602" s="14" t="s">
        <v>916</v>
      </c>
      <c r="C1602" s="20" t="s">
        <v>730</v>
      </c>
      <c r="D1602" s="14" t="s">
        <v>638</v>
      </c>
      <c r="E1602" s="15" t="s">
        <v>509</v>
      </c>
      <c r="F1602" s="15">
        <v>4</v>
      </c>
      <c r="G1602" s="16">
        <f t="shared" si="94"/>
        <v>8044</v>
      </c>
      <c r="H1602" s="16">
        <v>9424</v>
      </c>
      <c r="I1602" s="16">
        <f t="shared" si="89"/>
        <v>0</v>
      </c>
      <c r="J1602" s="31">
        <v>9424</v>
      </c>
      <c r="K1602" s="69">
        <f t="shared" si="95"/>
        <v>0</v>
      </c>
      <c r="L1602" s="50">
        <v>1380</v>
      </c>
      <c r="M1602" s="109">
        <v>1380</v>
      </c>
      <c r="N1602" s="110"/>
    </row>
    <row r="1603" spans="1:14" ht="15" hidden="1" thickBot="1" x14ac:dyDescent="0.35">
      <c r="A1603" s="20">
        <v>266</v>
      </c>
      <c r="B1603" s="14" t="s">
        <v>916</v>
      </c>
      <c r="C1603" s="20" t="s">
        <v>730</v>
      </c>
      <c r="D1603" s="14" t="s">
        <v>1051</v>
      </c>
      <c r="E1603" s="15" t="s">
        <v>500</v>
      </c>
      <c r="F1603" s="15">
        <v>2</v>
      </c>
      <c r="G1603" s="16">
        <f t="shared" si="94"/>
        <v>5166.8999999999996</v>
      </c>
      <c r="H1603" s="16">
        <v>6561.9</v>
      </c>
      <c r="I1603" s="16">
        <f t="shared" si="89"/>
        <v>0</v>
      </c>
      <c r="J1603" s="31">
        <v>6561.9</v>
      </c>
      <c r="K1603" s="69">
        <f t="shared" si="95"/>
        <v>0</v>
      </c>
      <c r="L1603" s="50">
        <v>1395</v>
      </c>
      <c r="M1603" s="109">
        <v>1395</v>
      </c>
      <c r="N1603" s="110"/>
    </row>
    <row r="1604" spans="1:14" ht="15" hidden="1" thickBot="1" x14ac:dyDescent="0.35">
      <c r="A1604" s="20">
        <v>266</v>
      </c>
      <c r="B1604" s="14" t="s">
        <v>916</v>
      </c>
      <c r="C1604" s="20" t="s">
        <v>730</v>
      </c>
      <c r="D1604" s="14" t="s">
        <v>999</v>
      </c>
      <c r="E1604" s="15" t="s">
        <v>626</v>
      </c>
      <c r="F1604" s="15">
        <v>1</v>
      </c>
      <c r="G1604" s="16">
        <f t="shared" si="94"/>
        <v>3146.4</v>
      </c>
      <c r="H1604" s="16">
        <v>3146.4</v>
      </c>
      <c r="I1604" s="16">
        <f>J1604-H1604</f>
        <v>0</v>
      </c>
      <c r="J1604" s="31">
        <v>3146.4</v>
      </c>
      <c r="K1604" s="69">
        <f t="shared" si="95"/>
        <v>0</v>
      </c>
      <c r="L1604" s="50"/>
      <c r="M1604" s="109"/>
      <c r="N1604" s="110"/>
    </row>
    <row r="1605" spans="1:14" ht="15" hidden="1" thickBot="1" x14ac:dyDescent="0.35">
      <c r="A1605" s="14">
        <v>266</v>
      </c>
      <c r="B1605" s="14" t="s">
        <v>916</v>
      </c>
      <c r="C1605" s="20" t="s">
        <v>730</v>
      </c>
      <c r="D1605" s="14" t="s">
        <v>638</v>
      </c>
      <c r="E1605" s="15" t="s">
        <v>500</v>
      </c>
      <c r="F1605" s="15">
        <v>3</v>
      </c>
      <c r="G1605" s="16">
        <f t="shared" si="94"/>
        <v>12779</v>
      </c>
      <c r="H1605" s="16">
        <v>13419</v>
      </c>
      <c r="I1605" s="16">
        <f t="shared" si="89"/>
        <v>0</v>
      </c>
      <c r="J1605" s="31">
        <v>13419</v>
      </c>
      <c r="K1605" s="69">
        <f t="shared" si="95"/>
        <v>0</v>
      </c>
      <c r="L1605" s="50">
        <v>640</v>
      </c>
      <c r="M1605" s="109">
        <v>640</v>
      </c>
      <c r="N1605" s="110"/>
    </row>
    <row r="1606" spans="1:14" ht="15" hidden="1" thickBot="1" x14ac:dyDescent="0.35">
      <c r="A1606" s="20">
        <v>267</v>
      </c>
      <c r="B1606" s="14" t="s">
        <v>917</v>
      </c>
      <c r="C1606" s="20" t="s">
        <v>918</v>
      </c>
      <c r="D1606" s="14" t="s">
        <v>638</v>
      </c>
      <c r="E1606" s="15" t="s">
        <v>509</v>
      </c>
      <c r="F1606" s="15">
        <v>3</v>
      </c>
      <c r="G1606" s="16">
        <f t="shared" si="94"/>
        <v>15144</v>
      </c>
      <c r="H1606" s="16">
        <v>15144</v>
      </c>
      <c r="I1606" s="16">
        <f t="shared" si="89"/>
        <v>0</v>
      </c>
      <c r="J1606" s="31">
        <v>15144</v>
      </c>
      <c r="K1606" s="69">
        <f t="shared" si="95"/>
        <v>0</v>
      </c>
      <c r="L1606" s="50"/>
      <c r="M1606" s="109"/>
      <c r="N1606" s="110"/>
    </row>
    <row r="1607" spans="1:14" ht="15" hidden="1" thickBot="1" x14ac:dyDescent="0.35">
      <c r="A1607" s="20">
        <v>267</v>
      </c>
      <c r="B1607" s="14" t="s">
        <v>917</v>
      </c>
      <c r="C1607" s="20" t="s">
        <v>918</v>
      </c>
      <c r="D1607" s="14" t="s">
        <v>637</v>
      </c>
      <c r="E1607" s="15" t="s">
        <v>504</v>
      </c>
      <c r="F1607" s="15">
        <v>1</v>
      </c>
      <c r="G1607" s="16">
        <f t="shared" si="94"/>
        <v>950</v>
      </c>
      <c r="H1607" s="16">
        <v>950</v>
      </c>
      <c r="I1607" s="16">
        <f t="shared" si="89"/>
        <v>0</v>
      </c>
      <c r="J1607" s="31">
        <v>950</v>
      </c>
      <c r="K1607" s="69">
        <f t="shared" si="95"/>
        <v>0</v>
      </c>
      <c r="L1607" s="50"/>
      <c r="M1607" s="109"/>
      <c r="N1607" s="110"/>
    </row>
    <row r="1608" spans="1:14" ht="15" hidden="1" thickBot="1" x14ac:dyDescent="0.35">
      <c r="A1608" s="20">
        <v>267</v>
      </c>
      <c r="B1608" s="14" t="s">
        <v>917</v>
      </c>
      <c r="C1608" s="20" t="s">
        <v>918</v>
      </c>
      <c r="D1608" s="14" t="s">
        <v>638</v>
      </c>
      <c r="E1608" s="15" t="s">
        <v>504</v>
      </c>
      <c r="F1608" s="15">
        <v>2</v>
      </c>
      <c r="G1608" s="16">
        <f t="shared" si="94"/>
        <v>449</v>
      </c>
      <c r="H1608" s="16">
        <v>449</v>
      </c>
      <c r="I1608" s="16">
        <f t="shared" si="89"/>
        <v>0</v>
      </c>
      <c r="J1608" s="31">
        <v>449</v>
      </c>
      <c r="K1608" s="69">
        <f t="shared" si="95"/>
        <v>0</v>
      </c>
      <c r="L1608" s="50"/>
      <c r="M1608" s="109"/>
      <c r="N1608" s="110"/>
    </row>
    <row r="1609" spans="1:14" ht="15" hidden="1" thickBot="1" x14ac:dyDescent="0.35">
      <c r="A1609" s="20">
        <v>267</v>
      </c>
      <c r="B1609" s="14" t="s">
        <v>917</v>
      </c>
      <c r="C1609" s="14" t="s">
        <v>918</v>
      </c>
      <c r="D1609" s="14" t="s">
        <v>638</v>
      </c>
      <c r="E1609" s="15" t="s">
        <v>500</v>
      </c>
      <c r="F1609" s="15">
        <v>3</v>
      </c>
      <c r="G1609" s="16">
        <f t="shared" si="94"/>
        <v>14144</v>
      </c>
      <c r="H1609" s="16">
        <v>14144</v>
      </c>
      <c r="I1609" s="16">
        <f t="shared" si="89"/>
        <v>0</v>
      </c>
      <c r="J1609" s="31">
        <v>14144</v>
      </c>
      <c r="K1609" s="69">
        <f t="shared" si="95"/>
        <v>0</v>
      </c>
      <c r="L1609" s="50"/>
      <c r="M1609" s="109"/>
      <c r="N1609" s="110"/>
    </row>
    <row r="1610" spans="1:14" ht="15" hidden="1" thickBot="1" x14ac:dyDescent="0.35">
      <c r="A1610" s="20">
        <v>267</v>
      </c>
      <c r="B1610" s="14" t="s">
        <v>917</v>
      </c>
      <c r="C1610" s="20" t="s">
        <v>918</v>
      </c>
      <c r="D1610" s="14" t="s">
        <v>761</v>
      </c>
      <c r="E1610" s="15" t="s">
        <v>500</v>
      </c>
      <c r="F1610" s="15">
        <v>1</v>
      </c>
      <c r="G1610" s="16">
        <f t="shared" si="94"/>
        <v>1282</v>
      </c>
      <c r="H1610" s="16">
        <v>1282</v>
      </c>
      <c r="I1610" s="16">
        <f t="shared" si="89"/>
        <v>0</v>
      </c>
      <c r="J1610" s="31">
        <v>1282</v>
      </c>
      <c r="K1610" s="69">
        <f t="shared" si="95"/>
        <v>0</v>
      </c>
      <c r="L1610" s="50"/>
      <c r="M1610" s="109"/>
      <c r="N1610" s="110"/>
    </row>
    <row r="1611" spans="1:14" ht="15" hidden="1" thickBot="1" x14ac:dyDescent="0.35">
      <c r="A1611" s="20">
        <v>267</v>
      </c>
      <c r="B1611" s="14" t="s">
        <v>917</v>
      </c>
      <c r="C1611" s="20" t="s">
        <v>918</v>
      </c>
      <c r="D1611" s="14" t="s">
        <v>760</v>
      </c>
      <c r="E1611" s="15" t="s">
        <v>500</v>
      </c>
      <c r="F1611" s="15">
        <v>2</v>
      </c>
      <c r="G1611" s="16">
        <f t="shared" si="94"/>
        <v>2564</v>
      </c>
      <c r="H1611" s="16">
        <v>2564</v>
      </c>
      <c r="I1611" s="16">
        <f t="shared" si="89"/>
        <v>0</v>
      </c>
      <c r="J1611" s="31">
        <v>2564</v>
      </c>
      <c r="K1611" s="69">
        <f t="shared" si="95"/>
        <v>0</v>
      </c>
      <c r="L1611" s="50"/>
      <c r="M1611" s="109"/>
      <c r="N1611" s="110"/>
    </row>
    <row r="1612" spans="1:14" ht="15" hidden="1" thickBot="1" x14ac:dyDescent="0.35">
      <c r="A1612" s="20">
        <v>267</v>
      </c>
      <c r="B1612" s="14" t="s">
        <v>917</v>
      </c>
      <c r="C1612" s="20" t="s">
        <v>918</v>
      </c>
      <c r="D1612" s="14" t="s">
        <v>532</v>
      </c>
      <c r="E1612" s="15" t="s">
        <v>500</v>
      </c>
      <c r="F1612" s="15">
        <v>1</v>
      </c>
      <c r="G1612" s="16">
        <f t="shared" si="94"/>
        <v>332</v>
      </c>
      <c r="H1612" s="16">
        <v>332</v>
      </c>
      <c r="I1612" s="16">
        <f t="shared" si="89"/>
        <v>0</v>
      </c>
      <c r="J1612" s="31">
        <v>332</v>
      </c>
      <c r="K1612" s="69">
        <f t="shared" si="95"/>
        <v>0</v>
      </c>
      <c r="L1612" s="50"/>
      <c r="M1612" s="109"/>
      <c r="N1612" s="110"/>
    </row>
    <row r="1613" spans="1:14" ht="15" hidden="1" thickBot="1" x14ac:dyDescent="0.35">
      <c r="A1613" s="20">
        <v>267</v>
      </c>
      <c r="B1613" s="14" t="s">
        <v>917</v>
      </c>
      <c r="C1613" s="20" t="s">
        <v>918</v>
      </c>
      <c r="D1613" s="14" t="s">
        <v>527</v>
      </c>
      <c r="E1613" s="15" t="s">
        <v>500</v>
      </c>
      <c r="F1613" s="15">
        <v>1</v>
      </c>
      <c r="G1613" s="16">
        <f t="shared" si="94"/>
        <v>332</v>
      </c>
      <c r="H1613" s="16">
        <v>332</v>
      </c>
      <c r="I1613" s="16">
        <f t="shared" si="89"/>
        <v>0</v>
      </c>
      <c r="J1613" s="31">
        <v>332</v>
      </c>
      <c r="K1613" s="69">
        <f t="shared" si="95"/>
        <v>0</v>
      </c>
      <c r="L1613" s="50"/>
      <c r="M1613" s="109"/>
      <c r="N1613" s="110"/>
    </row>
    <row r="1614" spans="1:14" ht="15" hidden="1" thickBot="1" x14ac:dyDescent="0.35">
      <c r="A1614" s="20">
        <v>267</v>
      </c>
      <c r="B1614" s="14" t="s">
        <v>917</v>
      </c>
      <c r="C1614" s="20" t="s">
        <v>918</v>
      </c>
      <c r="D1614" s="14" t="s">
        <v>757</v>
      </c>
      <c r="E1614" s="15" t="s">
        <v>512</v>
      </c>
      <c r="F1614" s="15">
        <v>1</v>
      </c>
      <c r="G1614" s="16">
        <f t="shared" si="94"/>
        <v>855</v>
      </c>
      <c r="H1614" s="16">
        <v>855</v>
      </c>
      <c r="I1614" s="16">
        <f t="shared" si="89"/>
        <v>0</v>
      </c>
      <c r="J1614" s="31">
        <v>855</v>
      </c>
      <c r="K1614" s="69">
        <f t="shared" si="95"/>
        <v>0</v>
      </c>
      <c r="L1614" s="50"/>
      <c r="M1614" s="109"/>
      <c r="N1614" s="110"/>
    </row>
    <row r="1615" spans="1:14" ht="15" hidden="1" thickBot="1" x14ac:dyDescent="0.35">
      <c r="A1615" s="20">
        <v>267</v>
      </c>
      <c r="B1615" s="14" t="s">
        <v>917</v>
      </c>
      <c r="C1615" s="14" t="s">
        <v>918</v>
      </c>
      <c r="D1615" s="14" t="s">
        <v>1831</v>
      </c>
      <c r="E1615" s="15" t="s">
        <v>504</v>
      </c>
      <c r="F1615" s="15">
        <v>1</v>
      </c>
      <c r="G1615" s="16">
        <f t="shared" si="94"/>
        <v>1377</v>
      </c>
      <c r="H1615" s="16">
        <v>1377</v>
      </c>
      <c r="I1615" s="16">
        <f t="shared" si="89"/>
        <v>0</v>
      </c>
      <c r="J1615" s="31">
        <v>1377</v>
      </c>
      <c r="K1615" s="69">
        <f t="shared" si="95"/>
        <v>0</v>
      </c>
      <c r="L1615" s="50"/>
      <c r="M1615" s="109"/>
      <c r="N1615" s="110"/>
    </row>
    <row r="1616" spans="1:14" ht="15" hidden="1" thickBot="1" x14ac:dyDescent="0.35">
      <c r="A1616" s="20">
        <v>268</v>
      </c>
      <c r="B1616" s="14" t="s">
        <v>919</v>
      </c>
      <c r="C1616" s="19" t="s">
        <v>603</v>
      </c>
      <c r="D1616" s="14" t="s">
        <v>638</v>
      </c>
      <c r="E1616" s="15" t="s">
        <v>500</v>
      </c>
      <c r="F1616" s="15">
        <v>6</v>
      </c>
      <c r="G1616" s="16">
        <f t="shared" si="94"/>
        <v>6720</v>
      </c>
      <c r="H1616" s="16">
        <v>6720</v>
      </c>
      <c r="I1616" s="16">
        <f t="shared" si="89"/>
        <v>0</v>
      </c>
      <c r="J1616" s="31">
        <v>6720</v>
      </c>
      <c r="K1616" s="69">
        <f t="shared" si="95"/>
        <v>0</v>
      </c>
      <c r="L1616" s="50"/>
      <c r="M1616" s="109"/>
      <c r="N1616" s="110"/>
    </row>
    <row r="1617" spans="1:14" ht="15" hidden="1" thickBot="1" x14ac:dyDescent="0.35">
      <c r="A1617" s="20">
        <v>268</v>
      </c>
      <c r="B1617" s="14" t="s">
        <v>919</v>
      </c>
      <c r="C1617" s="20" t="s">
        <v>940</v>
      </c>
      <c r="D1617" s="14" t="s">
        <v>1044</v>
      </c>
      <c r="E1617" s="15"/>
      <c r="F1617" s="15">
        <v>2</v>
      </c>
      <c r="G1617" s="16">
        <f t="shared" si="94"/>
        <v>8516</v>
      </c>
      <c r="H1617" s="16">
        <v>8516</v>
      </c>
      <c r="I1617" s="16">
        <f t="shared" si="89"/>
        <v>0</v>
      </c>
      <c r="J1617" s="31">
        <v>8516</v>
      </c>
      <c r="K1617" s="69">
        <f t="shared" si="95"/>
        <v>0</v>
      </c>
      <c r="L1617" s="50"/>
      <c r="M1617" s="109"/>
      <c r="N1617" s="110">
        <v>0.95</v>
      </c>
    </row>
    <row r="1618" spans="1:14" ht="15" hidden="1" thickBot="1" x14ac:dyDescent="0.35">
      <c r="A1618" s="20">
        <v>268</v>
      </c>
      <c r="B1618" s="14" t="s">
        <v>919</v>
      </c>
      <c r="C1618" s="20" t="s">
        <v>940</v>
      </c>
      <c r="D1618" s="14" t="s">
        <v>752</v>
      </c>
      <c r="E1618" s="15" t="s">
        <v>504</v>
      </c>
      <c r="F1618" s="15">
        <v>5</v>
      </c>
      <c r="G1618" s="16">
        <f t="shared" si="94"/>
        <v>28145</v>
      </c>
      <c r="H1618" s="16">
        <v>28265</v>
      </c>
      <c r="I1618" s="16">
        <f t="shared" si="89"/>
        <v>0</v>
      </c>
      <c r="J1618" s="31">
        <v>28265</v>
      </c>
      <c r="K1618" s="69">
        <f t="shared" si="95"/>
        <v>0</v>
      </c>
      <c r="L1618" s="50">
        <v>120</v>
      </c>
      <c r="M1618" s="109">
        <v>120</v>
      </c>
      <c r="N1618" s="110">
        <v>0.95</v>
      </c>
    </row>
    <row r="1619" spans="1:14" ht="15" hidden="1" thickBot="1" x14ac:dyDescent="0.35">
      <c r="A1619" s="20">
        <v>268</v>
      </c>
      <c r="B1619" s="14" t="s">
        <v>919</v>
      </c>
      <c r="C1619" s="20" t="s">
        <v>940</v>
      </c>
      <c r="D1619" s="14" t="s">
        <v>692</v>
      </c>
      <c r="E1619" s="15" t="s">
        <v>502</v>
      </c>
      <c r="F1619" s="15">
        <v>4</v>
      </c>
      <c r="G1619" s="16">
        <f t="shared" si="94"/>
        <v>30993</v>
      </c>
      <c r="H1619" s="16">
        <v>31113</v>
      </c>
      <c r="I1619" s="16">
        <f t="shared" si="89"/>
        <v>0</v>
      </c>
      <c r="J1619" s="31">
        <v>31113</v>
      </c>
      <c r="K1619" s="69">
        <f t="shared" si="95"/>
        <v>0</v>
      </c>
      <c r="L1619" s="50">
        <v>120</v>
      </c>
      <c r="M1619" s="109">
        <v>120</v>
      </c>
      <c r="N1619" s="110">
        <v>0.95</v>
      </c>
    </row>
    <row r="1620" spans="1:14" ht="15" hidden="1" thickBot="1" x14ac:dyDescent="0.35">
      <c r="A1620" s="20">
        <v>268</v>
      </c>
      <c r="B1620" s="14" t="s">
        <v>919</v>
      </c>
      <c r="C1620" s="20" t="s">
        <v>940</v>
      </c>
      <c r="D1620" s="14" t="s">
        <v>999</v>
      </c>
      <c r="E1620" s="15" t="s">
        <v>626</v>
      </c>
      <c r="F1620" s="15">
        <v>3</v>
      </c>
      <c r="G1620" s="16">
        <f t="shared" si="94"/>
        <v>14871</v>
      </c>
      <c r="H1620" s="16">
        <v>14871</v>
      </c>
      <c r="I1620" s="16">
        <f t="shared" si="89"/>
        <v>0</v>
      </c>
      <c r="J1620" s="31">
        <v>14871</v>
      </c>
      <c r="K1620" s="69">
        <f t="shared" si="95"/>
        <v>0</v>
      </c>
      <c r="L1620" s="50"/>
      <c r="M1620" s="109"/>
      <c r="N1620" s="110"/>
    </row>
    <row r="1621" spans="1:14" ht="15" hidden="1" thickBot="1" x14ac:dyDescent="0.35">
      <c r="A1621" s="20">
        <v>269</v>
      </c>
      <c r="B1621" s="14" t="s">
        <v>920</v>
      </c>
      <c r="C1621" s="20" t="s">
        <v>664</v>
      </c>
      <c r="D1621" s="14" t="s">
        <v>1001</v>
      </c>
      <c r="E1621" s="15" t="s">
        <v>504</v>
      </c>
      <c r="F1621" s="15">
        <v>1</v>
      </c>
      <c r="G1621" s="16">
        <f t="shared" si="94"/>
        <v>15668</v>
      </c>
      <c r="H1621" s="16">
        <v>15668</v>
      </c>
      <c r="I1621" s="16">
        <f t="shared" si="89"/>
        <v>0</v>
      </c>
      <c r="J1621" s="31">
        <v>15668</v>
      </c>
      <c r="K1621" s="69">
        <f t="shared" si="95"/>
        <v>0</v>
      </c>
      <c r="L1621" s="50"/>
      <c r="M1621" s="109"/>
      <c r="N1621" s="110"/>
    </row>
    <row r="1622" spans="1:14" ht="15" hidden="1" thickBot="1" x14ac:dyDescent="0.35">
      <c r="A1622" s="20">
        <v>269</v>
      </c>
      <c r="B1622" s="14" t="s">
        <v>920</v>
      </c>
      <c r="C1622" s="20" t="s">
        <v>664</v>
      </c>
      <c r="D1622" s="14" t="s">
        <v>1077</v>
      </c>
      <c r="E1622" s="15" t="s">
        <v>509</v>
      </c>
      <c r="F1622" s="15">
        <v>4</v>
      </c>
      <c r="G1622" s="16">
        <f t="shared" si="94"/>
        <v>13125</v>
      </c>
      <c r="H1622" s="16">
        <v>13125</v>
      </c>
      <c r="I1622" s="16">
        <f t="shared" si="89"/>
        <v>0</v>
      </c>
      <c r="J1622" s="31">
        <v>13125</v>
      </c>
      <c r="K1622" s="69">
        <f t="shared" si="95"/>
        <v>0</v>
      </c>
      <c r="L1622" s="50"/>
      <c r="M1622" s="109"/>
      <c r="N1622" s="110">
        <v>0.95</v>
      </c>
    </row>
    <row r="1623" spans="1:14" ht="15" hidden="1" thickBot="1" x14ac:dyDescent="0.35">
      <c r="A1623" s="14">
        <v>269</v>
      </c>
      <c r="B1623" s="14" t="s">
        <v>920</v>
      </c>
      <c r="C1623" s="14" t="s">
        <v>664</v>
      </c>
      <c r="D1623" s="14" t="s">
        <v>618</v>
      </c>
      <c r="E1623" s="15" t="s">
        <v>509</v>
      </c>
      <c r="F1623" s="15">
        <v>9</v>
      </c>
      <c r="G1623" s="16">
        <f t="shared" si="94"/>
        <v>79968</v>
      </c>
      <c r="H1623" s="16">
        <v>79968</v>
      </c>
      <c r="I1623" s="16">
        <f t="shared" si="89"/>
        <v>0</v>
      </c>
      <c r="J1623" s="31">
        <v>79968</v>
      </c>
      <c r="K1623" s="69">
        <f t="shared" si="95"/>
        <v>0</v>
      </c>
      <c r="L1623" s="50"/>
      <c r="M1623" s="109"/>
      <c r="N1623" s="110">
        <v>0.95</v>
      </c>
    </row>
    <row r="1624" spans="1:14" ht="15" hidden="1" thickBot="1" x14ac:dyDescent="0.35">
      <c r="A1624" s="19">
        <v>270</v>
      </c>
      <c r="B1624" s="14" t="s">
        <v>921</v>
      </c>
      <c r="C1624" s="22" t="s">
        <v>719</v>
      </c>
      <c r="D1624" s="14" t="s">
        <v>523</v>
      </c>
      <c r="E1624" s="15" t="s">
        <v>508</v>
      </c>
      <c r="F1624" s="15">
        <v>1</v>
      </c>
      <c r="G1624" s="16">
        <f t="shared" si="94"/>
        <v>1405</v>
      </c>
      <c r="H1624" s="16">
        <v>3105</v>
      </c>
      <c r="I1624" s="16">
        <f t="shared" si="89"/>
        <v>0</v>
      </c>
      <c r="J1624" s="31">
        <v>3105</v>
      </c>
      <c r="K1624" s="69">
        <f t="shared" si="95"/>
        <v>0</v>
      </c>
      <c r="L1624" s="50">
        <v>1700</v>
      </c>
      <c r="M1624" s="109">
        <v>1700</v>
      </c>
      <c r="N1624" s="110"/>
    </row>
    <row r="1625" spans="1:14" ht="15" hidden="1" thickBot="1" x14ac:dyDescent="0.35">
      <c r="A1625" s="19">
        <v>271</v>
      </c>
      <c r="B1625" s="14" t="s">
        <v>922</v>
      </c>
      <c r="C1625" s="19" t="s">
        <v>603</v>
      </c>
      <c r="D1625" s="14" t="s">
        <v>638</v>
      </c>
      <c r="E1625" s="15" t="s">
        <v>509</v>
      </c>
      <c r="F1625" s="15">
        <v>2</v>
      </c>
      <c r="G1625" s="16">
        <f t="shared" si="94"/>
        <v>6061</v>
      </c>
      <c r="H1625" s="16">
        <v>6061</v>
      </c>
      <c r="I1625" s="16">
        <f t="shared" si="89"/>
        <v>0</v>
      </c>
      <c r="J1625" s="31">
        <v>6061</v>
      </c>
      <c r="K1625" s="69">
        <f t="shared" si="95"/>
        <v>0</v>
      </c>
      <c r="L1625" s="50"/>
      <c r="M1625" s="109"/>
      <c r="N1625" s="110"/>
    </row>
    <row r="1626" spans="1:14" ht="15" hidden="1" thickBot="1" x14ac:dyDescent="0.35">
      <c r="A1626" s="19">
        <v>272</v>
      </c>
      <c r="B1626" s="14" t="s">
        <v>923</v>
      </c>
      <c r="C1626" s="14" t="s">
        <v>730</v>
      </c>
      <c r="D1626" s="14" t="s">
        <v>547</v>
      </c>
      <c r="E1626" s="15" t="s">
        <v>502</v>
      </c>
      <c r="F1626" s="15">
        <v>6</v>
      </c>
      <c r="G1626" s="16">
        <f t="shared" si="94"/>
        <v>12330</v>
      </c>
      <c r="H1626" s="16">
        <v>12570</v>
      </c>
      <c r="I1626" s="16">
        <f t="shared" si="89"/>
        <v>0</v>
      </c>
      <c r="J1626" s="31">
        <v>12570</v>
      </c>
      <c r="K1626" s="69">
        <f t="shared" si="95"/>
        <v>0</v>
      </c>
      <c r="L1626" s="50">
        <v>240</v>
      </c>
      <c r="M1626" s="109">
        <v>240</v>
      </c>
      <c r="N1626" s="110"/>
    </row>
    <row r="1627" spans="1:14" ht="15" hidden="1" thickBot="1" x14ac:dyDescent="0.35">
      <c r="A1627" s="20">
        <v>273</v>
      </c>
      <c r="B1627" s="14" t="s">
        <v>924</v>
      </c>
      <c r="C1627" s="14" t="s">
        <v>276</v>
      </c>
      <c r="D1627" s="14" t="s">
        <v>497</v>
      </c>
      <c r="E1627" s="15" t="s">
        <v>14</v>
      </c>
      <c r="F1627" s="15">
        <v>19</v>
      </c>
      <c r="G1627" s="16">
        <f t="shared" si="94"/>
        <v>559590</v>
      </c>
      <c r="H1627" s="16">
        <v>559590</v>
      </c>
      <c r="I1627" s="16">
        <f t="shared" si="89"/>
        <v>0</v>
      </c>
      <c r="J1627" s="31">
        <v>559590</v>
      </c>
      <c r="K1627" s="69">
        <f t="shared" si="95"/>
        <v>0</v>
      </c>
      <c r="L1627" s="50">
        <v>0</v>
      </c>
      <c r="M1627" s="109">
        <v>0</v>
      </c>
      <c r="N1627" s="110"/>
    </row>
    <row r="1628" spans="1:14" ht="15" hidden="1" thickBot="1" x14ac:dyDescent="0.35">
      <c r="A1628" s="20">
        <v>273</v>
      </c>
      <c r="B1628" s="14" t="s">
        <v>924</v>
      </c>
      <c r="C1628" s="14" t="s">
        <v>991</v>
      </c>
      <c r="D1628" s="14" t="s">
        <v>497</v>
      </c>
      <c r="E1628" s="15" t="s">
        <v>14</v>
      </c>
      <c r="F1628" s="15">
        <v>3</v>
      </c>
      <c r="G1628" s="16">
        <f t="shared" si="94"/>
        <v>70320</v>
      </c>
      <c r="H1628" s="16">
        <v>70320</v>
      </c>
      <c r="I1628" s="16">
        <f>J1628-H1628</f>
        <v>0</v>
      </c>
      <c r="J1628" s="31">
        <v>70320</v>
      </c>
      <c r="K1628" s="69">
        <f t="shared" si="95"/>
        <v>0</v>
      </c>
      <c r="L1628" s="50">
        <v>0</v>
      </c>
      <c r="M1628" s="109">
        <v>0</v>
      </c>
      <c r="N1628" s="110"/>
    </row>
    <row r="1629" spans="1:14" ht="15" hidden="1" thickBot="1" x14ac:dyDescent="0.35">
      <c r="A1629" s="20">
        <v>273</v>
      </c>
      <c r="B1629" s="14" t="s">
        <v>924</v>
      </c>
      <c r="C1629" s="14" t="s">
        <v>1468</v>
      </c>
      <c r="D1629" s="14" t="s">
        <v>497</v>
      </c>
      <c r="E1629" s="15" t="s">
        <v>14</v>
      </c>
      <c r="F1629" s="15">
        <v>5</v>
      </c>
      <c r="G1629" s="16">
        <f t="shared" si="94"/>
        <v>55760</v>
      </c>
      <c r="H1629" s="16">
        <v>56120</v>
      </c>
      <c r="I1629" s="16">
        <f>J1629-H1629</f>
        <v>0</v>
      </c>
      <c r="J1629" s="31">
        <v>56120</v>
      </c>
      <c r="K1629" s="69">
        <f t="shared" si="95"/>
        <v>0</v>
      </c>
      <c r="L1629" s="50">
        <v>360</v>
      </c>
      <c r="M1629" s="109">
        <v>360</v>
      </c>
      <c r="N1629" s="110"/>
    </row>
    <row r="1630" spans="1:14" ht="15" hidden="1" thickBot="1" x14ac:dyDescent="0.35">
      <c r="A1630" s="20">
        <v>273</v>
      </c>
      <c r="B1630" s="14" t="s">
        <v>924</v>
      </c>
      <c r="C1630" s="14" t="s">
        <v>1373</v>
      </c>
      <c r="D1630" s="14" t="s">
        <v>497</v>
      </c>
      <c r="E1630" s="15" t="s">
        <v>14</v>
      </c>
      <c r="F1630" s="15">
        <v>2</v>
      </c>
      <c r="G1630" s="16">
        <f t="shared" si="94"/>
        <v>11700</v>
      </c>
      <c r="H1630" s="16">
        <v>11700</v>
      </c>
      <c r="I1630" s="16">
        <f>J1630-H1630</f>
        <v>0</v>
      </c>
      <c r="J1630" s="31">
        <v>11700</v>
      </c>
      <c r="K1630" s="69">
        <f t="shared" si="95"/>
        <v>0</v>
      </c>
      <c r="L1630" s="50">
        <v>0</v>
      </c>
      <c r="M1630" s="109">
        <v>0</v>
      </c>
      <c r="N1630" s="110"/>
    </row>
    <row r="1631" spans="1:14" ht="15" hidden="1" thickBot="1" x14ac:dyDescent="0.35">
      <c r="A1631" s="14">
        <v>274</v>
      </c>
      <c r="B1631" s="14" t="s">
        <v>925</v>
      </c>
      <c r="C1631" s="14" t="s">
        <v>989</v>
      </c>
      <c r="D1631" s="14" t="s">
        <v>497</v>
      </c>
      <c r="E1631" s="15" t="s">
        <v>14</v>
      </c>
      <c r="F1631" s="15">
        <v>13</v>
      </c>
      <c r="G1631" s="16">
        <f t="shared" si="94"/>
        <v>284851.5</v>
      </c>
      <c r="H1631" s="16">
        <v>284851.5</v>
      </c>
      <c r="I1631" s="16">
        <f t="shared" si="89"/>
        <v>0</v>
      </c>
      <c r="J1631" s="31">
        <v>284851.5</v>
      </c>
      <c r="K1631" s="69">
        <f t="shared" si="95"/>
        <v>0</v>
      </c>
      <c r="L1631" s="50"/>
      <c r="M1631" s="109"/>
      <c r="N1631" s="110"/>
    </row>
    <row r="1632" spans="1:14" ht="15" hidden="1" thickBot="1" x14ac:dyDescent="0.35">
      <c r="A1632" s="19">
        <v>275</v>
      </c>
      <c r="B1632" s="14" t="s">
        <v>926</v>
      </c>
      <c r="C1632" s="14" t="s">
        <v>953</v>
      </c>
      <c r="D1632" s="14" t="s">
        <v>497</v>
      </c>
      <c r="E1632" s="15" t="s">
        <v>14</v>
      </c>
      <c r="F1632" s="15">
        <v>1</v>
      </c>
      <c r="G1632" s="16">
        <f t="shared" si="94"/>
        <v>16800</v>
      </c>
      <c r="H1632" s="16">
        <v>16800</v>
      </c>
      <c r="I1632" s="16">
        <f t="shared" si="89"/>
        <v>0</v>
      </c>
      <c r="J1632" s="31">
        <v>16800</v>
      </c>
      <c r="K1632" s="69">
        <f t="shared" si="95"/>
        <v>0</v>
      </c>
      <c r="L1632" s="50"/>
      <c r="M1632" s="109"/>
      <c r="N1632" s="110"/>
    </row>
    <row r="1633" spans="1:14" ht="15" hidden="1" thickBot="1" x14ac:dyDescent="0.35">
      <c r="A1633" s="19">
        <v>276</v>
      </c>
      <c r="B1633" s="15" t="s">
        <v>1816</v>
      </c>
      <c r="C1633" s="14" t="s">
        <v>575</v>
      </c>
      <c r="D1633" s="14" t="s">
        <v>497</v>
      </c>
      <c r="E1633" s="15" t="s">
        <v>14</v>
      </c>
      <c r="F1633" s="15">
        <v>7</v>
      </c>
      <c r="G1633" s="16">
        <f t="shared" si="94"/>
        <v>1064982.3</v>
      </c>
      <c r="H1633" s="16">
        <v>1064982.3</v>
      </c>
      <c r="I1633" s="16">
        <f t="shared" si="89"/>
        <v>0</v>
      </c>
      <c r="J1633" s="31">
        <v>1064982.3</v>
      </c>
      <c r="K1633" s="69">
        <f t="shared" si="95"/>
        <v>0</v>
      </c>
      <c r="L1633" s="50"/>
      <c r="M1633" s="109"/>
      <c r="N1633" s="110"/>
    </row>
    <row r="1634" spans="1:14" ht="15" hidden="1" thickBot="1" x14ac:dyDescent="0.35">
      <c r="A1634" s="19">
        <v>277</v>
      </c>
      <c r="B1634" s="15" t="s">
        <v>927</v>
      </c>
      <c r="C1634" s="14" t="s">
        <v>891</v>
      </c>
      <c r="D1634" s="14" t="s">
        <v>548</v>
      </c>
      <c r="E1634" s="15" t="s">
        <v>504</v>
      </c>
      <c r="F1634" s="15">
        <v>5</v>
      </c>
      <c r="G1634" s="16">
        <f t="shared" si="94"/>
        <v>59472.54</v>
      </c>
      <c r="H1634" s="16">
        <v>59592.54</v>
      </c>
      <c r="I1634" s="16">
        <f t="shared" si="89"/>
        <v>0</v>
      </c>
      <c r="J1634" s="31">
        <v>59592.54</v>
      </c>
      <c r="K1634" s="69">
        <f t="shared" si="95"/>
        <v>0</v>
      </c>
      <c r="L1634" s="50">
        <v>120</v>
      </c>
      <c r="M1634" s="109">
        <v>120</v>
      </c>
      <c r="N1634" s="110">
        <v>0.93</v>
      </c>
    </row>
    <row r="1635" spans="1:14" ht="15" hidden="1" thickBot="1" x14ac:dyDescent="0.35">
      <c r="A1635" s="19">
        <v>278</v>
      </c>
      <c r="B1635" s="15" t="s">
        <v>928</v>
      </c>
      <c r="C1635" s="14" t="s">
        <v>533</v>
      </c>
      <c r="D1635" s="14" t="s">
        <v>497</v>
      </c>
      <c r="E1635" s="15" t="s">
        <v>14</v>
      </c>
      <c r="F1635" s="15">
        <v>2</v>
      </c>
      <c r="G1635" s="16">
        <f t="shared" si="94"/>
        <v>71482</v>
      </c>
      <c r="H1635" s="16">
        <v>71482</v>
      </c>
      <c r="I1635" s="16">
        <f t="shared" si="89"/>
        <v>0</v>
      </c>
      <c r="J1635" s="31">
        <v>71482</v>
      </c>
      <c r="K1635" s="69">
        <f t="shared" si="95"/>
        <v>0</v>
      </c>
      <c r="L1635" s="50"/>
      <c r="M1635" s="109"/>
      <c r="N1635" s="110"/>
    </row>
    <row r="1636" spans="1:14" ht="15" hidden="1" thickBot="1" x14ac:dyDescent="0.35">
      <c r="A1636" s="20">
        <v>279</v>
      </c>
      <c r="B1636" s="15" t="s">
        <v>929</v>
      </c>
      <c r="C1636" s="20" t="s">
        <v>605</v>
      </c>
      <c r="D1636" s="14" t="s">
        <v>522</v>
      </c>
      <c r="E1636" s="15" t="s">
        <v>502</v>
      </c>
      <c r="F1636" s="15">
        <v>4</v>
      </c>
      <c r="G1636" s="16">
        <f t="shared" si="94"/>
        <v>5625</v>
      </c>
      <c r="H1636" s="16">
        <v>5625</v>
      </c>
      <c r="I1636" s="16">
        <f t="shared" si="89"/>
        <v>0</v>
      </c>
      <c r="J1636" s="31">
        <v>5625</v>
      </c>
      <c r="K1636" s="69">
        <f t="shared" si="95"/>
        <v>0</v>
      </c>
      <c r="L1636" s="50"/>
      <c r="M1636" s="109"/>
      <c r="N1636" s="110"/>
    </row>
    <row r="1637" spans="1:14" ht="15" hidden="1" thickBot="1" x14ac:dyDescent="0.35">
      <c r="A1637" s="20">
        <v>279</v>
      </c>
      <c r="B1637" s="15" t="s">
        <v>929</v>
      </c>
      <c r="C1637" s="20" t="s">
        <v>605</v>
      </c>
      <c r="D1637" s="14" t="s">
        <v>523</v>
      </c>
      <c r="E1637" s="15" t="s">
        <v>508</v>
      </c>
      <c r="F1637" s="15">
        <v>4</v>
      </c>
      <c r="G1637" s="16">
        <f t="shared" si="94"/>
        <v>4230</v>
      </c>
      <c r="H1637" s="16">
        <v>4350</v>
      </c>
      <c r="I1637" s="16">
        <f t="shared" si="89"/>
        <v>0</v>
      </c>
      <c r="J1637" s="31">
        <v>4350</v>
      </c>
      <c r="K1637" s="69">
        <f t="shared" si="95"/>
        <v>0</v>
      </c>
      <c r="L1637" s="50">
        <v>120</v>
      </c>
      <c r="M1637" s="109">
        <v>120</v>
      </c>
      <c r="N1637" s="110"/>
    </row>
    <row r="1638" spans="1:14" ht="15" hidden="1" thickBot="1" x14ac:dyDescent="0.35">
      <c r="A1638" s="20">
        <v>279</v>
      </c>
      <c r="B1638" s="15" t="s">
        <v>929</v>
      </c>
      <c r="C1638" s="20" t="s">
        <v>605</v>
      </c>
      <c r="D1638" s="14" t="s">
        <v>614</v>
      </c>
      <c r="E1638" s="15" t="s">
        <v>506</v>
      </c>
      <c r="F1638" s="15">
        <v>5</v>
      </c>
      <c r="G1638" s="16">
        <f t="shared" si="94"/>
        <v>10560</v>
      </c>
      <c r="H1638" s="16">
        <v>10560</v>
      </c>
      <c r="I1638" s="16">
        <f t="shared" si="89"/>
        <v>0</v>
      </c>
      <c r="J1638" s="31">
        <v>10560</v>
      </c>
      <c r="K1638" s="69">
        <f t="shared" si="95"/>
        <v>0</v>
      </c>
      <c r="L1638" s="50"/>
      <c r="M1638" s="109"/>
      <c r="N1638" s="110"/>
    </row>
    <row r="1639" spans="1:14" ht="15" hidden="1" thickBot="1" x14ac:dyDescent="0.35">
      <c r="A1639" s="20">
        <v>279</v>
      </c>
      <c r="B1639" s="15" t="s">
        <v>929</v>
      </c>
      <c r="C1639" s="20" t="s">
        <v>605</v>
      </c>
      <c r="D1639" s="14" t="s">
        <v>614</v>
      </c>
      <c r="E1639" s="15" t="s">
        <v>502</v>
      </c>
      <c r="F1639" s="15">
        <v>4</v>
      </c>
      <c r="G1639" s="16">
        <f t="shared" si="94"/>
        <v>6480</v>
      </c>
      <c r="H1639" s="16">
        <v>6600</v>
      </c>
      <c r="I1639" s="16">
        <f t="shared" si="89"/>
        <v>0</v>
      </c>
      <c r="J1639" s="31">
        <v>6600</v>
      </c>
      <c r="K1639" s="69">
        <f t="shared" si="95"/>
        <v>0</v>
      </c>
      <c r="L1639" s="50">
        <v>120</v>
      </c>
      <c r="M1639" s="109">
        <v>120</v>
      </c>
      <c r="N1639" s="110"/>
    </row>
    <row r="1640" spans="1:14" ht="15" hidden="1" thickBot="1" x14ac:dyDescent="0.35">
      <c r="A1640" s="20">
        <v>279</v>
      </c>
      <c r="B1640" s="15" t="s">
        <v>929</v>
      </c>
      <c r="C1640" s="20" t="s">
        <v>605</v>
      </c>
      <c r="D1640" s="14" t="s">
        <v>510</v>
      </c>
      <c r="E1640" s="15" t="s">
        <v>503</v>
      </c>
      <c r="F1640" s="15">
        <v>5</v>
      </c>
      <c r="G1640" s="16">
        <f t="shared" si="94"/>
        <v>7200</v>
      </c>
      <c r="H1640" s="16">
        <v>7200</v>
      </c>
      <c r="I1640" s="16">
        <f t="shared" si="89"/>
        <v>0</v>
      </c>
      <c r="J1640" s="31">
        <v>7200</v>
      </c>
      <c r="K1640" s="69">
        <f t="shared" si="95"/>
        <v>0</v>
      </c>
      <c r="L1640" s="50"/>
      <c r="M1640" s="109"/>
      <c r="N1640" s="110"/>
    </row>
    <row r="1641" spans="1:14" ht="15" hidden="1" thickBot="1" x14ac:dyDescent="0.35">
      <c r="A1641" s="20">
        <v>279</v>
      </c>
      <c r="B1641" s="15" t="s">
        <v>929</v>
      </c>
      <c r="C1641" s="20" t="s">
        <v>605</v>
      </c>
      <c r="D1641" s="14" t="s">
        <v>510</v>
      </c>
      <c r="E1641" s="15" t="s">
        <v>506</v>
      </c>
      <c r="F1641" s="15">
        <v>4</v>
      </c>
      <c r="G1641" s="16">
        <f t="shared" si="94"/>
        <v>7200</v>
      </c>
      <c r="H1641" s="16">
        <v>7200</v>
      </c>
      <c r="I1641" s="16">
        <f t="shared" si="89"/>
        <v>0</v>
      </c>
      <c r="J1641" s="31">
        <v>7200</v>
      </c>
      <c r="K1641" s="69">
        <f t="shared" si="95"/>
        <v>0</v>
      </c>
      <c r="L1641" s="50"/>
      <c r="M1641" s="109"/>
      <c r="N1641" s="110"/>
    </row>
    <row r="1642" spans="1:14" ht="15" hidden="1" thickBot="1" x14ac:dyDescent="0.35">
      <c r="A1642" s="20">
        <v>279</v>
      </c>
      <c r="B1642" s="15" t="s">
        <v>929</v>
      </c>
      <c r="C1642" s="20" t="s">
        <v>605</v>
      </c>
      <c r="D1642" s="14" t="s">
        <v>985</v>
      </c>
      <c r="E1642" s="15" t="s">
        <v>506</v>
      </c>
      <c r="F1642" s="15">
        <v>9</v>
      </c>
      <c r="G1642" s="16">
        <f t="shared" si="94"/>
        <v>36355</v>
      </c>
      <c r="H1642" s="16">
        <v>40025</v>
      </c>
      <c r="I1642" s="16">
        <f>J1642-H1642</f>
        <v>0</v>
      </c>
      <c r="J1642" s="31">
        <v>40025</v>
      </c>
      <c r="K1642" s="69">
        <f t="shared" si="95"/>
        <v>0</v>
      </c>
      <c r="L1642" s="50">
        <v>3670</v>
      </c>
      <c r="M1642" s="109">
        <v>3670</v>
      </c>
      <c r="N1642" s="110">
        <v>0.71</v>
      </c>
    </row>
    <row r="1643" spans="1:14" ht="15" hidden="1" thickBot="1" x14ac:dyDescent="0.35">
      <c r="A1643" s="20">
        <v>279</v>
      </c>
      <c r="B1643" s="15" t="s">
        <v>929</v>
      </c>
      <c r="C1643" s="14" t="s">
        <v>605</v>
      </c>
      <c r="D1643" s="14" t="s">
        <v>510</v>
      </c>
      <c r="E1643" s="15" t="s">
        <v>502</v>
      </c>
      <c r="F1643" s="15">
        <v>4</v>
      </c>
      <c r="G1643" s="16">
        <f t="shared" si="94"/>
        <v>5730</v>
      </c>
      <c r="H1643" s="16">
        <v>5850</v>
      </c>
      <c r="I1643" s="16">
        <f t="shared" ref="I1643:I1778" si="96">J1643-H1643</f>
        <v>0</v>
      </c>
      <c r="J1643" s="31">
        <v>5850</v>
      </c>
      <c r="K1643" s="69">
        <f t="shared" si="95"/>
        <v>0</v>
      </c>
      <c r="L1643" s="50">
        <v>120</v>
      </c>
      <c r="M1643" s="109">
        <v>120</v>
      </c>
      <c r="N1643" s="110"/>
    </row>
    <row r="1644" spans="1:14" ht="15" hidden="1" thickBot="1" x14ac:dyDescent="0.35">
      <c r="A1644" s="20">
        <v>280</v>
      </c>
      <c r="B1644" s="15" t="s">
        <v>930</v>
      </c>
      <c r="C1644" s="19" t="s">
        <v>648</v>
      </c>
      <c r="D1644" s="14" t="s">
        <v>497</v>
      </c>
      <c r="E1644" s="15" t="s">
        <v>14</v>
      </c>
      <c r="F1644" s="15">
        <v>19</v>
      </c>
      <c r="G1644" s="16">
        <f t="shared" si="94"/>
        <v>593599</v>
      </c>
      <c r="H1644" s="16">
        <v>595529</v>
      </c>
      <c r="I1644" s="16">
        <f t="shared" si="96"/>
        <v>0</v>
      </c>
      <c r="J1644" s="31">
        <v>595529</v>
      </c>
      <c r="K1644" s="69">
        <f t="shared" si="95"/>
        <v>0</v>
      </c>
      <c r="L1644" s="50">
        <v>1930</v>
      </c>
      <c r="M1644" s="109">
        <v>1930</v>
      </c>
      <c r="N1644" s="110"/>
    </row>
    <row r="1645" spans="1:14" ht="15" hidden="1" thickBot="1" x14ac:dyDescent="0.35">
      <c r="A1645" s="20">
        <v>280</v>
      </c>
      <c r="B1645" s="15" t="s">
        <v>930</v>
      </c>
      <c r="C1645" s="19" t="s">
        <v>968</v>
      </c>
      <c r="D1645" s="14" t="s">
        <v>497</v>
      </c>
      <c r="E1645" s="15" t="s">
        <v>14</v>
      </c>
      <c r="F1645" s="15">
        <v>11</v>
      </c>
      <c r="G1645" s="16">
        <f t="shared" si="94"/>
        <v>611052.5</v>
      </c>
      <c r="H1645" s="16">
        <v>612372.5</v>
      </c>
      <c r="I1645" s="16">
        <f t="shared" si="96"/>
        <v>0</v>
      </c>
      <c r="J1645" s="31">
        <v>612372.5</v>
      </c>
      <c r="K1645" s="69">
        <f t="shared" si="95"/>
        <v>0</v>
      </c>
      <c r="L1645" s="50">
        <v>1320</v>
      </c>
      <c r="M1645" s="109">
        <v>1320</v>
      </c>
      <c r="N1645" s="110"/>
    </row>
    <row r="1646" spans="1:14" ht="15" hidden="1" thickBot="1" x14ac:dyDescent="0.35">
      <c r="A1646" s="20">
        <v>280</v>
      </c>
      <c r="B1646" s="15" t="s">
        <v>930</v>
      </c>
      <c r="C1646" s="19" t="s">
        <v>1058</v>
      </c>
      <c r="D1646" s="14" t="s">
        <v>497</v>
      </c>
      <c r="E1646" s="15" t="s">
        <v>14</v>
      </c>
      <c r="F1646" s="15">
        <v>7</v>
      </c>
      <c r="G1646" s="16">
        <f t="shared" si="94"/>
        <v>151462</v>
      </c>
      <c r="H1646" s="16">
        <v>151900</v>
      </c>
      <c r="I1646" s="16">
        <f>J1646-H1646</f>
        <v>0</v>
      </c>
      <c r="J1646" s="31">
        <v>151900</v>
      </c>
      <c r="K1646" s="69">
        <f t="shared" si="95"/>
        <v>0</v>
      </c>
      <c r="L1646" s="50">
        <v>438</v>
      </c>
      <c r="M1646" s="109">
        <v>438</v>
      </c>
      <c r="N1646" s="110"/>
    </row>
    <row r="1647" spans="1:14" ht="15" hidden="1" thickBot="1" x14ac:dyDescent="0.35">
      <c r="A1647" s="20">
        <v>280</v>
      </c>
      <c r="B1647" s="15" t="s">
        <v>930</v>
      </c>
      <c r="C1647" s="19" t="s">
        <v>1468</v>
      </c>
      <c r="D1647" s="14" t="s">
        <v>497</v>
      </c>
      <c r="E1647" s="15" t="s">
        <v>14</v>
      </c>
      <c r="F1647" s="15">
        <v>8</v>
      </c>
      <c r="G1647" s="16">
        <f t="shared" si="94"/>
        <v>87870</v>
      </c>
      <c r="H1647" s="16">
        <v>90390</v>
      </c>
      <c r="I1647" s="16">
        <f>J1647-H1647</f>
        <v>0</v>
      </c>
      <c r="J1647" s="31">
        <v>90390</v>
      </c>
      <c r="K1647" s="69">
        <f t="shared" si="95"/>
        <v>0</v>
      </c>
      <c r="L1647" s="50">
        <v>2520</v>
      </c>
      <c r="M1647" s="109">
        <v>2520</v>
      </c>
      <c r="N1647" s="110"/>
    </row>
    <row r="1648" spans="1:14" ht="15" hidden="1" thickBot="1" x14ac:dyDescent="0.35">
      <c r="A1648" s="20">
        <v>280</v>
      </c>
      <c r="B1648" s="15" t="s">
        <v>930</v>
      </c>
      <c r="C1648" s="19" t="s">
        <v>953</v>
      </c>
      <c r="D1648" s="14" t="s">
        <v>497</v>
      </c>
      <c r="E1648" s="15" t="s">
        <v>14</v>
      </c>
      <c r="F1648" s="15">
        <v>5</v>
      </c>
      <c r="G1648" s="16">
        <f t="shared" si="94"/>
        <v>108398</v>
      </c>
      <c r="H1648" s="16">
        <v>108898</v>
      </c>
      <c r="I1648" s="16">
        <f t="shared" si="96"/>
        <v>0</v>
      </c>
      <c r="J1648" s="31">
        <v>108898</v>
      </c>
      <c r="K1648" s="69">
        <f t="shared" si="95"/>
        <v>0</v>
      </c>
      <c r="L1648" s="50">
        <v>500</v>
      </c>
      <c r="M1648" s="109">
        <v>500</v>
      </c>
      <c r="N1648" s="110"/>
    </row>
    <row r="1649" spans="1:14" ht="15" hidden="1" thickBot="1" x14ac:dyDescent="0.35">
      <c r="A1649" s="14">
        <v>281</v>
      </c>
      <c r="B1649" s="15" t="s">
        <v>931</v>
      </c>
      <c r="C1649" s="19" t="s">
        <v>932</v>
      </c>
      <c r="D1649" s="14" t="s">
        <v>497</v>
      </c>
      <c r="E1649" s="15" t="s">
        <v>14</v>
      </c>
      <c r="F1649" s="15">
        <v>4</v>
      </c>
      <c r="G1649" s="16">
        <f t="shared" si="94"/>
        <v>942650</v>
      </c>
      <c r="H1649" s="16">
        <v>942650</v>
      </c>
      <c r="I1649" s="16">
        <f t="shared" si="96"/>
        <v>0</v>
      </c>
      <c r="J1649" s="31">
        <v>942650</v>
      </c>
      <c r="K1649" s="69">
        <f t="shared" si="95"/>
        <v>0</v>
      </c>
      <c r="L1649" s="50"/>
      <c r="M1649" s="109"/>
      <c r="N1649" s="110"/>
    </row>
    <row r="1650" spans="1:14" ht="15" hidden="1" thickBot="1" x14ac:dyDescent="0.35">
      <c r="A1650" s="19">
        <v>282</v>
      </c>
      <c r="B1650" s="15" t="s">
        <v>1071</v>
      </c>
      <c r="C1650" s="14" t="s">
        <v>991</v>
      </c>
      <c r="D1650" s="15" t="s">
        <v>497</v>
      </c>
      <c r="E1650" s="15" t="s">
        <v>14</v>
      </c>
      <c r="F1650" s="16">
        <v>4</v>
      </c>
      <c r="G1650" s="16">
        <f t="shared" si="94"/>
        <v>93084</v>
      </c>
      <c r="H1650" s="16">
        <v>93684</v>
      </c>
      <c r="I1650" s="16">
        <f t="shared" si="96"/>
        <v>0</v>
      </c>
      <c r="J1650" s="31">
        <v>93684</v>
      </c>
      <c r="K1650" s="69">
        <f t="shared" si="95"/>
        <v>0</v>
      </c>
      <c r="L1650" s="50">
        <v>600</v>
      </c>
      <c r="M1650" s="109">
        <v>600</v>
      </c>
      <c r="N1650" s="110"/>
    </row>
    <row r="1651" spans="1:14" ht="15" hidden="1" thickBot="1" x14ac:dyDescent="0.35">
      <c r="A1651" s="20">
        <v>283</v>
      </c>
      <c r="B1651" s="46" t="s">
        <v>933</v>
      </c>
      <c r="C1651" s="20" t="s">
        <v>604</v>
      </c>
      <c r="D1651" s="14" t="s">
        <v>694</v>
      </c>
      <c r="E1651" s="15" t="s">
        <v>509</v>
      </c>
      <c r="F1651" s="15">
        <v>14</v>
      </c>
      <c r="G1651" s="16">
        <f t="shared" si="94"/>
        <v>77955</v>
      </c>
      <c r="H1651" s="16">
        <v>80755</v>
      </c>
      <c r="I1651" s="16">
        <f>J1651-H1651</f>
        <v>0</v>
      </c>
      <c r="J1651" s="31">
        <v>80755</v>
      </c>
      <c r="K1651" s="69">
        <f t="shared" si="95"/>
        <v>0</v>
      </c>
      <c r="L1651" s="50">
        <v>2800</v>
      </c>
      <c r="M1651" s="109">
        <v>2800</v>
      </c>
      <c r="N1651" s="110">
        <v>0.55000000000000004</v>
      </c>
    </row>
    <row r="1652" spans="1:14" ht="15" hidden="1" thickBot="1" x14ac:dyDescent="0.35">
      <c r="A1652" s="20">
        <v>283</v>
      </c>
      <c r="B1652" s="46" t="s">
        <v>933</v>
      </c>
      <c r="C1652" s="20" t="s">
        <v>604</v>
      </c>
      <c r="D1652" s="14" t="s">
        <v>618</v>
      </c>
      <c r="E1652" s="15" t="s">
        <v>509</v>
      </c>
      <c r="F1652" s="15">
        <v>16</v>
      </c>
      <c r="G1652" s="16">
        <f t="shared" si="94"/>
        <v>76471</v>
      </c>
      <c r="H1652" s="16">
        <v>77911</v>
      </c>
      <c r="I1652" s="16">
        <f>J1652-H1652</f>
        <v>0</v>
      </c>
      <c r="J1652" s="31">
        <v>77911</v>
      </c>
      <c r="K1652" s="69">
        <f t="shared" si="95"/>
        <v>0</v>
      </c>
      <c r="L1652" s="50">
        <v>1440</v>
      </c>
      <c r="M1652" s="109">
        <v>1440</v>
      </c>
      <c r="N1652" s="110">
        <v>0.55000000000000004</v>
      </c>
    </row>
    <row r="1653" spans="1:14" ht="15" hidden="1" thickBot="1" x14ac:dyDescent="0.35">
      <c r="A1653" s="20">
        <v>283</v>
      </c>
      <c r="B1653" s="46" t="s">
        <v>933</v>
      </c>
      <c r="C1653" s="20" t="s">
        <v>604</v>
      </c>
      <c r="D1653" s="14" t="s">
        <v>1077</v>
      </c>
      <c r="E1653" s="15" t="s">
        <v>509</v>
      </c>
      <c r="F1653" s="15">
        <v>3</v>
      </c>
      <c r="G1653" s="16">
        <f t="shared" si="94"/>
        <v>975</v>
      </c>
      <c r="H1653" s="16">
        <v>975</v>
      </c>
      <c r="I1653" s="16">
        <f>J1653-H1653</f>
        <v>0</v>
      </c>
      <c r="J1653" s="31">
        <v>975</v>
      </c>
      <c r="K1653" s="69">
        <f t="shared" si="95"/>
        <v>0</v>
      </c>
      <c r="L1653" s="50">
        <v>0</v>
      </c>
      <c r="M1653" s="109">
        <v>0</v>
      </c>
      <c r="N1653" s="110">
        <v>0.5</v>
      </c>
    </row>
    <row r="1654" spans="1:14" ht="15" hidden="1" thickBot="1" x14ac:dyDescent="0.35">
      <c r="A1654" s="20">
        <v>283</v>
      </c>
      <c r="B1654" s="46" t="s">
        <v>933</v>
      </c>
      <c r="C1654" s="20" t="s">
        <v>604</v>
      </c>
      <c r="D1654" s="14" t="s">
        <v>1083</v>
      </c>
      <c r="E1654" s="15" t="s">
        <v>509</v>
      </c>
      <c r="F1654" s="15">
        <v>3</v>
      </c>
      <c r="G1654" s="16">
        <f t="shared" si="94"/>
        <v>975</v>
      </c>
      <c r="H1654" s="16">
        <v>975</v>
      </c>
      <c r="I1654" s="16">
        <f>J1654-H1654</f>
        <v>0</v>
      </c>
      <c r="J1654" s="31">
        <v>975</v>
      </c>
      <c r="K1654" s="69">
        <f t="shared" si="95"/>
        <v>0</v>
      </c>
      <c r="L1654" s="50">
        <v>0</v>
      </c>
      <c r="M1654" s="109">
        <v>0</v>
      </c>
      <c r="N1654" s="110">
        <v>0.5</v>
      </c>
    </row>
    <row r="1655" spans="1:14" ht="15" hidden="1" thickBot="1" x14ac:dyDescent="0.35">
      <c r="A1655" s="20">
        <v>283</v>
      </c>
      <c r="B1655" s="46" t="s">
        <v>933</v>
      </c>
      <c r="C1655" s="20" t="s">
        <v>604</v>
      </c>
      <c r="D1655" s="14" t="s">
        <v>1570</v>
      </c>
      <c r="E1655" s="15" t="s">
        <v>504</v>
      </c>
      <c r="F1655" s="15">
        <v>3</v>
      </c>
      <c r="G1655" s="16">
        <f t="shared" si="94"/>
        <v>9467.5</v>
      </c>
      <c r="H1655" s="16">
        <v>9647.5</v>
      </c>
      <c r="I1655" s="16">
        <f>J1655-H1655</f>
        <v>0</v>
      </c>
      <c r="J1655" s="31">
        <v>9647.5</v>
      </c>
      <c r="K1655" s="69">
        <f t="shared" si="95"/>
        <v>0</v>
      </c>
      <c r="L1655" s="50">
        <v>180</v>
      </c>
      <c r="M1655" s="109">
        <v>180</v>
      </c>
      <c r="N1655" s="110" t="s">
        <v>1231</v>
      </c>
    </row>
    <row r="1656" spans="1:14" ht="15" hidden="1" thickBot="1" x14ac:dyDescent="0.35">
      <c r="A1656" s="20">
        <v>283</v>
      </c>
      <c r="B1656" s="46" t="s">
        <v>933</v>
      </c>
      <c r="C1656" s="20" t="s">
        <v>604</v>
      </c>
      <c r="D1656" s="14" t="s">
        <v>614</v>
      </c>
      <c r="E1656" s="15" t="s">
        <v>502</v>
      </c>
      <c r="F1656" s="15">
        <v>5</v>
      </c>
      <c r="G1656" s="16">
        <f t="shared" si="94"/>
        <v>34134</v>
      </c>
      <c r="H1656" s="16">
        <v>34254</v>
      </c>
      <c r="I1656" s="16">
        <f t="shared" si="96"/>
        <v>0</v>
      </c>
      <c r="J1656" s="31">
        <v>34254</v>
      </c>
      <c r="K1656" s="69">
        <f t="shared" si="95"/>
        <v>0</v>
      </c>
      <c r="L1656" s="50">
        <v>120</v>
      </c>
      <c r="M1656" s="109">
        <v>120</v>
      </c>
      <c r="N1656" s="110"/>
    </row>
    <row r="1657" spans="1:14" ht="15" hidden="1" thickBot="1" x14ac:dyDescent="0.35">
      <c r="A1657" s="14">
        <v>284</v>
      </c>
      <c r="B1657" s="15" t="s">
        <v>934</v>
      </c>
      <c r="C1657" s="14" t="s">
        <v>940</v>
      </c>
      <c r="D1657" s="14"/>
      <c r="E1657" s="15"/>
      <c r="F1657" s="15"/>
      <c r="G1657" s="16">
        <f t="shared" si="94"/>
        <v>0</v>
      </c>
      <c r="H1657" s="16">
        <v>0</v>
      </c>
      <c r="I1657" s="16">
        <f t="shared" si="96"/>
        <v>0</v>
      </c>
      <c r="J1657" s="31">
        <v>0</v>
      </c>
      <c r="K1657" s="69">
        <f t="shared" si="95"/>
        <v>0</v>
      </c>
      <c r="L1657" s="50"/>
      <c r="M1657" s="109"/>
      <c r="N1657" s="110"/>
    </row>
    <row r="1658" spans="1:14" ht="15" hidden="1" thickBot="1" x14ac:dyDescent="0.35">
      <c r="A1658" s="20">
        <v>285</v>
      </c>
      <c r="B1658" s="15" t="s">
        <v>935</v>
      </c>
      <c r="C1658" s="20" t="s">
        <v>936</v>
      </c>
      <c r="D1658" s="14" t="s">
        <v>614</v>
      </c>
      <c r="E1658" s="15" t="s">
        <v>499</v>
      </c>
      <c r="F1658" s="15">
        <v>7</v>
      </c>
      <c r="G1658" s="16">
        <f t="shared" si="94"/>
        <v>8560</v>
      </c>
      <c r="H1658" s="16">
        <v>9280</v>
      </c>
      <c r="I1658" s="16">
        <f t="shared" si="96"/>
        <v>0</v>
      </c>
      <c r="J1658" s="31">
        <v>9280</v>
      </c>
      <c r="K1658" s="69">
        <f t="shared" si="95"/>
        <v>0</v>
      </c>
      <c r="L1658" s="50">
        <v>720</v>
      </c>
      <c r="M1658" s="109">
        <v>720</v>
      </c>
      <c r="N1658" s="110">
        <v>1</v>
      </c>
    </row>
    <row r="1659" spans="1:14" ht="15" hidden="1" thickBot="1" x14ac:dyDescent="0.35">
      <c r="A1659" s="20">
        <v>285</v>
      </c>
      <c r="B1659" s="15" t="s">
        <v>935</v>
      </c>
      <c r="C1659" s="20" t="s">
        <v>936</v>
      </c>
      <c r="D1659" s="14" t="s">
        <v>510</v>
      </c>
      <c r="E1659" s="15" t="s">
        <v>503</v>
      </c>
      <c r="F1659" s="15">
        <v>7</v>
      </c>
      <c r="G1659" s="16">
        <f t="shared" si="94"/>
        <v>9957</v>
      </c>
      <c r="H1659" s="16">
        <v>9957</v>
      </c>
      <c r="I1659" s="16">
        <f t="shared" si="96"/>
        <v>0</v>
      </c>
      <c r="J1659" s="31">
        <v>9957</v>
      </c>
      <c r="K1659" s="69">
        <f t="shared" si="95"/>
        <v>0</v>
      </c>
      <c r="L1659" s="50"/>
      <c r="M1659" s="109"/>
      <c r="N1659" s="110">
        <v>1</v>
      </c>
    </row>
    <row r="1660" spans="1:14" ht="15" hidden="1" thickBot="1" x14ac:dyDescent="0.35">
      <c r="A1660" s="20">
        <v>285</v>
      </c>
      <c r="B1660" s="15" t="s">
        <v>935</v>
      </c>
      <c r="C1660" s="20" t="s">
        <v>936</v>
      </c>
      <c r="D1660" s="14" t="s">
        <v>614</v>
      </c>
      <c r="E1660" s="15" t="s">
        <v>502</v>
      </c>
      <c r="F1660" s="15">
        <v>6</v>
      </c>
      <c r="G1660" s="16">
        <f t="shared" ref="G1660:G1730" si="97">H1660-M1660</f>
        <v>9160</v>
      </c>
      <c r="H1660" s="16">
        <v>9280</v>
      </c>
      <c r="I1660" s="16">
        <f t="shared" si="96"/>
        <v>0</v>
      </c>
      <c r="J1660" s="31">
        <v>9280</v>
      </c>
      <c r="K1660" s="69">
        <f t="shared" si="95"/>
        <v>0</v>
      </c>
      <c r="L1660" s="50">
        <v>120</v>
      </c>
      <c r="M1660" s="109">
        <v>120</v>
      </c>
      <c r="N1660" s="110">
        <v>1</v>
      </c>
    </row>
    <row r="1661" spans="1:14" ht="15" hidden="1" thickBot="1" x14ac:dyDescent="0.35">
      <c r="A1661" s="20">
        <v>285</v>
      </c>
      <c r="B1661" s="15" t="s">
        <v>935</v>
      </c>
      <c r="C1661" s="20" t="s">
        <v>936</v>
      </c>
      <c r="D1661" s="14" t="s">
        <v>614</v>
      </c>
      <c r="E1661" s="15" t="s">
        <v>503</v>
      </c>
      <c r="F1661" s="15">
        <v>6</v>
      </c>
      <c r="G1661" s="16">
        <f t="shared" si="97"/>
        <v>9160</v>
      </c>
      <c r="H1661" s="16">
        <v>9280</v>
      </c>
      <c r="I1661" s="16">
        <f t="shared" si="96"/>
        <v>0</v>
      </c>
      <c r="J1661" s="31">
        <v>9280</v>
      </c>
      <c r="K1661" s="69">
        <f t="shared" si="95"/>
        <v>0</v>
      </c>
      <c r="L1661" s="50">
        <v>120</v>
      </c>
      <c r="M1661" s="109">
        <v>120</v>
      </c>
      <c r="N1661" s="110">
        <v>1</v>
      </c>
    </row>
    <row r="1662" spans="1:14" ht="15" hidden="1" thickBot="1" x14ac:dyDescent="0.35">
      <c r="A1662" s="20">
        <v>285</v>
      </c>
      <c r="B1662" s="15" t="s">
        <v>935</v>
      </c>
      <c r="C1662" s="20" t="s">
        <v>936</v>
      </c>
      <c r="D1662" s="14" t="s">
        <v>510</v>
      </c>
      <c r="E1662" s="15" t="s">
        <v>502</v>
      </c>
      <c r="F1662" s="15">
        <v>6</v>
      </c>
      <c r="G1662" s="16">
        <f t="shared" si="97"/>
        <v>9957</v>
      </c>
      <c r="H1662" s="16">
        <v>9957</v>
      </c>
      <c r="I1662" s="16">
        <f t="shared" si="96"/>
        <v>0</v>
      </c>
      <c r="J1662" s="31">
        <v>9957</v>
      </c>
      <c r="K1662" s="69">
        <f t="shared" ref="K1662:K1732" si="98">M1662-L1662</f>
        <v>0</v>
      </c>
      <c r="L1662" s="50"/>
      <c r="M1662" s="109"/>
      <c r="N1662" s="110">
        <v>1</v>
      </c>
    </row>
    <row r="1663" spans="1:14" ht="15" hidden="1" thickBot="1" x14ac:dyDescent="0.35">
      <c r="A1663" s="20">
        <v>285</v>
      </c>
      <c r="B1663" s="15" t="s">
        <v>935</v>
      </c>
      <c r="C1663" s="20" t="s">
        <v>936</v>
      </c>
      <c r="D1663" s="14" t="s">
        <v>522</v>
      </c>
      <c r="E1663" s="15" t="s">
        <v>502</v>
      </c>
      <c r="F1663" s="15">
        <v>4</v>
      </c>
      <c r="G1663" s="16">
        <f t="shared" si="97"/>
        <v>3045</v>
      </c>
      <c r="H1663" s="16">
        <v>3045</v>
      </c>
      <c r="I1663" s="16">
        <f t="shared" si="96"/>
        <v>0</v>
      </c>
      <c r="J1663" s="31">
        <v>3045</v>
      </c>
      <c r="K1663" s="69">
        <f t="shared" si="98"/>
        <v>0</v>
      </c>
      <c r="L1663" s="50"/>
      <c r="M1663" s="109"/>
      <c r="N1663" s="110">
        <v>1</v>
      </c>
    </row>
    <row r="1664" spans="1:14" ht="15" hidden="1" thickBot="1" x14ac:dyDescent="0.35">
      <c r="A1664" s="20">
        <v>285</v>
      </c>
      <c r="B1664" s="15" t="s">
        <v>935</v>
      </c>
      <c r="C1664" s="20" t="s">
        <v>936</v>
      </c>
      <c r="D1664" s="14" t="s">
        <v>524</v>
      </c>
      <c r="E1664" s="15" t="s">
        <v>503</v>
      </c>
      <c r="F1664" s="15">
        <v>3</v>
      </c>
      <c r="G1664" s="16">
        <f t="shared" si="97"/>
        <v>2550</v>
      </c>
      <c r="H1664" s="16">
        <v>2550</v>
      </c>
      <c r="I1664" s="16">
        <f t="shared" si="96"/>
        <v>0</v>
      </c>
      <c r="J1664" s="31">
        <v>2550</v>
      </c>
      <c r="K1664" s="69">
        <f t="shared" si="98"/>
        <v>0</v>
      </c>
      <c r="L1664" s="50"/>
      <c r="M1664" s="109"/>
      <c r="N1664" s="110">
        <v>1</v>
      </c>
    </row>
    <row r="1665" spans="1:14" ht="15" hidden="1" thickBot="1" x14ac:dyDescent="0.35">
      <c r="A1665" s="20">
        <v>285</v>
      </c>
      <c r="B1665" s="15" t="s">
        <v>935</v>
      </c>
      <c r="C1665" s="20" t="s">
        <v>936</v>
      </c>
      <c r="D1665" s="14" t="s">
        <v>523</v>
      </c>
      <c r="E1665" s="15" t="s">
        <v>508</v>
      </c>
      <c r="F1665" s="15">
        <v>3</v>
      </c>
      <c r="G1665" s="16">
        <f t="shared" si="97"/>
        <v>2550</v>
      </c>
      <c r="H1665" s="16">
        <v>2550</v>
      </c>
      <c r="I1665" s="16">
        <f t="shared" si="96"/>
        <v>0</v>
      </c>
      <c r="J1665" s="31">
        <v>2550</v>
      </c>
      <c r="K1665" s="69">
        <f t="shared" si="98"/>
        <v>0</v>
      </c>
      <c r="L1665" s="50"/>
      <c r="M1665" s="109"/>
      <c r="N1665" s="110">
        <v>1</v>
      </c>
    </row>
    <row r="1666" spans="1:14" ht="15" hidden="1" thickBot="1" x14ac:dyDescent="0.35">
      <c r="A1666" s="20">
        <v>285</v>
      </c>
      <c r="B1666" s="15" t="s">
        <v>935</v>
      </c>
      <c r="C1666" s="20" t="s">
        <v>936</v>
      </c>
      <c r="D1666" s="14" t="s">
        <v>1051</v>
      </c>
      <c r="E1666" s="15" t="s">
        <v>500</v>
      </c>
      <c r="F1666" s="15">
        <v>3</v>
      </c>
      <c r="G1666" s="16">
        <f t="shared" si="97"/>
        <v>2240</v>
      </c>
      <c r="H1666" s="16">
        <v>2240</v>
      </c>
      <c r="I1666" s="16">
        <f t="shared" si="96"/>
        <v>0</v>
      </c>
      <c r="J1666" s="31">
        <v>2240</v>
      </c>
      <c r="K1666" s="69">
        <f t="shared" si="98"/>
        <v>0</v>
      </c>
      <c r="L1666" s="50"/>
      <c r="M1666" s="109"/>
      <c r="N1666" s="110">
        <v>1</v>
      </c>
    </row>
    <row r="1667" spans="1:14" ht="15" hidden="1" thickBot="1" x14ac:dyDescent="0.35">
      <c r="A1667" s="20">
        <v>285</v>
      </c>
      <c r="B1667" s="15" t="s">
        <v>935</v>
      </c>
      <c r="C1667" s="20" t="s">
        <v>936</v>
      </c>
      <c r="D1667" s="14" t="s">
        <v>510</v>
      </c>
      <c r="E1667" s="15" t="s">
        <v>508</v>
      </c>
      <c r="F1667" s="15">
        <v>5</v>
      </c>
      <c r="G1667" s="16">
        <f t="shared" si="97"/>
        <v>9957</v>
      </c>
      <c r="H1667" s="16">
        <v>9957</v>
      </c>
      <c r="I1667" s="16">
        <f t="shared" si="96"/>
        <v>0</v>
      </c>
      <c r="J1667" s="31">
        <v>9957</v>
      </c>
      <c r="K1667" s="69">
        <f t="shared" si="98"/>
        <v>0</v>
      </c>
      <c r="L1667" s="50"/>
      <c r="M1667" s="109"/>
      <c r="N1667" s="110">
        <v>1</v>
      </c>
    </row>
    <row r="1668" spans="1:14" ht="15" hidden="1" thickBot="1" x14ac:dyDescent="0.35">
      <c r="A1668" s="20">
        <v>285</v>
      </c>
      <c r="B1668" s="15" t="s">
        <v>935</v>
      </c>
      <c r="C1668" s="20" t="s">
        <v>936</v>
      </c>
      <c r="D1668" s="14" t="s">
        <v>614</v>
      </c>
      <c r="E1668" s="15" t="s">
        <v>508</v>
      </c>
      <c r="F1668" s="15">
        <v>6</v>
      </c>
      <c r="G1668" s="16">
        <f t="shared" si="97"/>
        <v>8920</v>
      </c>
      <c r="H1668" s="16">
        <v>9280</v>
      </c>
      <c r="I1668" s="16">
        <f t="shared" si="96"/>
        <v>0</v>
      </c>
      <c r="J1668" s="31">
        <v>9280</v>
      </c>
      <c r="K1668" s="69">
        <f t="shared" si="98"/>
        <v>0</v>
      </c>
      <c r="L1668" s="50">
        <v>360</v>
      </c>
      <c r="M1668" s="109">
        <v>360</v>
      </c>
      <c r="N1668" s="110">
        <v>1</v>
      </c>
    </row>
    <row r="1669" spans="1:14" ht="15" hidden="1" thickBot="1" x14ac:dyDescent="0.35">
      <c r="A1669" s="20">
        <v>285</v>
      </c>
      <c r="B1669" s="15" t="s">
        <v>935</v>
      </c>
      <c r="C1669" s="20" t="s">
        <v>936</v>
      </c>
      <c r="D1669" s="14" t="s">
        <v>614</v>
      </c>
      <c r="E1669" s="15" t="s">
        <v>506</v>
      </c>
      <c r="F1669" s="15">
        <v>5</v>
      </c>
      <c r="G1669" s="16">
        <f t="shared" si="97"/>
        <v>9010</v>
      </c>
      <c r="H1669" s="16">
        <v>9280</v>
      </c>
      <c r="I1669" s="16">
        <f>J1669-H1669</f>
        <v>0</v>
      </c>
      <c r="J1669" s="31">
        <v>9280</v>
      </c>
      <c r="K1669" s="69">
        <f t="shared" si="98"/>
        <v>0</v>
      </c>
      <c r="L1669" s="50">
        <v>270</v>
      </c>
      <c r="M1669" s="109">
        <v>270</v>
      </c>
      <c r="N1669" s="110">
        <v>1</v>
      </c>
    </row>
    <row r="1670" spans="1:14" ht="15" hidden="1" thickBot="1" x14ac:dyDescent="0.35">
      <c r="A1670" s="20">
        <v>285</v>
      </c>
      <c r="B1670" s="15" t="s">
        <v>935</v>
      </c>
      <c r="C1670" s="20" t="s">
        <v>936</v>
      </c>
      <c r="D1670" s="14" t="s">
        <v>510</v>
      </c>
      <c r="E1670" s="15" t="s">
        <v>506</v>
      </c>
      <c r="F1670" s="15">
        <v>6</v>
      </c>
      <c r="G1670" s="16">
        <f t="shared" si="97"/>
        <v>9957</v>
      </c>
      <c r="H1670" s="16">
        <v>9957</v>
      </c>
      <c r="I1670" s="16">
        <f t="shared" si="96"/>
        <v>0</v>
      </c>
      <c r="J1670" s="31">
        <v>9957</v>
      </c>
      <c r="K1670" s="69">
        <f t="shared" si="98"/>
        <v>0</v>
      </c>
      <c r="L1670" s="50"/>
      <c r="M1670" s="109"/>
      <c r="N1670" s="110">
        <v>1</v>
      </c>
    </row>
    <row r="1671" spans="1:14" ht="15" hidden="1" thickBot="1" x14ac:dyDescent="0.35">
      <c r="A1671" s="20">
        <v>285</v>
      </c>
      <c r="B1671" s="15" t="s">
        <v>935</v>
      </c>
      <c r="C1671" s="20" t="s">
        <v>936</v>
      </c>
      <c r="D1671" s="14" t="s">
        <v>510</v>
      </c>
      <c r="E1671" s="15" t="s">
        <v>509</v>
      </c>
      <c r="F1671" s="15">
        <v>6</v>
      </c>
      <c r="G1671" s="16">
        <f t="shared" si="97"/>
        <v>10265</v>
      </c>
      <c r="H1671" s="16">
        <v>10385</v>
      </c>
      <c r="I1671" s="16">
        <f t="shared" si="96"/>
        <v>0</v>
      </c>
      <c r="J1671" s="31">
        <v>10385</v>
      </c>
      <c r="K1671" s="69">
        <f t="shared" si="98"/>
        <v>0</v>
      </c>
      <c r="L1671" s="50">
        <v>120</v>
      </c>
      <c r="M1671" s="109">
        <v>120</v>
      </c>
      <c r="N1671" s="110">
        <v>1</v>
      </c>
    </row>
    <row r="1672" spans="1:14" ht="15" hidden="1" thickBot="1" x14ac:dyDescent="0.35">
      <c r="A1672" s="20">
        <v>285</v>
      </c>
      <c r="B1672" s="15" t="s">
        <v>935</v>
      </c>
      <c r="C1672" s="20" t="s">
        <v>936</v>
      </c>
      <c r="D1672" s="14" t="s">
        <v>614</v>
      </c>
      <c r="E1672" s="15" t="s">
        <v>509</v>
      </c>
      <c r="F1672" s="15">
        <v>6</v>
      </c>
      <c r="G1672" s="16">
        <f t="shared" si="97"/>
        <v>9885</v>
      </c>
      <c r="H1672" s="16">
        <v>10005</v>
      </c>
      <c r="I1672" s="16">
        <f t="shared" si="96"/>
        <v>0</v>
      </c>
      <c r="J1672" s="31">
        <v>10005</v>
      </c>
      <c r="K1672" s="69">
        <f t="shared" si="98"/>
        <v>0</v>
      </c>
      <c r="L1672" s="50">
        <v>120</v>
      </c>
      <c r="M1672" s="109">
        <v>120</v>
      </c>
      <c r="N1672" s="110">
        <v>1</v>
      </c>
    </row>
    <row r="1673" spans="1:14" ht="15" hidden="1" thickBot="1" x14ac:dyDescent="0.35">
      <c r="A1673" s="20">
        <v>285</v>
      </c>
      <c r="B1673" s="15" t="s">
        <v>935</v>
      </c>
      <c r="C1673" s="20" t="s">
        <v>936</v>
      </c>
      <c r="D1673" s="14" t="s">
        <v>614</v>
      </c>
      <c r="E1673" s="15" t="s">
        <v>504</v>
      </c>
      <c r="F1673" s="15">
        <v>5</v>
      </c>
      <c r="G1673" s="16">
        <f t="shared" si="97"/>
        <v>10005</v>
      </c>
      <c r="H1673" s="16">
        <v>10005</v>
      </c>
      <c r="I1673" s="16">
        <f t="shared" si="96"/>
        <v>0</v>
      </c>
      <c r="J1673" s="31">
        <v>10005</v>
      </c>
      <c r="K1673" s="69">
        <f t="shared" si="98"/>
        <v>0</v>
      </c>
      <c r="L1673" s="50"/>
      <c r="M1673" s="109"/>
      <c r="N1673" s="110">
        <v>1</v>
      </c>
    </row>
    <row r="1674" spans="1:14" ht="15" hidden="1" thickBot="1" x14ac:dyDescent="0.35">
      <c r="A1674" s="20">
        <v>285</v>
      </c>
      <c r="B1674" s="15" t="s">
        <v>935</v>
      </c>
      <c r="C1674" s="20" t="s">
        <v>936</v>
      </c>
      <c r="D1674" s="14" t="s">
        <v>510</v>
      </c>
      <c r="E1674" s="15" t="s">
        <v>504</v>
      </c>
      <c r="F1674" s="15">
        <v>5</v>
      </c>
      <c r="G1674" s="16">
        <f t="shared" si="97"/>
        <v>10385</v>
      </c>
      <c r="H1674" s="16">
        <v>10385</v>
      </c>
      <c r="I1674" s="16">
        <f t="shared" si="96"/>
        <v>0</v>
      </c>
      <c r="J1674" s="31">
        <v>10385</v>
      </c>
      <c r="K1674" s="69">
        <f t="shared" si="98"/>
        <v>0</v>
      </c>
      <c r="L1674" s="50"/>
      <c r="M1674" s="109"/>
      <c r="N1674" s="110">
        <v>1</v>
      </c>
    </row>
    <row r="1675" spans="1:14" ht="15" hidden="1" thickBot="1" x14ac:dyDescent="0.35">
      <c r="A1675" s="20">
        <v>285</v>
      </c>
      <c r="B1675" s="15" t="s">
        <v>935</v>
      </c>
      <c r="C1675" s="20" t="s">
        <v>936</v>
      </c>
      <c r="D1675" s="14" t="s">
        <v>510</v>
      </c>
      <c r="E1675" s="15" t="s">
        <v>500</v>
      </c>
      <c r="F1675" s="15">
        <v>6</v>
      </c>
      <c r="G1675" s="16">
        <f t="shared" si="97"/>
        <v>6216</v>
      </c>
      <c r="H1675" s="16">
        <v>6456</v>
      </c>
      <c r="I1675" s="16">
        <f t="shared" si="96"/>
        <v>0</v>
      </c>
      <c r="J1675" s="31">
        <v>6456</v>
      </c>
      <c r="K1675" s="69">
        <f t="shared" si="98"/>
        <v>0</v>
      </c>
      <c r="L1675" s="50">
        <v>240</v>
      </c>
      <c r="M1675" s="109">
        <v>240</v>
      </c>
      <c r="N1675" s="110">
        <v>1</v>
      </c>
    </row>
    <row r="1676" spans="1:14" ht="15" hidden="1" thickBot="1" x14ac:dyDescent="0.35">
      <c r="A1676" s="20">
        <v>285</v>
      </c>
      <c r="B1676" s="15" t="s">
        <v>935</v>
      </c>
      <c r="C1676" s="20" t="s">
        <v>936</v>
      </c>
      <c r="D1676" s="14" t="s">
        <v>507</v>
      </c>
      <c r="E1676" s="15" t="s">
        <v>504</v>
      </c>
      <c r="F1676" s="15">
        <v>2</v>
      </c>
      <c r="G1676" s="16">
        <f t="shared" si="97"/>
        <v>2550</v>
      </c>
      <c r="H1676" s="16">
        <v>2550</v>
      </c>
      <c r="I1676" s="16">
        <f t="shared" si="96"/>
        <v>0</v>
      </c>
      <c r="J1676" s="31">
        <v>2550</v>
      </c>
      <c r="K1676" s="69">
        <f t="shared" si="98"/>
        <v>0</v>
      </c>
      <c r="L1676" s="50"/>
      <c r="M1676" s="109"/>
      <c r="N1676" s="110">
        <v>1</v>
      </c>
    </row>
    <row r="1677" spans="1:14" ht="15" hidden="1" thickBot="1" x14ac:dyDescent="0.35">
      <c r="A1677" s="20">
        <v>285</v>
      </c>
      <c r="B1677" s="15" t="s">
        <v>935</v>
      </c>
      <c r="C1677" s="20" t="s">
        <v>936</v>
      </c>
      <c r="D1677" s="14" t="s">
        <v>513</v>
      </c>
      <c r="E1677" s="15" t="s">
        <v>546</v>
      </c>
      <c r="F1677" s="15">
        <v>2</v>
      </c>
      <c r="G1677" s="16">
        <f t="shared" si="97"/>
        <v>2700</v>
      </c>
      <c r="H1677" s="16">
        <v>2700</v>
      </c>
      <c r="I1677" s="16">
        <f t="shared" si="96"/>
        <v>0</v>
      </c>
      <c r="J1677" s="31">
        <v>2700</v>
      </c>
      <c r="K1677" s="69">
        <f t="shared" si="98"/>
        <v>0</v>
      </c>
      <c r="L1677" s="50"/>
      <c r="M1677" s="109"/>
      <c r="N1677" s="110">
        <v>1</v>
      </c>
    </row>
    <row r="1678" spans="1:14" ht="15" hidden="1" thickBot="1" x14ac:dyDescent="0.35">
      <c r="A1678" s="20">
        <v>285</v>
      </c>
      <c r="B1678" s="15" t="s">
        <v>935</v>
      </c>
      <c r="C1678" s="20" t="s">
        <v>936</v>
      </c>
      <c r="D1678" s="14" t="s">
        <v>547</v>
      </c>
      <c r="E1678" s="15" t="s">
        <v>502</v>
      </c>
      <c r="F1678" s="15">
        <v>5</v>
      </c>
      <c r="G1678" s="16">
        <f t="shared" si="97"/>
        <v>2550</v>
      </c>
      <c r="H1678" s="16">
        <v>2550</v>
      </c>
      <c r="I1678" s="16">
        <f t="shared" si="96"/>
        <v>0</v>
      </c>
      <c r="J1678" s="31">
        <v>2550</v>
      </c>
      <c r="K1678" s="69">
        <f t="shared" si="98"/>
        <v>0</v>
      </c>
      <c r="L1678" s="50"/>
      <c r="M1678" s="109"/>
      <c r="N1678" s="110">
        <v>1</v>
      </c>
    </row>
    <row r="1679" spans="1:14" ht="15" hidden="1" thickBot="1" x14ac:dyDescent="0.35">
      <c r="A1679" s="20">
        <v>285</v>
      </c>
      <c r="B1679" s="15" t="s">
        <v>935</v>
      </c>
      <c r="C1679" s="20" t="s">
        <v>936</v>
      </c>
      <c r="D1679" s="14" t="s">
        <v>548</v>
      </c>
      <c r="E1679" s="15" t="s">
        <v>504</v>
      </c>
      <c r="F1679" s="15">
        <v>2</v>
      </c>
      <c r="G1679" s="16">
        <f t="shared" si="97"/>
        <v>2550</v>
      </c>
      <c r="H1679" s="16">
        <v>2550</v>
      </c>
      <c r="I1679" s="16">
        <f t="shared" si="96"/>
        <v>0</v>
      </c>
      <c r="J1679" s="31">
        <v>2550</v>
      </c>
      <c r="K1679" s="69">
        <f t="shared" si="98"/>
        <v>0</v>
      </c>
      <c r="L1679" s="50"/>
      <c r="M1679" s="109"/>
      <c r="N1679" s="110">
        <v>1</v>
      </c>
    </row>
    <row r="1680" spans="1:14" ht="15" hidden="1" thickBot="1" x14ac:dyDescent="0.35">
      <c r="A1680" s="20">
        <v>285</v>
      </c>
      <c r="B1680" s="15" t="s">
        <v>935</v>
      </c>
      <c r="C1680" s="20" t="s">
        <v>936</v>
      </c>
      <c r="D1680" s="14" t="s">
        <v>614</v>
      </c>
      <c r="E1680" s="15" t="s">
        <v>500</v>
      </c>
      <c r="F1680" s="15">
        <v>4</v>
      </c>
      <c r="G1680" s="16">
        <f t="shared" si="97"/>
        <v>9045</v>
      </c>
      <c r="H1680" s="16">
        <v>10005</v>
      </c>
      <c r="I1680" s="16">
        <f t="shared" si="96"/>
        <v>0</v>
      </c>
      <c r="J1680" s="31">
        <v>10005</v>
      </c>
      <c r="K1680" s="69">
        <f t="shared" si="98"/>
        <v>0</v>
      </c>
      <c r="L1680" s="50">
        <v>960</v>
      </c>
      <c r="M1680" s="109">
        <v>960</v>
      </c>
      <c r="N1680" s="110">
        <v>1</v>
      </c>
    </row>
    <row r="1681" spans="1:14" ht="15" hidden="1" thickBot="1" x14ac:dyDescent="0.35">
      <c r="A1681" s="20">
        <v>285</v>
      </c>
      <c r="B1681" s="15" t="s">
        <v>935</v>
      </c>
      <c r="C1681" s="20" t="s">
        <v>936</v>
      </c>
      <c r="D1681" s="14" t="s">
        <v>999</v>
      </c>
      <c r="E1681" s="15" t="s">
        <v>626</v>
      </c>
      <c r="F1681" s="15">
        <v>3</v>
      </c>
      <c r="G1681" s="16">
        <f t="shared" si="97"/>
        <v>1920</v>
      </c>
      <c r="H1681" s="16">
        <v>1920</v>
      </c>
      <c r="I1681" s="16">
        <f t="shared" si="96"/>
        <v>0</v>
      </c>
      <c r="J1681" s="31">
        <v>1920</v>
      </c>
      <c r="K1681" s="69">
        <f t="shared" si="98"/>
        <v>0</v>
      </c>
      <c r="L1681" s="50"/>
      <c r="M1681" s="109"/>
      <c r="N1681" s="110">
        <v>1</v>
      </c>
    </row>
    <row r="1682" spans="1:14" ht="15" hidden="1" thickBot="1" x14ac:dyDescent="0.35">
      <c r="A1682" s="20">
        <v>285</v>
      </c>
      <c r="B1682" s="15" t="s">
        <v>935</v>
      </c>
      <c r="C1682" s="20" t="s">
        <v>936</v>
      </c>
      <c r="D1682" s="14" t="s">
        <v>510</v>
      </c>
      <c r="E1682" s="15" t="s">
        <v>512</v>
      </c>
      <c r="F1682" s="15">
        <v>5</v>
      </c>
      <c r="G1682" s="16">
        <f t="shared" si="97"/>
        <v>10385</v>
      </c>
      <c r="H1682" s="16">
        <v>10385</v>
      </c>
      <c r="I1682" s="16">
        <f t="shared" si="96"/>
        <v>0</v>
      </c>
      <c r="J1682" s="31">
        <v>10385</v>
      </c>
      <c r="K1682" s="69">
        <f t="shared" si="98"/>
        <v>0</v>
      </c>
      <c r="L1682" s="50"/>
      <c r="M1682" s="109"/>
      <c r="N1682" s="110">
        <v>1</v>
      </c>
    </row>
    <row r="1683" spans="1:14" ht="15" hidden="1" thickBot="1" x14ac:dyDescent="0.35">
      <c r="A1683" s="20">
        <v>285</v>
      </c>
      <c r="B1683" s="15" t="s">
        <v>935</v>
      </c>
      <c r="C1683" s="20" t="s">
        <v>936</v>
      </c>
      <c r="D1683" s="14" t="s">
        <v>505</v>
      </c>
      <c r="E1683" s="15" t="s">
        <v>504</v>
      </c>
      <c r="F1683" s="15">
        <v>2</v>
      </c>
      <c r="G1683" s="16">
        <f t="shared" si="97"/>
        <v>2550</v>
      </c>
      <c r="H1683" s="16">
        <v>2550</v>
      </c>
      <c r="I1683" s="16">
        <f t="shared" si="96"/>
        <v>0</v>
      </c>
      <c r="J1683" s="31">
        <v>2550</v>
      </c>
      <c r="K1683" s="69">
        <f t="shared" si="98"/>
        <v>0</v>
      </c>
      <c r="L1683" s="50"/>
      <c r="M1683" s="109"/>
      <c r="N1683" s="110">
        <v>1</v>
      </c>
    </row>
    <row r="1684" spans="1:14" ht="15" hidden="1" thickBot="1" x14ac:dyDescent="0.35">
      <c r="A1684" s="20">
        <v>285</v>
      </c>
      <c r="B1684" s="15" t="s">
        <v>935</v>
      </c>
      <c r="C1684" s="20" t="s">
        <v>936</v>
      </c>
      <c r="D1684" s="14" t="s">
        <v>614</v>
      </c>
      <c r="E1684" s="15" t="s">
        <v>512</v>
      </c>
      <c r="F1684" s="15">
        <v>5</v>
      </c>
      <c r="G1684" s="16">
        <f t="shared" si="97"/>
        <v>10005</v>
      </c>
      <c r="H1684" s="16">
        <v>10005</v>
      </c>
      <c r="I1684" s="16">
        <f t="shared" si="96"/>
        <v>0</v>
      </c>
      <c r="J1684" s="31">
        <v>10005</v>
      </c>
      <c r="K1684" s="69">
        <f t="shared" si="98"/>
        <v>0</v>
      </c>
      <c r="L1684" s="50"/>
      <c r="M1684" s="109"/>
      <c r="N1684" s="110">
        <v>1</v>
      </c>
    </row>
    <row r="1685" spans="1:14" ht="15" hidden="1" thickBot="1" x14ac:dyDescent="0.35">
      <c r="A1685" s="20">
        <v>285</v>
      </c>
      <c r="B1685" s="15" t="s">
        <v>935</v>
      </c>
      <c r="C1685" s="20" t="s">
        <v>936</v>
      </c>
      <c r="D1685" s="14" t="s">
        <v>510</v>
      </c>
      <c r="E1685" s="15" t="s">
        <v>499</v>
      </c>
      <c r="F1685" s="15">
        <v>7</v>
      </c>
      <c r="G1685" s="16">
        <f t="shared" si="97"/>
        <v>9837</v>
      </c>
      <c r="H1685" s="16">
        <v>9957</v>
      </c>
      <c r="I1685" s="16">
        <f t="shared" si="96"/>
        <v>0</v>
      </c>
      <c r="J1685" s="31">
        <v>9957</v>
      </c>
      <c r="K1685" s="69">
        <f t="shared" si="98"/>
        <v>0</v>
      </c>
      <c r="L1685" s="50">
        <v>120</v>
      </c>
      <c r="M1685" s="109">
        <v>120</v>
      </c>
      <c r="N1685" s="110">
        <v>1</v>
      </c>
    </row>
    <row r="1686" spans="1:14" ht="15" hidden="1" thickBot="1" x14ac:dyDescent="0.35">
      <c r="A1686" s="14">
        <v>286</v>
      </c>
      <c r="B1686" s="15" t="s">
        <v>937</v>
      </c>
      <c r="C1686" s="14" t="s">
        <v>938</v>
      </c>
      <c r="D1686" s="14" t="s">
        <v>497</v>
      </c>
      <c r="E1686" s="15" t="s">
        <v>14</v>
      </c>
      <c r="F1686" s="15">
        <v>3</v>
      </c>
      <c r="G1686" s="16">
        <f t="shared" si="97"/>
        <v>568750</v>
      </c>
      <c r="H1686" s="16">
        <v>568750</v>
      </c>
      <c r="I1686" s="16">
        <f t="shared" si="96"/>
        <v>0</v>
      </c>
      <c r="J1686" s="31">
        <v>568750</v>
      </c>
      <c r="K1686" s="69">
        <f t="shared" si="98"/>
        <v>0</v>
      </c>
      <c r="L1686" s="50"/>
      <c r="M1686" s="109"/>
      <c r="N1686" s="110"/>
    </row>
    <row r="1687" spans="1:14" ht="15" hidden="1" thickBot="1" x14ac:dyDescent="0.35">
      <c r="A1687" s="20">
        <v>287</v>
      </c>
      <c r="B1687" s="15" t="s">
        <v>939</v>
      </c>
      <c r="C1687" s="20" t="s">
        <v>940</v>
      </c>
      <c r="D1687" s="14" t="s">
        <v>614</v>
      </c>
      <c r="E1687" s="15" t="s">
        <v>509</v>
      </c>
      <c r="F1687" s="15">
        <v>1</v>
      </c>
      <c r="G1687" s="16">
        <f t="shared" si="97"/>
        <v>17940</v>
      </c>
      <c r="H1687" s="16">
        <v>18000</v>
      </c>
      <c r="I1687" s="16">
        <f t="shared" si="96"/>
        <v>0</v>
      </c>
      <c r="J1687" s="31">
        <v>18000</v>
      </c>
      <c r="K1687" s="69">
        <f t="shared" si="98"/>
        <v>0</v>
      </c>
      <c r="L1687" s="50">
        <v>60</v>
      </c>
      <c r="M1687" s="109">
        <v>60</v>
      </c>
      <c r="N1687" s="110"/>
    </row>
    <row r="1688" spans="1:14" ht="15" hidden="1" thickBot="1" x14ac:dyDescent="0.35">
      <c r="A1688" s="20">
        <v>287</v>
      </c>
      <c r="B1688" s="15" t="s">
        <v>939</v>
      </c>
      <c r="C1688" s="20" t="s">
        <v>940</v>
      </c>
      <c r="D1688" s="14" t="s">
        <v>618</v>
      </c>
      <c r="E1688" s="15" t="s">
        <v>509</v>
      </c>
      <c r="F1688" s="15">
        <v>12</v>
      </c>
      <c r="G1688" s="16">
        <f t="shared" si="97"/>
        <v>141027</v>
      </c>
      <c r="H1688" s="16">
        <v>142107</v>
      </c>
      <c r="I1688" s="16">
        <f t="shared" si="96"/>
        <v>0</v>
      </c>
      <c r="J1688" s="31">
        <v>142107</v>
      </c>
      <c r="K1688" s="69">
        <f t="shared" si="98"/>
        <v>0</v>
      </c>
      <c r="L1688" s="50">
        <v>1080</v>
      </c>
      <c r="M1688" s="109">
        <v>1080</v>
      </c>
      <c r="N1688" s="110">
        <v>0.9</v>
      </c>
    </row>
    <row r="1689" spans="1:14" ht="15" hidden="1" thickBot="1" x14ac:dyDescent="0.35">
      <c r="A1689" s="20">
        <v>287</v>
      </c>
      <c r="B1689" s="15" t="s">
        <v>939</v>
      </c>
      <c r="C1689" s="20" t="s">
        <v>940</v>
      </c>
      <c r="D1689" s="14" t="s">
        <v>1077</v>
      </c>
      <c r="E1689" s="15" t="s">
        <v>509</v>
      </c>
      <c r="F1689" s="15">
        <v>5</v>
      </c>
      <c r="G1689" s="16">
        <f t="shared" si="97"/>
        <v>21884</v>
      </c>
      <c r="H1689" s="16">
        <v>24324</v>
      </c>
      <c r="I1689" s="16">
        <f t="shared" si="96"/>
        <v>0</v>
      </c>
      <c r="J1689" s="31">
        <v>24324</v>
      </c>
      <c r="K1689" s="69">
        <f t="shared" si="98"/>
        <v>0</v>
      </c>
      <c r="L1689" s="50">
        <v>2440</v>
      </c>
      <c r="M1689" s="109">
        <v>2440</v>
      </c>
      <c r="N1689" s="110">
        <v>0.9</v>
      </c>
    </row>
    <row r="1690" spans="1:14" ht="15" hidden="1" thickBot="1" x14ac:dyDescent="0.35">
      <c r="A1690" s="20">
        <v>287</v>
      </c>
      <c r="B1690" s="15" t="s">
        <v>939</v>
      </c>
      <c r="C1690" s="20" t="s">
        <v>940</v>
      </c>
      <c r="D1690" s="14" t="s">
        <v>510</v>
      </c>
      <c r="E1690" s="15" t="s">
        <v>509</v>
      </c>
      <c r="F1690" s="15">
        <v>1</v>
      </c>
      <c r="G1690" s="16">
        <f t="shared" si="97"/>
        <v>5000</v>
      </c>
      <c r="H1690" s="16">
        <v>5000</v>
      </c>
      <c r="I1690" s="16">
        <f t="shared" si="96"/>
        <v>0</v>
      </c>
      <c r="J1690" s="31">
        <v>5000</v>
      </c>
      <c r="K1690" s="69">
        <f t="shared" si="98"/>
        <v>0</v>
      </c>
      <c r="L1690" s="50"/>
      <c r="M1690" s="109"/>
      <c r="N1690" s="110"/>
    </row>
    <row r="1691" spans="1:14" ht="15" hidden="1" thickBot="1" x14ac:dyDescent="0.35">
      <c r="A1691" s="20">
        <v>288</v>
      </c>
      <c r="B1691" s="15" t="s">
        <v>941</v>
      </c>
      <c r="C1691" s="20" t="s">
        <v>793</v>
      </c>
      <c r="D1691" s="14" t="s">
        <v>511</v>
      </c>
      <c r="E1691" s="15" t="s">
        <v>503</v>
      </c>
      <c r="F1691" s="15">
        <v>1</v>
      </c>
      <c r="G1691" s="16">
        <f t="shared" si="97"/>
        <v>1462</v>
      </c>
      <c r="H1691" s="16">
        <v>1462</v>
      </c>
      <c r="I1691" s="16">
        <f t="shared" si="96"/>
        <v>0</v>
      </c>
      <c r="J1691" s="31">
        <v>1462</v>
      </c>
      <c r="K1691" s="69">
        <f t="shared" si="98"/>
        <v>0</v>
      </c>
      <c r="L1691" s="50"/>
      <c r="M1691" s="109"/>
      <c r="N1691" s="110"/>
    </row>
    <row r="1692" spans="1:14" ht="15" hidden="1" thickBot="1" x14ac:dyDescent="0.35">
      <c r="A1692" s="14">
        <v>288</v>
      </c>
      <c r="B1692" s="15" t="s">
        <v>941</v>
      </c>
      <c r="C1692" s="20" t="s">
        <v>793</v>
      </c>
      <c r="D1692" s="14" t="s">
        <v>614</v>
      </c>
      <c r="E1692" s="15" t="s">
        <v>502</v>
      </c>
      <c r="F1692" s="15">
        <v>3</v>
      </c>
      <c r="G1692" s="16">
        <f t="shared" si="97"/>
        <v>1361</v>
      </c>
      <c r="H1692" s="16">
        <v>1481</v>
      </c>
      <c r="I1692" s="16">
        <f t="shared" si="96"/>
        <v>0</v>
      </c>
      <c r="J1692" s="31">
        <v>1481</v>
      </c>
      <c r="K1692" s="69">
        <f t="shared" si="98"/>
        <v>0</v>
      </c>
      <c r="L1692" s="50">
        <v>120</v>
      </c>
      <c r="M1692" s="109">
        <v>120</v>
      </c>
      <c r="N1692" s="110"/>
    </row>
    <row r="1693" spans="1:14" ht="15" hidden="1" thickBot="1" x14ac:dyDescent="0.35">
      <c r="A1693" s="19">
        <v>289</v>
      </c>
      <c r="B1693" s="15" t="s">
        <v>942</v>
      </c>
      <c r="C1693" s="14" t="s">
        <v>108</v>
      </c>
      <c r="D1693" s="14" t="s">
        <v>497</v>
      </c>
      <c r="E1693" s="15" t="s">
        <v>14</v>
      </c>
      <c r="F1693" s="15">
        <v>14</v>
      </c>
      <c r="G1693" s="16">
        <f t="shared" si="97"/>
        <v>4378210</v>
      </c>
      <c r="H1693" s="16">
        <v>4378810</v>
      </c>
      <c r="I1693" s="16">
        <f t="shared" si="96"/>
        <v>0</v>
      </c>
      <c r="J1693" s="31">
        <v>4378810</v>
      </c>
      <c r="K1693" s="69">
        <f t="shared" si="98"/>
        <v>0</v>
      </c>
      <c r="L1693" s="50">
        <v>600</v>
      </c>
      <c r="M1693" s="109">
        <v>600</v>
      </c>
      <c r="N1693" s="110"/>
    </row>
    <row r="1694" spans="1:14" ht="15" hidden="1" thickBot="1" x14ac:dyDescent="0.35">
      <c r="A1694" s="19">
        <v>290</v>
      </c>
      <c r="B1694" s="15" t="s">
        <v>943</v>
      </c>
      <c r="C1694" s="19" t="s">
        <v>575</v>
      </c>
      <c r="D1694" s="14" t="s">
        <v>497</v>
      </c>
      <c r="E1694" s="15" t="s">
        <v>14</v>
      </c>
      <c r="F1694" s="15">
        <v>1</v>
      </c>
      <c r="G1694" s="16">
        <f t="shared" si="97"/>
        <v>32940</v>
      </c>
      <c r="H1694" s="16">
        <v>32940</v>
      </c>
      <c r="I1694" s="16">
        <f t="shared" si="96"/>
        <v>0</v>
      </c>
      <c r="J1694" s="31">
        <v>32940</v>
      </c>
      <c r="K1694" s="69">
        <f t="shared" si="98"/>
        <v>0</v>
      </c>
      <c r="L1694" s="50"/>
      <c r="M1694" s="109"/>
      <c r="N1694" s="110"/>
    </row>
    <row r="1695" spans="1:14" ht="15" hidden="1" thickBot="1" x14ac:dyDescent="0.35">
      <c r="A1695" s="20">
        <v>291</v>
      </c>
      <c r="B1695" s="15" t="s">
        <v>944</v>
      </c>
      <c r="C1695" s="20" t="s">
        <v>605</v>
      </c>
      <c r="D1695" s="14" t="s">
        <v>679</v>
      </c>
      <c r="E1695" s="15" t="s">
        <v>502</v>
      </c>
      <c r="F1695" s="15">
        <v>14</v>
      </c>
      <c r="G1695" s="16">
        <f t="shared" si="97"/>
        <v>49007</v>
      </c>
      <c r="H1695" s="16">
        <v>49850</v>
      </c>
      <c r="I1695" s="16">
        <f t="shared" si="96"/>
        <v>0</v>
      </c>
      <c r="J1695" s="31">
        <v>49850</v>
      </c>
      <c r="K1695" s="69">
        <f t="shared" si="98"/>
        <v>0</v>
      </c>
      <c r="L1695" s="50">
        <v>843</v>
      </c>
      <c r="M1695" s="109">
        <v>843</v>
      </c>
      <c r="N1695" s="110">
        <v>0.77</v>
      </c>
    </row>
    <row r="1696" spans="1:14" ht="15" hidden="1" thickBot="1" x14ac:dyDescent="0.35">
      <c r="A1696" s="20">
        <v>291</v>
      </c>
      <c r="B1696" s="15" t="s">
        <v>944</v>
      </c>
      <c r="C1696" s="20" t="s">
        <v>605</v>
      </c>
      <c r="D1696" s="14" t="s">
        <v>1105</v>
      </c>
      <c r="E1696" s="15" t="s">
        <v>504</v>
      </c>
      <c r="F1696" s="15">
        <v>12</v>
      </c>
      <c r="G1696" s="16">
        <f t="shared" si="97"/>
        <v>43143</v>
      </c>
      <c r="H1696" s="16">
        <v>43443</v>
      </c>
      <c r="I1696" s="16">
        <f t="shared" si="96"/>
        <v>0</v>
      </c>
      <c r="J1696" s="31">
        <v>43443</v>
      </c>
      <c r="K1696" s="69">
        <f t="shared" si="98"/>
        <v>0</v>
      </c>
      <c r="L1696" s="50">
        <v>300</v>
      </c>
      <c r="M1696" s="109">
        <v>300</v>
      </c>
      <c r="N1696" s="110">
        <v>0.87</v>
      </c>
    </row>
    <row r="1697" spans="1:14" ht="15" hidden="1" thickBot="1" x14ac:dyDescent="0.35">
      <c r="A1697" s="14">
        <v>291</v>
      </c>
      <c r="B1697" s="15" t="s">
        <v>944</v>
      </c>
      <c r="C1697" s="14" t="s">
        <v>605</v>
      </c>
      <c r="D1697" s="14" t="s">
        <v>981</v>
      </c>
      <c r="E1697" s="15" t="s">
        <v>502</v>
      </c>
      <c r="F1697" s="15">
        <v>12</v>
      </c>
      <c r="G1697" s="16">
        <f t="shared" si="97"/>
        <v>49130</v>
      </c>
      <c r="H1697" s="16">
        <v>49850</v>
      </c>
      <c r="I1697" s="16">
        <f>J1697-H1697</f>
        <v>0</v>
      </c>
      <c r="J1697" s="31">
        <v>49850</v>
      </c>
      <c r="K1697" s="69">
        <f t="shared" si="98"/>
        <v>0</v>
      </c>
      <c r="L1697" s="50">
        <v>720</v>
      </c>
      <c r="M1697" s="109">
        <v>720</v>
      </c>
      <c r="N1697" s="110">
        <v>0.51</v>
      </c>
    </row>
    <row r="1698" spans="1:14" ht="15" hidden="1" thickBot="1" x14ac:dyDescent="0.35">
      <c r="A1698" s="21">
        <v>292</v>
      </c>
      <c r="B1698" s="15" t="s">
        <v>945</v>
      </c>
      <c r="C1698" s="21" t="s">
        <v>978</v>
      </c>
      <c r="D1698" s="14" t="s">
        <v>1051</v>
      </c>
      <c r="E1698" s="15" t="s">
        <v>500</v>
      </c>
      <c r="F1698" s="15">
        <v>2</v>
      </c>
      <c r="G1698" s="16">
        <f t="shared" si="97"/>
        <v>3375</v>
      </c>
      <c r="H1698" s="16">
        <v>3375</v>
      </c>
      <c r="I1698" s="16">
        <f t="shared" si="96"/>
        <v>0</v>
      </c>
      <c r="J1698" s="31">
        <v>3375</v>
      </c>
      <c r="K1698" s="69">
        <f t="shared" si="98"/>
        <v>0</v>
      </c>
      <c r="L1698" s="50"/>
      <c r="M1698" s="109"/>
      <c r="N1698" s="110"/>
    </row>
    <row r="1699" spans="1:14" ht="15" hidden="1" thickBot="1" x14ac:dyDescent="0.35">
      <c r="A1699" s="20">
        <v>293</v>
      </c>
      <c r="B1699" s="15" t="s">
        <v>946</v>
      </c>
      <c r="C1699" s="20" t="s">
        <v>604</v>
      </c>
      <c r="D1699" s="14" t="s">
        <v>614</v>
      </c>
      <c r="E1699" s="15" t="s">
        <v>503</v>
      </c>
      <c r="F1699" s="15">
        <v>4</v>
      </c>
      <c r="G1699" s="16">
        <f t="shared" si="97"/>
        <v>34134</v>
      </c>
      <c r="H1699" s="16">
        <v>34254</v>
      </c>
      <c r="I1699" s="16">
        <f t="shared" si="96"/>
        <v>0</v>
      </c>
      <c r="J1699" s="31">
        <v>34254</v>
      </c>
      <c r="K1699" s="69">
        <f t="shared" si="98"/>
        <v>0</v>
      </c>
      <c r="L1699" s="50">
        <v>120</v>
      </c>
      <c r="M1699" s="109">
        <v>120</v>
      </c>
      <c r="N1699" s="110"/>
    </row>
    <row r="1700" spans="1:14" ht="15" hidden="1" thickBot="1" x14ac:dyDescent="0.35">
      <c r="A1700" s="20">
        <v>293</v>
      </c>
      <c r="B1700" s="15" t="s">
        <v>946</v>
      </c>
      <c r="C1700" s="20" t="s">
        <v>604</v>
      </c>
      <c r="D1700" s="14" t="s">
        <v>510</v>
      </c>
      <c r="E1700" s="15" t="s">
        <v>503</v>
      </c>
      <c r="F1700" s="15">
        <v>5</v>
      </c>
      <c r="G1700" s="16">
        <f t="shared" si="97"/>
        <v>12180</v>
      </c>
      <c r="H1700" s="16">
        <v>12180</v>
      </c>
      <c r="I1700" s="16">
        <f t="shared" si="96"/>
        <v>0</v>
      </c>
      <c r="J1700" s="31">
        <v>12180</v>
      </c>
      <c r="K1700" s="69">
        <f t="shared" si="98"/>
        <v>0</v>
      </c>
      <c r="L1700" s="50"/>
      <c r="M1700" s="109"/>
      <c r="N1700" s="110"/>
    </row>
    <row r="1701" spans="1:14" ht="15" hidden="1" thickBot="1" x14ac:dyDescent="0.35">
      <c r="A1701" s="20">
        <v>293</v>
      </c>
      <c r="B1701" s="15" t="s">
        <v>946</v>
      </c>
      <c r="C1701" s="20" t="s">
        <v>604</v>
      </c>
      <c r="D1701" s="14" t="s">
        <v>1044</v>
      </c>
      <c r="E1701" s="15"/>
      <c r="F1701" s="15">
        <v>1</v>
      </c>
      <c r="G1701" s="16">
        <f t="shared" si="97"/>
        <v>7200</v>
      </c>
      <c r="H1701" s="16">
        <v>7200</v>
      </c>
      <c r="I1701" s="16">
        <f t="shared" si="96"/>
        <v>0</v>
      </c>
      <c r="J1701" s="31">
        <v>7200</v>
      </c>
      <c r="K1701" s="69">
        <f t="shared" si="98"/>
        <v>0</v>
      </c>
      <c r="L1701" s="50"/>
      <c r="M1701" s="109"/>
      <c r="N1701" s="110"/>
    </row>
    <row r="1702" spans="1:14" ht="15" hidden="1" thickBot="1" x14ac:dyDescent="0.35">
      <c r="A1702" s="20">
        <v>293</v>
      </c>
      <c r="B1702" s="15" t="s">
        <v>946</v>
      </c>
      <c r="C1702" s="20" t="s">
        <v>604</v>
      </c>
      <c r="D1702" s="14" t="s">
        <v>999</v>
      </c>
      <c r="E1702" s="15" t="s">
        <v>626</v>
      </c>
      <c r="F1702" s="15">
        <v>3</v>
      </c>
      <c r="G1702" s="16">
        <f t="shared" si="97"/>
        <v>5400</v>
      </c>
      <c r="H1702" s="16">
        <v>5400</v>
      </c>
      <c r="I1702" s="16">
        <f t="shared" si="96"/>
        <v>0</v>
      </c>
      <c r="J1702" s="31">
        <v>5400</v>
      </c>
      <c r="K1702" s="69">
        <f t="shared" si="98"/>
        <v>0</v>
      </c>
      <c r="L1702" s="50"/>
      <c r="M1702" s="109"/>
      <c r="N1702" s="110"/>
    </row>
    <row r="1703" spans="1:14" ht="15" hidden="1" thickBot="1" x14ac:dyDescent="0.35">
      <c r="A1703" s="20">
        <v>293</v>
      </c>
      <c r="B1703" s="15" t="s">
        <v>946</v>
      </c>
      <c r="C1703" s="20" t="s">
        <v>604</v>
      </c>
      <c r="D1703" s="14" t="s">
        <v>980</v>
      </c>
      <c r="E1703" s="15" t="s">
        <v>503</v>
      </c>
      <c r="F1703" s="15">
        <v>12</v>
      </c>
      <c r="G1703" s="16">
        <f t="shared" si="97"/>
        <v>82044</v>
      </c>
      <c r="H1703" s="16">
        <v>83184</v>
      </c>
      <c r="I1703" s="16">
        <f t="shared" si="96"/>
        <v>0</v>
      </c>
      <c r="J1703" s="31">
        <v>83184</v>
      </c>
      <c r="K1703" s="69">
        <f t="shared" si="98"/>
        <v>0</v>
      </c>
      <c r="L1703" s="50">
        <v>1140</v>
      </c>
      <c r="M1703" s="109">
        <v>1140</v>
      </c>
      <c r="N1703" s="110">
        <v>0.68</v>
      </c>
    </row>
    <row r="1704" spans="1:14" ht="15" hidden="1" thickBot="1" x14ac:dyDescent="0.35">
      <c r="A1704" s="20">
        <v>293</v>
      </c>
      <c r="B1704" s="15" t="s">
        <v>946</v>
      </c>
      <c r="C1704" s="20" t="s">
        <v>604</v>
      </c>
      <c r="D1704" s="14" t="s">
        <v>1133</v>
      </c>
      <c r="E1704" s="15" t="s">
        <v>502</v>
      </c>
      <c r="F1704" s="15">
        <v>4</v>
      </c>
      <c r="G1704" s="16">
        <f t="shared" si="97"/>
        <v>1845</v>
      </c>
      <c r="H1704" s="16">
        <v>1845</v>
      </c>
      <c r="I1704" s="16">
        <f t="shared" si="96"/>
        <v>0</v>
      </c>
      <c r="J1704" s="31">
        <v>1845</v>
      </c>
      <c r="K1704" s="69">
        <f t="shared" si="98"/>
        <v>0</v>
      </c>
      <c r="L1704" s="50">
        <v>0</v>
      </c>
      <c r="M1704" s="109">
        <v>0</v>
      </c>
      <c r="N1704" s="110">
        <v>0.7</v>
      </c>
    </row>
    <row r="1705" spans="1:14" ht="15" hidden="1" thickBot="1" x14ac:dyDescent="0.35">
      <c r="A1705" s="20">
        <v>293</v>
      </c>
      <c r="B1705" s="15" t="s">
        <v>946</v>
      </c>
      <c r="C1705" s="20" t="s">
        <v>604</v>
      </c>
      <c r="D1705" s="14" t="s">
        <v>678</v>
      </c>
      <c r="E1705" s="15" t="s">
        <v>502</v>
      </c>
      <c r="F1705" s="15">
        <v>3</v>
      </c>
      <c r="G1705" s="16">
        <f t="shared" si="97"/>
        <v>1800</v>
      </c>
      <c r="H1705" s="16">
        <v>1800</v>
      </c>
      <c r="I1705" s="16">
        <f t="shared" si="96"/>
        <v>0</v>
      </c>
      <c r="J1705" s="31">
        <v>1800</v>
      </c>
      <c r="K1705" s="69">
        <f t="shared" si="98"/>
        <v>0</v>
      </c>
      <c r="L1705" s="50">
        <v>0</v>
      </c>
      <c r="M1705" s="109">
        <v>0</v>
      </c>
      <c r="N1705" s="110">
        <v>0.9</v>
      </c>
    </row>
    <row r="1706" spans="1:14" ht="15" hidden="1" thickBot="1" x14ac:dyDescent="0.35">
      <c r="A1706" s="20">
        <v>293</v>
      </c>
      <c r="B1706" s="15" t="s">
        <v>946</v>
      </c>
      <c r="C1706" s="20" t="s">
        <v>604</v>
      </c>
      <c r="D1706" s="14" t="s">
        <v>1226</v>
      </c>
      <c r="E1706" s="15" t="s">
        <v>503</v>
      </c>
      <c r="F1706" s="15">
        <v>1</v>
      </c>
      <c r="G1706" s="16">
        <f t="shared" si="97"/>
        <v>1260</v>
      </c>
      <c r="H1706" s="16">
        <v>1260</v>
      </c>
      <c r="I1706" s="16">
        <f t="shared" si="96"/>
        <v>0</v>
      </c>
      <c r="J1706" s="31">
        <v>1260</v>
      </c>
      <c r="K1706" s="69">
        <f t="shared" si="98"/>
        <v>0</v>
      </c>
      <c r="L1706" s="50">
        <v>0</v>
      </c>
      <c r="M1706" s="109">
        <v>0</v>
      </c>
      <c r="N1706" s="110">
        <v>0.9</v>
      </c>
    </row>
    <row r="1707" spans="1:14" ht="15" hidden="1" thickBot="1" x14ac:dyDescent="0.35">
      <c r="A1707" s="20">
        <v>293</v>
      </c>
      <c r="B1707" s="15" t="s">
        <v>946</v>
      </c>
      <c r="C1707" s="20" t="s">
        <v>604</v>
      </c>
      <c r="D1707" s="14" t="s">
        <v>981</v>
      </c>
      <c r="E1707" s="15" t="s">
        <v>502</v>
      </c>
      <c r="F1707" s="15">
        <v>17</v>
      </c>
      <c r="G1707" s="16">
        <f t="shared" si="97"/>
        <v>91392</v>
      </c>
      <c r="H1707" s="16">
        <v>93782</v>
      </c>
      <c r="I1707" s="16">
        <f t="shared" si="96"/>
        <v>0</v>
      </c>
      <c r="J1707" s="31">
        <v>93782</v>
      </c>
      <c r="K1707" s="69">
        <f t="shared" si="98"/>
        <v>0</v>
      </c>
      <c r="L1707" s="50">
        <v>2390</v>
      </c>
      <c r="M1707" s="109">
        <v>2390</v>
      </c>
      <c r="N1707" s="110">
        <v>0.8</v>
      </c>
    </row>
    <row r="1708" spans="1:14" ht="15" hidden="1" thickBot="1" x14ac:dyDescent="0.35">
      <c r="A1708" s="20">
        <v>293</v>
      </c>
      <c r="B1708" s="15" t="s">
        <v>946</v>
      </c>
      <c r="C1708" s="20" t="s">
        <v>604</v>
      </c>
      <c r="D1708" s="14" t="s">
        <v>679</v>
      </c>
      <c r="E1708" s="15" t="s">
        <v>502</v>
      </c>
      <c r="F1708" s="15">
        <v>16</v>
      </c>
      <c r="G1708" s="16">
        <f t="shared" si="97"/>
        <v>88989</v>
      </c>
      <c r="H1708" s="16">
        <v>93782</v>
      </c>
      <c r="I1708" s="16">
        <f t="shared" si="96"/>
        <v>0</v>
      </c>
      <c r="J1708" s="31">
        <v>93782</v>
      </c>
      <c r="K1708" s="69">
        <f t="shared" si="98"/>
        <v>0</v>
      </c>
      <c r="L1708" s="50">
        <v>4793</v>
      </c>
      <c r="M1708" s="109">
        <v>4793</v>
      </c>
      <c r="N1708" s="110">
        <v>0.8</v>
      </c>
    </row>
    <row r="1709" spans="1:14" ht="15" hidden="1" thickBot="1" x14ac:dyDescent="0.35">
      <c r="A1709" s="20">
        <v>293</v>
      </c>
      <c r="B1709" s="15" t="s">
        <v>946</v>
      </c>
      <c r="C1709" s="20" t="s">
        <v>604</v>
      </c>
      <c r="D1709" s="14" t="s">
        <v>694</v>
      </c>
      <c r="E1709" s="15" t="s">
        <v>509</v>
      </c>
      <c r="F1709" s="15">
        <v>6</v>
      </c>
      <c r="G1709" s="16">
        <f t="shared" si="97"/>
        <v>59486</v>
      </c>
      <c r="H1709" s="16">
        <v>60446</v>
      </c>
      <c r="I1709" s="16">
        <f t="shared" si="96"/>
        <v>0</v>
      </c>
      <c r="J1709" s="31">
        <v>60446</v>
      </c>
      <c r="K1709" s="69">
        <f t="shared" si="98"/>
        <v>0</v>
      </c>
      <c r="L1709" s="50">
        <v>960</v>
      </c>
      <c r="M1709" s="109">
        <v>960</v>
      </c>
      <c r="N1709" s="110">
        <v>0.8</v>
      </c>
    </row>
    <row r="1710" spans="1:14" ht="15" hidden="1" thickBot="1" x14ac:dyDescent="0.35">
      <c r="A1710" s="20">
        <v>293</v>
      </c>
      <c r="B1710" s="15" t="s">
        <v>946</v>
      </c>
      <c r="C1710" s="20" t="s">
        <v>604</v>
      </c>
      <c r="D1710" s="14" t="s">
        <v>618</v>
      </c>
      <c r="E1710" s="15" t="s">
        <v>509</v>
      </c>
      <c r="F1710" s="15">
        <v>6</v>
      </c>
      <c r="G1710" s="16">
        <f t="shared" si="97"/>
        <v>58833</v>
      </c>
      <c r="H1710" s="16">
        <v>58833</v>
      </c>
      <c r="I1710" s="16">
        <f t="shared" si="96"/>
        <v>0</v>
      </c>
      <c r="J1710" s="31">
        <v>58833</v>
      </c>
      <c r="K1710" s="69">
        <f t="shared" si="98"/>
        <v>0</v>
      </c>
      <c r="L1710" s="50"/>
      <c r="M1710" s="109"/>
      <c r="N1710" s="110">
        <v>0.8</v>
      </c>
    </row>
    <row r="1711" spans="1:14" ht="15" hidden="1" thickBot="1" x14ac:dyDescent="0.35">
      <c r="A1711" s="20">
        <v>293</v>
      </c>
      <c r="B1711" s="15" t="s">
        <v>946</v>
      </c>
      <c r="C1711" s="20" t="s">
        <v>604</v>
      </c>
      <c r="D1711" s="14" t="s">
        <v>524</v>
      </c>
      <c r="E1711" s="15" t="s">
        <v>503</v>
      </c>
      <c r="F1711" s="15">
        <v>4</v>
      </c>
      <c r="G1711" s="16">
        <f t="shared" si="97"/>
        <v>9770</v>
      </c>
      <c r="H1711" s="16">
        <v>9770</v>
      </c>
      <c r="I1711" s="16">
        <f t="shared" si="96"/>
        <v>0</v>
      </c>
      <c r="J1711" s="31">
        <v>9770</v>
      </c>
      <c r="K1711" s="69">
        <f t="shared" si="98"/>
        <v>0</v>
      </c>
      <c r="L1711" s="50"/>
      <c r="M1711" s="109"/>
      <c r="N1711" s="110"/>
    </row>
    <row r="1712" spans="1:14" ht="15" hidden="1" thickBot="1" x14ac:dyDescent="0.35">
      <c r="A1712" s="20">
        <v>294</v>
      </c>
      <c r="B1712" s="23" t="s">
        <v>947</v>
      </c>
      <c r="C1712" s="20" t="s">
        <v>948</v>
      </c>
      <c r="D1712" s="14" t="s">
        <v>548</v>
      </c>
      <c r="E1712" s="15" t="s">
        <v>504</v>
      </c>
      <c r="F1712" s="15">
        <v>3</v>
      </c>
      <c r="G1712" s="16">
        <f t="shared" si="97"/>
        <v>21281</v>
      </c>
      <c r="H1712" s="16">
        <v>21281</v>
      </c>
      <c r="I1712" s="16">
        <f t="shared" si="96"/>
        <v>0</v>
      </c>
      <c r="J1712" s="31">
        <v>21281</v>
      </c>
      <c r="K1712" s="69">
        <f t="shared" si="98"/>
        <v>0</v>
      </c>
      <c r="L1712" s="50"/>
      <c r="M1712" s="109"/>
      <c r="N1712" s="110"/>
    </row>
    <row r="1713" spans="1:14" ht="15" hidden="1" thickBot="1" x14ac:dyDescent="0.35">
      <c r="A1713" s="20">
        <v>294</v>
      </c>
      <c r="B1713" s="23" t="s">
        <v>947</v>
      </c>
      <c r="C1713" s="20" t="s">
        <v>948</v>
      </c>
      <c r="D1713" s="14" t="s">
        <v>522</v>
      </c>
      <c r="E1713" s="15" t="s">
        <v>502</v>
      </c>
      <c r="F1713" s="15">
        <v>3</v>
      </c>
      <c r="G1713" s="16">
        <f t="shared" si="97"/>
        <v>6461</v>
      </c>
      <c r="H1713" s="16">
        <v>6461</v>
      </c>
      <c r="I1713" s="16">
        <f t="shared" si="96"/>
        <v>0</v>
      </c>
      <c r="J1713" s="31">
        <v>6461</v>
      </c>
      <c r="K1713" s="69">
        <f t="shared" si="98"/>
        <v>0</v>
      </c>
      <c r="L1713" s="50"/>
      <c r="M1713" s="109"/>
      <c r="N1713" s="110"/>
    </row>
    <row r="1714" spans="1:14" ht="15" hidden="1" thickBot="1" x14ac:dyDescent="0.35">
      <c r="A1714" s="20">
        <v>294</v>
      </c>
      <c r="B1714" s="23" t="s">
        <v>947</v>
      </c>
      <c r="C1714" s="20" t="s">
        <v>948</v>
      </c>
      <c r="D1714" s="14" t="s">
        <v>614</v>
      </c>
      <c r="E1714" s="15" t="s">
        <v>506</v>
      </c>
      <c r="F1714" s="15">
        <v>3</v>
      </c>
      <c r="G1714" s="16">
        <f t="shared" si="97"/>
        <v>15524</v>
      </c>
      <c r="H1714" s="16">
        <v>15524</v>
      </c>
      <c r="I1714" s="16">
        <f t="shared" si="96"/>
        <v>0</v>
      </c>
      <c r="J1714" s="31">
        <v>15524</v>
      </c>
      <c r="K1714" s="69">
        <f t="shared" si="98"/>
        <v>0</v>
      </c>
      <c r="L1714" s="50"/>
      <c r="M1714" s="109"/>
      <c r="N1714" s="110"/>
    </row>
    <row r="1715" spans="1:14" ht="15" hidden="1" thickBot="1" x14ac:dyDescent="0.35">
      <c r="A1715" s="20">
        <v>294</v>
      </c>
      <c r="B1715" s="23" t="s">
        <v>947</v>
      </c>
      <c r="C1715" s="20" t="s">
        <v>948</v>
      </c>
      <c r="D1715" s="14" t="s">
        <v>510</v>
      </c>
      <c r="E1715" s="15" t="s">
        <v>506</v>
      </c>
      <c r="F1715" s="15">
        <v>3</v>
      </c>
      <c r="G1715" s="16">
        <f t="shared" si="97"/>
        <v>15524</v>
      </c>
      <c r="H1715" s="16">
        <v>15524</v>
      </c>
      <c r="I1715" s="16">
        <f t="shared" si="96"/>
        <v>0</v>
      </c>
      <c r="J1715" s="31">
        <v>15524</v>
      </c>
      <c r="K1715" s="69">
        <f t="shared" si="98"/>
        <v>0</v>
      </c>
      <c r="L1715" s="50"/>
      <c r="M1715" s="109"/>
      <c r="N1715" s="110"/>
    </row>
    <row r="1716" spans="1:14" ht="15" hidden="1" thickBot="1" x14ac:dyDescent="0.35">
      <c r="A1716" s="20">
        <v>294</v>
      </c>
      <c r="B1716" s="23" t="s">
        <v>947</v>
      </c>
      <c r="C1716" s="20" t="s">
        <v>948</v>
      </c>
      <c r="D1716" s="14" t="s">
        <v>510</v>
      </c>
      <c r="E1716" s="15" t="s">
        <v>499</v>
      </c>
      <c r="F1716" s="15">
        <v>3</v>
      </c>
      <c r="G1716" s="16">
        <f t="shared" si="97"/>
        <v>15524</v>
      </c>
      <c r="H1716" s="16">
        <v>15524</v>
      </c>
      <c r="I1716" s="16">
        <f t="shared" si="96"/>
        <v>0</v>
      </c>
      <c r="J1716" s="31">
        <v>15524</v>
      </c>
      <c r="K1716" s="69">
        <f t="shared" si="98"/>
        <v>0</v>
      </c>
      <c r="L1716" s="50"/>
      <c r="M1716" s="109"/>
      <c r="N1716" s="110"/>
    </row>
    <row r="1717" spans="1:14" ht="15" hidden="1" thickBot="1" x14ac:dyDescent="0.35">
      <c r="A1717" s="20">
        <v>294</v>
      </c>
      <c r="B1717" s="23" t="s">
        <v>947</v>
      </c>
      <c r="C1717" s="20" t="s">
        <v>948</v>
      </c>
      <c r="D1717" s="14" t="s">
        <v>614</v>
      </c>
      <c r="E1717" s="15" t="s">
        <v>499</v>
      </c>
      <c r="F1717" s="15">
        <v>3</v>
      </c>
      <c r="G1717" s="16">
        <f t="shared" si="97"/>
        <v>15524</v>
      </c>
      <c r="H1717" s="16">
        <v>15524</v>
      </c>
      <c r="I1717" s="16">
        <f t="shared" si="96"/>
        <v>0</v>
      </c>
      <c r="J1717" s="31">
        <v>15524</v>
      </c>
      <c r="K1717" s="69">
        <f t="shared" si="98"/>
        <v>0</v>
      </c>
      <c r="L1717" s="50"/>
      <c r="M1717" s="109"/>
      <c r="N1717" s="110"/>
    </row>
    <row r="1718" spans="1:14" ht="15" hidden="1" thickBot="1" x14ac:dyDescent="0.35">
      <c r="A1718" s="20">
        <v>294</v>
      </c>
      <c r="B1718" s="23" t="s">
        <v>947</v>
      </c>
      <c r="C1718" s="20" t="s">
        <v>948</v>
      </c>
      <c r="D1718" s="14" t="s">
        <v>524</v>
      </c>
      <c r="E1718" s="15" t="s">
        <v>503</v>
      </c>
      <c r="F1718" s="15">
        <v>3</v>
      </c>
      <c r="G1718" s="16">
        <f t="shared" si="97"/>
        <v>21281</v>
      </c>
      <c r="H1718" s="16">
        <v>21281</v>
      </c>
      <c r="I1718" s="16">
        <f t="shared" si="96"/>
        <v>0</v>
      </c>
      <c r="J1718" s="31">
        <v>21281</v>
      </c>
      <c r="K1718" s="69">
        <f t="shared" si="98"/>
        <v>0</v>
      </c>
      <c r="L1718" s="50"/>
      <c r="M1718" s="109"/>
      <c r="N1718" s="110"/>
    </row>
    <row r="1719" spans="1:14" ht="15" hidden="1" thickBot="1" x14ac:dyDescent="0.35">
      <c r="A1719" s="20">
        <v>294</v>
      </c>
      <c r="B1719" s="23" t="s">
        <v>947</v>
      </c>
      <c r="C1719" s="20" t="s">
        <v>948</v>
      </c>
      <c r="D1719" s="14" t="s">
        <v>510</v>
      </c>
      <c r="E1719" s="15" t="s">
        <v>503</v>
      </c>
      <c r="F1719" s="15">
        <v>3</v>
      </c>
      <c r="G1719" s="16">
        <f t="shared" si="97"/>
        <v>15524</v>
      </c>
      <c r="H1719" s="16">
        <v>15524</v>
      </c>
      <c r="I1719" s="16">
        <f t="shared" si="96"/>
        <v>0</v>
      </c>
      <c r="J1719" s="31">
        <v>15524</v>
      </c>
      <c r="K1719" s="69">
        <f t="shared" si="98"/>
        <v>0</v>
      </c>
      <c r="L1719" s="50"/>
      <c r="M1719" s="109"/>
      <c r="N1719" s="110"/>
    </row>
    <row r="1720" spans="1:14" ht="15" hidden="1" thickBot="1" x14ac:dyDescent="0.35">
      <c r="A1720" s="20">
        <v>294</v>
      </c>
      <c r="B1720" s="23" t="s">
        <v>947</v>
      </c>
      <c r="C1720" s="20" t="s">
        <v>948</v>
      </c>
      <c r="D1720" s="14" t="s">
        <v>614</v>
      </c>
      <c r="E1720" s="15" t="s">
        <v>503</v>
      </c>
      <c r="F1720" s="15">
        <v>3</v>
      </c>
      <c r="G1720" s="16">
        <f t="shared" si="97"/>
        <v>15524</v>
      </c>
      <c r="H1720" s="16">
        <v>15524</v>
      </c>
      <c r="I1720" s="16">
        <f t="shared" si="96"/>
        <v>0</v>
      </c>
      <c r="J1720" s="31">
        <v>15524</v>
      </c>
      <c r="K1720" s="69">
        <f t="shared" si="98"/>
        <v>0</v>
      </c>
      <c r="L1720" s="50"/>
      <c r="M1720" s="109"/>
      <c r="N1720" s="110"/>
    </row>
    <row r="1721" spans="1:14" ht="15" hidden="1" thickBot="1" x14ac:dyDescent="0.35">
      <c r="A1721" s="20">
        <v>294</v>
      </c>
      <c r="B1721" s="23" t="s">
        <v>947</v>
      </c>
      <c r="C1721" s="20" t="s">
        <v>948</v>
      </c>
      <c r="D1721" s="14" t="s">
        <v>510</v>
      </c>
      <c r="E1721" s="15" t="s">
        <v>502</v>
      </c>
      <c r="F1721" s="15">
        <v>3</v>
      </c>
      <c r="G1721" s="16">
        <f t="shared" si="97"/>
        <v>15524</v>
      </c>
      <c r="H1721" s="16">
        <v>15524</v>
      </c>
      <c r="I1721" s="16">
        <f t="shared" si="96"/>
        <v>0</v>
      </c>
      <c r="J1721" s="31">
        <v>15524</v>
      </c>
      <c r="K1721" s="69">
        <f t="shared" si="98"/>
        <v>0</v>
      </c>
      <c r="L1721" s="50"/>
      <c r="M1721" s="109"/>
      <c r="N1721" s="110"/>
    </row>
    <row r="1722" spans="1:14" ht="15" hidden="1" thickBot="1" x14ac:dyDescent="0.35">
      <c r="A1722" s="20">
        <v>294</v>
      </c>
      <c r="B1722" s="23" t="s">
        <v>947</v>
      </c>
      <c r="C1722" s="20" t="s">
        <v>948</v>
      </c>
      <c r="D1722" s="14" t="s">
        <v>547</v>
      </c>
      <c r="E1722" s="15" t="s">
        <v>502</v>
      </c>
      <c r="F1722" s="15">
        <v>3</v>
      </c>
      <c r="G1722" s="16">
        <f t="shared" si="97"/>
        <v>21281</v>
      </c>
      <c r="H1722" s="16">
        <v>21281</v>
      </c>
      <c r="I1722" s="16">
        <f t="shared" si="96"/>
        <v>0</v>
      </c>
      <c r="J1722" s="31">
        <v>21281</v>
      </c>
      <c r="K1722" s="69">
        <f t="shared" si="98"/>
        <v>0</v>
      </c>
      <c r="L1722" s="50"/>
      <c r="M1722" s="109"/>
      <c r="N1722" s="110"/>
    </row>
    <row r="1723" spans="1:14" ht="15" hidden="1" thickBot="1" x14ac:dyDescent="0.35">
      <c r="A1723" s="20">
        <v>294</v>
      </c>
      <c r="B1723" s="23" t="s">
        <v>947</v>
      </c>
      <c r="C1723" s="20" t="s">
        <v>948</v>
      </c>
      <c r="D1723" s="14" t="s">
        <v>614</v>
      </c>
      <c r="E1723" s="15" t="s">
        <v>502</v>
      </c>
      <c r="F1723" s="15">
        <v>3</v>
      </c>
      <c r="G1723" s="16">
        <f t="shared" si="97"/>
        <v>15524</v>
      </c>
      <c r="H1723" s="16">
        <v>15524</v>
      </c>
      <c r="I1723" s="16">
        <f t="shared" si="96"/>
        <v>0</v>
      </c>
      <c r="J1723" s="31">
        <v>15524</v>
      </c>
      <c r="K1723" s="69">
        <f t="shared" si="98"/>
        <v>0</v>
      </c>
      <c r="L1723" s="50"/>
      <c r="M1723" s="109"/>
      <c r="N1723" s="110"/>
    </row>
    <row r="1724" spans="1:14" ht="15" hidden="1" thickBot="1" x14ac:dyDescent="0.35">
      <c r="A1724" s="20">
        <v>294</v>
      </c>
      <c r="B1724" s="23" t="s">
        <v>947</v>
      </c>
      <c r="C1724" s="20" t="s">
        <v>948</v>
      </c>
      <c r="D1724" s="14" t="s">
        <v>510</v>
      </c>
      <c r="E1724" s="15" t="s">
        <v>504</v>
      </c>
      <c r="F1724" s="15">
        <v>3</v>
      </c>
      <c r="G1724" s="16">
        <f t="shared" si="97"/>
        <v>15524</v>
      </c>
      <c r="H1724" s="16">
        <v>15524</v>
      </c>
      <c r="I1724" s="16">
        <f t="shared" si="96"/>
        <v>0</v>
      </c>
      <c r="J1724" s="31">
        <v>15524</v>
      </c>
      <c r="K1724" s="69">
        <f t="shared" si="98"/>
        <v>0</v>
      </c>
      <c r="L1724" s="50"/>
      <c r="M1724" s="109"/>
      <c r="N1724" s="110"/>
    </row>
    <row r="1725" spans="1:14" ht="15" hidden="1" thickBot="1" x14ac:dyDescent="0.35">
      <c r="A1725" s="20">
        <v>294</v>
      </c>
      <c r="B1725" s="23" t="s">
        <v>947</v>
      </c>
      <c r="C1725" s="20" t="s">
        <v>948</v>
      </c>
      <c r="D1725" s="14" t="s">
        <v>510</v>
      </c>
      <c r="E1725" s="15" t="s">
        <v>500</v>
      </c>
      <c r="F1725" s="15">
        <v>3</v>
      </c>
      <c r="G1725" s="16">
        <f t="shared" si="97"/>
        <v>15524</v>
      </c>
      <c r="H1725" s="16">
        <v>15524</v>
      </c>
      <c r="I1725" s="16">
        <f>J1725-H1725</f>
        <v>0</v>
      </c>
      <c r="J1725" s="31">
        <v>15524</v>
      </c>
      <c r="K1725" s="69">
        <f t="shared" si="98"/>
        <v>0</v>
      </c>
      <c r="L1725" s="50"/>
      <c r="M1725" s="109"/>
      <c r="N1725" s="110"/>
    </row>
    <row r="1726" spans="1:14" ht="15" hidden="1" thickBot="1" x14ac:dyDescent="0.35">
      <c r="A1726" s="20">
        <v>294</v>
      </c>
      <c r="B1726" s="23" t="s">
        <v>947</v>
      </c>
      <c r="C1726" s="20" t="s">
        <v>948</v>
      </c>
      <c r="D1726" s="14" t="s">
        <v>505</v>
      </c>
      <c r="E1726" s="15" t="s">
        <v>504</v>
      </c>
      <c r="F1726" s="15">
        <v>3</v>
      </c>
      <c r="G1726" s="16">
        <f t="shared" si="97"/>
        <v>21281</v>
      </c>
      <c r="H1726" s="16">
        <v>21281</v>
      </c>
      <c r="I1726" s="16">
        <f t="shared" si="96"/>
        <v>0</v>
      </c>
      <c r="J1726" s="31">
        <v>21281</v>
      </c>
      <c r="K1726" s="69">
        <f t="shared" si="98"/>
        <v>0</v>
      </c>
      <c r="L1726" s="50"/>
      <c r="M1726" s="109"/>
      <c r="N1726" s="110"/>
    </row>
    <row r="1727" spans="1:14" ht="15" hidden="1" thickBot="1" x14ac:dyDescent="0.35">
      <c r="A1727" s="20">
        <v>294</v>
      </c>
      <c r="B1727" s="23" t="s">
        <v>947</v>
      </c>
      <c r="C1727" s="20" t="s">
        <v>948</v>
      </c>
      <c r="D1727" s="14" t="s">
        <v>614</v>
      </c>
      <c r="E1727" s="15" t="s">
        <v>504</v>
      </c>
      <c r="F1727" s="15">
        <v>3</v>
      </c>
      <c r="G1727" s="16">
        <f t="shared" si="97"/>
        <v>15524</v>
      </c>
      <c r="H1727" s="16">
        <v>15524</v>
      </c>
      <c r="I1727" s="16">
        <f t="shared" si="96"/>
        <v>0</v>
      </c>
      <c r="J1727" s="31">
        <v>15524</v>
      </c>
      <c r="K1727" s="69">
        <f t="shared" si="98"/>
        <v>0</v>
      </c>
      <c r="L1727" s="50"/>
      <c r="M1727" s="109"/>
      <c r="N1727" s="110"/>
    </row>
    <row r="1728" spans="1:14" ht="15" hidden="1" thickBot="1" x14ac:dyDescent="0.35">
      <c r="A1728" s="20">
        <v>294</v>
      </c>
      <c r="B1728" s="23" t="s">
        <v>947</v>
      </c>
      <c r="C1728" s="20" t="s">
        <v>948</v>
      </c>
      <c r="D1728" s="14" t="s">
        <v>614</v>
      </c>
      <c r="E1728" s="15" t="s">
        <v>500</v>
      </c>
      <c r="F1728" s="15">
        <v>3</v>
      </c>
      <c r="G1728" s="16">
        <f t="shared" si="97"/>
        <v>15524</v>
      </c>
      <c r="H1728" s="16">
        <v>15524</v>
      </c>
      <c r="I1728" s="16">
        <f t="shared" si="96"/>
        <v>0</v>
      </c>
      <c r="J1728" s="31">
        <v>15524</v>
      </c>
      <c r="K1728" s="69">
        <f t="shared" si="98"/>
        <v>0</v>
      </c>
      <c r="L1728" s="50"/>
      <c r="M1728" s="109"/>
      <c r="N1728" s="110"/>
    </row>
    <row r="1729" spans="1:14" ht="15" hidden="1" thickBot="1" x14ac:dyDescent="0.35">
      <c r="A1729" s="20">
        <v>294</v>
      </c>
      <c r="B1729" s="23" t="s">
        <v>947</v>
      </c>
      <c r="C1729" s="20" t="s">
        <v>948</v>
      </c>
      <c r="D1729" s="14" t="s">
        <v>614</v>
      </c>
      <c r="E1729" s="15" t="s">
        <v>509</v>
      </c>
      <c r="F1729" s="15">
        <v>3</v>
      </c>
      <c r="G1729" s="16">
        <f t="shared" si="97"/>
        <v>15524</v>
      </c>
      <c r="H1729" s="16">
        <v>15524</v>
      </c>
      <c r="I1729" s="16">
        <f t="shared" si="96"/>
        <v>0</v>
      </c>
      <c r="J1729" s="31">
        <v>15524</v>
      </c>
      <c r="K1729" s="69">
        <f t="shared" si="98"/>
        <v>0</v>
      </c>
      <c r="L1729" s="50"/>
      <c r="M1729" s="109"/>
      <c r="N1729" s="110"/>
    </row>
    <row r="1730" spans="1:14" ht="15" hidden="1" thickBot="1" x14ac:dyDescent="0.35">
      <c r="A1730" s="20">
        <v>294</v>
      </c>
      <c r="B1730" s="23" t="s">
        <v>947</v>
      </c>
      <c r="C1730" s="20" t="s">
        <v>948</v>
      </c>
      <c r="D1730" s="14" t="s">
        <v>614</v>
      </c>
      <c r="E1730" s="15" t="s">
        <v>512</v>
      </c>
      <c r="F1730" s="15">
        <v>3</v>
      </c>
      <c r="G1730" s="16">
        <f t="shared" si="97"/>
        <v>15524</v>
      </c>
      <c r="H1730" s="16">
        <v>15524</v>
      </c>
      <c r="I1730" s="16">
        <f t="shared" si="96"/>
        <v>0</v>
      </c>
      <c r="J1730" s="31">
        <v>15524</v>
      </c>
      <c r="K1730" s="69">
        <f t="shared" si="98"/>
        <v>0</v>
      </c>
      <c r="L1730" s="50"/>
      <c r="M1730" s="109"/>
      <c r="N1730" s="110"/>
    </row>
    <row r="1731" spans="1:14" ht="15" hidden="1" thickBot="1" x14ac:dyDescent="0.35">
      <c r="A1731" s="20">
        <v>294</v>
      </c>
      <c r="B1731" s="23" t="s">
        <v>947</v>
      </c>
      <c r="C1731" s="20" t="s">
        <v>948</v>
      </c>
      <c r="D1731" s="14" t="s">
        <v>510</v>
      </c>
      <c r="E1731" s="15" t="s">
        <v>509</v>
      </c>
      <c r="F1731" s="15">
        <v>3</v>
      </c>
      <c r="G1731" s="16">
        <f t="shared" ref="G1731:G1794" si="99">H1731-M1731</f>
        <v>15524</v>
      </c>
      <c r="H1731" s="16">
        <v>15524</v>
      </c>
      <c r="I1731" s="16">
        <f t="shared" si="96"/>
        <v>0</v>
      </c>
      <c r="J1731" s="31">
        <v>15524</v>
      </c>
      <c r="K1731" s="69">
        <f t="shared" si="98"/>
        <v>0</v>
      </c>
      <c r="L1731" s="50"/>
      <c r="M1731" s="109"/>
      <c r="N1731" s="110"/>
    </row>
    <row r="1732" spans="1:14" ht="15" hidden="1" thickBot="1" x14ac:dyDescent="0.35">
      <c r="A1732" s="20">
        <v>294</v>
      </c>
      <c r="B1732" s="23" t="s">
        <v>947</v>
      </c>
      <c r="C1732" s="20" t="s">
        <v>948</v>
      </c>
      <c r="D1732" s="14" t="s">
        <v>510</v>
      </c>
      <c r="E1732" s="15" t="s">
        <v>512</v>
      </c>
      <c r="F1732" s="15">
        <v>3</v>
      </c>
      <c r="G1732" s="16">
        <f t="shared" si="99"/>
        <v>15524</v>
      </c>
      <c r="H1732" s="16">
        <v>15524</v>
      </c>
      <c r="I1732" s="16">
        <f t="shared" si="96"/>
        <v>0</v>
      </c>
      <c r="J1732" s="31">
        <v>15524</v>
      </c>
      <c r="K1732" s="69">
        <f t="shared" si="98"/>
        <v>0</v>
      </c>
      <c r="L1732" s="50"/>
      <c r="M1732" s="109"/>
      <c r="N1732" s="110"/>
    </row>
    <row r="1733" spans="1:14" ht="15" hidden="1" thickBot="1" x14ac:dyDescent="0.35">
      <c r="A1733" s="20">
        <v>294</v>
      </c>
      <c r="B1733" s="23" t="s">
        <v>947</v>
      </c>
      <c r="C1733" s="20" t="s">
        <v>948</v>
      </c>
      <c r="D1733" s="14" t="s">
        <v>510</v>
      </c>
      <c r="E1733" s="15" t="s">
        <v>508</v>
      </c>
      <c r="F1733" s="15">
        <v>3</v>
      </c>
      <c r="G1733" s="16">
        <f t="shared" si="99"/>
        <v>15524</v>
      </c>
      <c r="H1733" s="16">
        <v>15524</v>
      </c>
      <c r="I1733" s="16">
        <f t="shared" si="96"/>
        <v>0</v>
      </c>
      <c r="J1733" s="31">
        <v>15524</v>
      </c>
      <c r="K1733" s="69">
        <f t="shared" ref="K1733:K1797" si="100">M1733-L1733</f>
        <v>0</v>
      </c>
      <c r="L1733" s="50"/>
      <c r="M1733" s="109"/>
      <c r="N1733" s="110"/>
    </row>
    <row r="1734" spans="1:14" ht="15" hidden="1" thickBot="1" x14ac:dyDescent="0.35">
      <c r="A1734" s="20">
        <v>294</v>
      </c>
      <c r="B1734" s="23" t="s">
        <v>947</v>
      </c>
      <c r="C1734" s="20" t="s">
        <v>948</v>
      </c>
      <c r="D1734" s="14" t="s">
        <v>523</v>
      </c>
      <c r="E1734" s="15" t="s">
        <v>508</v>
      </c>
      <c r="F1734" s="15">
        <v>3</v>
      </c>
      <c r="G1734" s="16">
        <f t="shared" si="99"/>
        <v>6461</v>
      </c>
      <c r="H1734" s="16">
        <v>6461</v>
      </c>
      <c r="I1734" s="16">
        <f t="shared" si="96"/>
        <v>0</v>
      </c>
      <c r="J1734" s="31">
        <v>6461</v>
      </c>
      <c r="K1734" s="69">
        <f t="shared" si="100"/>
        <v>0</v>
      </c>
      <c r="L1734" s="50"/>
      <c r="M1734" s="109"/>
      <c r="N1734" s="110"/>
    </row>
    <row r="1735" spans="1:14" ht="15" hidden="1" thickBot="1" x14ac:dyDescent="0.35">
      <c r="A1735" s="20">
        <v>294</v>
      </c>
      <c r="B1735" s="23" t="s">
        <v>947</v>
      </c>
      <c r="C1735" s="20" t="s">
        <v>948</v>
      </c>
      <c r="D1735" s="14" t="s">
        <v>513</v>
      </c>
      <c r="E1735" s="15" t="s">
        <v>546</v>
      </c>
      <c r="F1735" s="15">
        <v>3</v>
      </c>
      <c r="G1735" s="16">
        <f t="shared" si="99"/>
        <v>21281</v>
      </c>
      <c r="H1735" s="16">
        <v>21281</v>
      </c>
      <c r="I1735" s="16">
        <f>J1735-H1735</f>
        <v>0</v>
      </c>
      <c r="J1735" s="31">
        <v>21281</v>
      </c>
      <c r="K1735" s="69">
        <f t="shared" si="100"/>
        <v>0</v>
      </c>
      <c r="L1735" s="50"/>
      <c r="M1735" s="109"/>
      <c r="N1735" s="110"/>
    </row>
    <row r="1736" spans="1:14" ht="15" hidden="1" thickBot="1" x14ac:dyDescent="0.35">
      <c r="A1736" s="20">
        <v>294</v>
      </c>
      <c r="B1736" s="23" t="s">
        <v>947</v>
      </c>
      <c r="C1736" s="20" t="s">
        <v>948</v>
      </c>
      <c r="D1736" s="14" t="s">
        <v>614</v>
      </c>
      <c r="E1736" s="15" t="s">
        <v>508</v>
      </c>
      <c r="F1736" s="15">
        <v>3</v>
      </c>
      <c r="G1736" s="16">
        <f t="shared" si="99"/>
        <v>15524</v>
      </c>
      <c r="H1736" s="16">
        <v>15524</v>
      </c>
      <c r="I1736" s="16">
        <f t="shared" si="96"/>
        <v>0</v>
      </c>
      <c r="J1736" s="31">
        <v>15524</v>
      </c>
      <c r="K1736" s="69">
        <f t="shared" si="100"/>
        <v>0</v>
      </c>
      <c r="L1736" s="50"/>
      <c r="M1736" s="109"/>
      <c r="N1736" s="110"/>
    </row>
    <row r="1737" spans="1:14" ht="15" hidden="1" thickBot="1" x14ac:dyDescent="0.35">
      <c r="A1737" s="20">
        <v>294</v>
      </c>
      <c r="B1737" s="23" t="s">
        <v>947</v>
      </c>
      <c r="C1737" s="20" t="s">
        <v>948</v>
      </c>
      <c r="D1737" s="14" t="s">
        <v>545</v>
      </c>
      <c r="E1737" s="15"/>
      <c r="F1737" s="15">
        <v>3</v>
      </c>
      <c r="G1737" s="16">
        <f t="shared" si="99"/>
        <v>21281</v>
      </c>
      <c r="H1737" s="16">
        <v>21281</v>
      </c>
      <c r="I1737" s="16">
        <f t="shared" si="96"/>
        <v>0</v>
      </c>
      <c r="J1737" s="31">
        <v>21281</v>
      </c>
      <c r="K1737" s="69">
        <f t="shared" si="100"/>
        <v>0</v>
      </c>
      <c r="L1737" s="50"/>
      <c r="M1737" s="109"/>
      <c r="N1737" s="110"/>
    </row>
    <row r="1738" spans="1:14" ht="15" hidden="1" thickBot="1" x14ac:dyDescent="0.35">
      <c r="A1738" s="14">
        <v>295</v>
      </c>
      <c r="B1738" s="15" t="s">
        <v>949</v>
      </c>
      <c r="C1738" s="14" t="s">
        <v>950</v>
      </c>
      <c r="D1738" s="14" t="s">
        <v>497</v>
      </c>
      <c r="E1738" s="15" t="s">
        <v>14</v>
      </c>
      <c r="F1738" s="15">
        <v>2</v>
      </c>
      <c r="G1738" s="16">
        <f t="shared" si="99"/>
        <v>136200</v>
      </c>
      <c r="H1738" s="16">
        <v>136200</v>
      </c>
      <c r="I1738" s="16">
        <f t="shared" si="96"/>
        <v>0</v>
      </c>
      <c r="J1738" s="31">
        <v>136200</v>
      </c>
      <c r="K1738" s="69">
        <f t="shared" si="100"/>
        <v>0</v>
      </c>
      <c r="L1738" s="50"/>
      <c r="M1738" s="109"/>
      <c r="N1738" s="110"/>
    </row>
    <row r="1739" spans="1:14" ht="15" hidden="1" thickBot="1" x14ac:dyDescent="0.35">
      <c r="A1739" s="20">
        <v>296</v>
      </c>
      <c r="B1739" s="24" t="s">
        <v>951</v>
      </c>
      <c r="C1739" s="21" t="s">
        <v>668</v>
      </c>
      <c r="D1739" s="14" t="s">
        <v>1570</v>
      </c>
      <c r="E1739" s="15" t="s">
        <v>504</v>
      </c>
      <c r="F1739" s="15">
        <v>2</v>
      </c>
      <c r="G1739" s="16">
        <f t="shared" si="99"/>
        <v>650</v>
      </c>
      <c r="H1739" s="16">
        <v>650</v>
      </c>
      <c r="I1739" s="16">
        <f t="shared" si="96"/>
        <v>0</v>
      </c>
      <c r="J1739" s="31">
        <v>650</v>
      </c>
      <c r="K1739" s="69">
        <f t="shared" si="100"/>
        <v>0</v>
      </c>
      <c r="L1739" s="50"/>
      <c r="M1739" s="109"/>
      <c r="N1739" s="110">
        <v>0.95</v>
      </c>
    </row>
    <row r="1740" spans="1:14" ht="15" hidden="1" thickBot="1" x14ac:dyDescent="0.35">
      <c r="A1740" s="20">
        <v>296</v>
      </c>
      <c r="B1740" s="23" t="s">
        <v>951</v>
      </c>
      <c r="C1740" s="20" t="s">
        <v>940</v>
      </c>
      <c r="D1740" s="14" t="s">
        <v>548</v>
      </c>
      <c r="E1740" s="15" t="s">
        <v>504</v>
      </c>
      <c r="F1740" s="15">
        <v>6</v>
      </c>
      <c r="G1740" s="16">
        <f t="shared" si="99"/>
        <v>16272</v>
      </c>
      <c r="H1740" s="16">
        <v>16767</v>
      </c>
      <c r="I1740" s="16">
        <f t="shared" si="96"/>
        <v>0</v>
      </c>
      <c r="J1740" s="31">
        <v>16767</v>
      </c>
      <c r="K1740" s="69">
        <f t="shared" si="100"/>
        <v>0</v>
      </c>
      <c r="L1740" s="50">
        <v>495</v>
      </c>
      <c r="M1740" s="109">
        <v>495</v>
      </c>
      <c r="N1740" s="110"/>
    </row>
    <row r="1741" spans="1:14" ht="15" hidden="1" thickBot="1" x14ac:dyDescent="0.35">
      <c r="A1741" s="20">
        <v>296</v>
      </c>
      <c r="B1741" s="23" t="s">
        <v>951</v>
      </c>
      <c r="C1741" s="20" t="s">
        <v>940</v>
      </c>
      <c r="D1741" s="14" t="s">
        <v>510</v>
      </c>
      <c r="E1741" s="15" t="s">
        <v>500</v>
      </c>
      <c r="F1741" s="15">
        <v>2</v>
      </c>
      <c r="G1741" s="16">
        <f t="shared" si="99"/>
        <v>5608</v>
      </c>
      <c r="H1741" s="16">
        <v>5608</v>
      </c>
      <c r="I1741" s="16">
        <f t="shared" si="96"/>
        <v>0</v>
      </c>
      <c r="J1741" s="31">
        <v>5608</v>
      </c>
      <c r="K1741" s="69">
        <f t="shared" si="100"/>
        <v>0</v>
      </c>
      <c r="L1741" s="50"/>
      <c r="M1741" s="109"/>
      <c r="N1741" s="110">
        <v>0.95</v>
      </c>
    </row>
    <row r="1742" spans="1:14" ht="15" hidden="1" thickBot="1" x14ac:dyDescent="0.35">
      <c r="A1742" s="20">
        <v>296</v>
      </c>
      <c r="B1742" s="23" t="s">
        <v>951</v>
      </c>
      <c r="C1742" s="20" t="s">
        <v>940</v>
      </c>
      <c r="D1742" s="14" t="s">
        <v>1570</v>
      </c>
      <c r="E1742" s="15" t="s">
        <v>504</v>
      </c>
      <c r="F1742" s="15">
        <v>2</v>
      </c>
      <c r="G1742" s="16">
        <f t="shared" si="99"/>
        <v>1625</v>
      </c>
      <c r="H1742" s="16">
        <v>1625</v>
      </c>
      <c r="I1742" s="16">
        <f t="shared" si="96"/>
        <v>0</v>
      </c>
      <c r="J1742" s="31">
        <v>1625</v>
      </c>
      <c r="K1742" s="69">
        <f t="shared" si="100"/>
        <v>0</v>
      </c>
      <c r="L1742" s="50"/>
      <c r="M1742" s="109"/>
      <c r="N1742" s="110">
        <v>0.95</v>
      </c>
    </row>
    <row r="1743" spans="1:14" ht="15" hidden="1" thickBot="1" x14ac:dyDescent="0.35">
      <c r="A1743" s="20">
        <v>296</v>
      </c>
      <c r="B1743" s="23" t="s">
        <v>951</v>
      </c>
      <c r="C1743" s="20" t="s">
        <v>940</v>
      </c>
      <c r="D1743" s="14" t="s">
        <v>505</v>
      </c>
      <c r="E1743" s="15" t="s">
        <v>504</v>
      </c>
      <c r="F1743" s="15">
        <v>2</v>
      </c>
      <c r="G1743" s="16">
        <f t="shared" si="99"/>
        <v>4515</v>
      </c>
      <c r="H1743" s="16">
        <v>4515</v>
      </c>
      <c r="I1743" s="16">
        <f>J1743-H1743</f>
        <v>0</v>
      </c>
      <c r="J1743" s="31">
        <v>4515</v>
      </c>
      <c r="K1743" s="69">
        <f t="shared" si="100"/>
        <v>0</v>
      </c>
      <c r="L1743" s="50"/>
      <c r="M1743" s="109"/>
      <c r="N1743" s="110"/>
    </row>
    <row r="1744" spans="1:14" ht="15" hidden="1" thickBot="1" x14ac:dyDescent="0.35">
      <c r="A1744" s="20">
        <v>296</v>
      </c>
      <c r="B1744" s="23" t="s">
        <v>951</v>
      </c>
      <c r="C1744" s="20" t="s">
        <v>940</v>
      </c>
      <c r="D1744" s="14" t="s">
        <v>614</v>
      </c>
      <c r="E1744" s="15" t="s">
        <v>500</v>
      </c>
      <c r="F1744" s="15">
        <v>1</v>
      </c>
      <c r="G1744" s="16">
        <f t="shared" si="99"/>
        <v>6440</v>
      </c>
      <c r="H1744" s="16">
        <v>6440</v>
      </c>
      <c r="I1744" s="16">
        <f t="shared" si="96"/>
        <v>0</v>
      </c>
      <c r="J1744" s="31">
        <v>6440</v>
      </c>
      <c r="K1744" s="69">
        <f t="shared" si="100"/>
        <v>0</v>
      </c>
      <c r="L1744" s="50"/>
      <c r="M1744" s="109"/>
      <c r="N1744" s="110"/>
    </row>
    <row r="1745" spans="1:14" ht="15" hidden="1" thickBot="1" x14ac:dyDescent="0.35">
      <c r="A1745" s="14">
        <v>297</v>
      </c>
      <c r="B1745" s="15" t="s">
        <v>952</v>
      </c>
      <c r="C1745" s="14" t="s">
        <v>953</v>
      </c>
      <c r="D1745" s="14" t="s">
        <v>497</v>
      </c>
      <c r="E1745" s="15" t="s">
        <v>14</v>
      </c>
      <c r="F1745" s="15">
        <v>12</v>
      </c>
      <c r="G1745" s="16">
        <f t="shared" si="99"/>
        <v>161013</v>
      </c>
      <c r="H1745" s="16">
        <v>161013</v>
      </c>
      <c r="I1745" s="16">
        <f t="shared" si="96"/>
        <v>0</v>
      </c>
      <c r="J1745" s="31">
        <v>161013</v>
      </c>
      <c r="K1745" s="69">
        <f t="shared" si="100"/>
        <v>0</v>
      </c>
      <c r="L1745" s="50"/>
      <c r="M1745" s="109"/>
      <c r="N1745" s="110"/>
    </row>
    <row r="1746" spans="1:14" ht="15" hidden="1" thickBot="1" x14ac:dyDescent="0.35">
      <c r="A1746" s="25">
        <v>298</v>
      </c>
      <c r="B1746" s="15" t="s">
        <v>954</v>
      </c>
      <c r="C1746" s="14" t="s">
        <v>664</v>
      </c>
      <c r="D1746" s="14" t="s">
        <v>1570</v>
      </c>
      <c r="E1746" s="15" t="s">
        <v>504</v>
      </c>
      <c r="F1746" s="15">
        <v>1</v>
      </c>
      <c r="G1746" s="16">
        <f t="shared" si="99"/>
        <v>1701</v>
      </c>
      <c r="H1746" s="16">
        <v>1701</v>
      </c>
      <c r="I1746" s="16">
        <f t="shared" si="96"/>
        <v>0</v>
      </c>
      <c r="J1746" s="31">
        <v>1701</v>
      </c>
      <c r="K1746" s="69">
        <f t="shared" si="100"/>
        <v>0</v>
      </c>
      <c r="L1746" s="50"/>
      <c r="M1746" s="109"/>
      <c r="N1746" s="110"/>
    </row>
    <row r="1747" spans="1:14" ht="15" hidden="1" thickBot="1" x14ac:dyDescent="0.35">
      <c r="A1747" s="20">
        <v>299</v>
      </c>
      <c r="B1747" s="15" t="s">
        <v>956</v>
      </c>
      <c r="C1747" s="20" t="s">
        <v>957</v>
      </c>
      <c r="D1747" s="14" t="s">
        <v>614</v>
      </c>
      <c r="E1747" s="15" t="s">
        <v>502</v>
      </c>
      <c r="F1747" s="15">
        <v>3</v>
      </c>
      <c r="G1747" s="16">
        <f t="shared" si="99"/>
        <v>17786</v>
      </c>
      <c r="H1747" s="16">
        <v>17906</v>
      </c>
      <c r="I1747" s="16">
        <f t="shared" si="96"/>
        <v>0</v>
      </c>
      <c r="J1747" s="31">
        <v>17906</v>
      </c>
      <c r="K1747" s="69">
        <f t="shared" si="100"/>
        <v>0</v>
      </c>
      <c r="L1747" s="50">
        <v>120</v>
      </c>
      <c r="M1747" s="109">
        <v>120</v>
      </c>
      <c r="N1747" s="110"/>
    </row>
    <row r="1748" spans="1:14" ht="15" hidden="1" thickBot="1" x14ac:dyDescent="0.35">
      <c r="A1748" s="20">
        <v>299</v>
      </c>
      <c r="B1748" s="15" t="s">
        <v>956</v>
      </c>
      <c r="C1748" s="20" t="s">
        <v>957</v>
      </c>
      <c r="D1748" s="14" t="s">
        <v>614</v>
      </c>
      <c r="E1748" s="15" t="s">
        <v>508</v>
      </c>
      <c r="F1748" s="15">
        <v>3</v>
      </c>
      <c r="G1748" s="16">
        <f t="shared" si="99"/>
        <v>20293</v>
      </c>
      <c r="H1748" s="16">
        <v>20293</v>
      </c>
      <c r="I1748" s="16">
        <f t="shared" si="96"/>
        <v>0</v>
      </c>
      <c r="J1748" s="31">
        <v>20293</v>
      </c>
      <c r="K1748" s="69">
        <f t="shared" si="100"/>
        <v>0</v>
      </c>
      <c r="L1748" s="50"/>
      <c r="M1748" s="109"/>
      <c r="N1748" s="110"/>
    </row>
    <row r="1749" spans="1:14" ht="15" hidden="1" thickBot="1" x14ac:dyDescent="0.35">
      <c r="A1749" s="20">
        <v>299</v>
      </c>
      <c r="B1749" s="15" t="s">
        <v>956</v>
      </c>
      <c r="C1749" s="20" t="s">
        <v>957</v>
      </c>
      <c r="D1749" s="14" t="s">
        <v>614</v>
      </c>
      <c r="E1749" s="15" t="s">
        <v>506</v>
      </c>
      <c r="F1749" s="15">
        <v>2</v>
      </c>
      <c r="G1749" s="16">
        <f t="shared" si="99"/>
        <v>20293</v>
      </c>
      <c r="H1749" s="16">
        <v>20293</v>
      </c>
      <c r="I1749" s="16">
        <f t="shared" si="96"/>
        <v>0</v>
      </c>
      <c r="J1749" s="31">
        <v>20293</v>
      </c>
      <c r="K1749" s="69">
        <f t="shared" si="100"/>
        <v>0</v>
      </c>
      <c r="L1749" s="50"/>
      <c r="M1749" s="109"/>
      <c r="N1749" s="110"/>
    </row>
    <row r="1750" spans="1:14" ht="15" hidden="1" thickBot="1" x14ac:dyDescent="0.35">
      <c r="A1750" s="20">
        <v>299</v>
      </c>
      <c r="B1750" s="15" t="s">
        <v>956</v>
      </c>
      <c r="C1750" s="20" t="s">
        <v>957</v>
      </c>
      <c r="D1750" s="14" t="s">
        <v>614</v>
      </c>
      <c r="E1750" s="15" t="s">
        <v>503</v>
      </c>
      <c r="F1750" s="15">
        <v>2</v>
      </c>
      <c r="G1750" s="16">
        <f t="shared" si="99"/>
        <v>20293</v>
      </c>
      <c r="H1750" s="16">
        <v>20293</v>
      </c>
      <c r="I1750" s="16">
        <f t="shared" si="96"/>
        <v>0</v>
      </c>
      <c r="J1750" s="31">
        <v>20293</v>
      </c>
      <c r="K1750" s="69">
        <f t="shared" si="100"/>
        <v>0</v>
      </c>
      <c r="L1750" s="50"/>
      <c r="M1750" s="109"/>
      <c r="N1750" s="110"/>
    </row>
    <row r="1751" spans="1:14" ht="15" hidden="1" thickBot="1" x14ac:dyDescent="0.35">
      <c r="A1751" s="20">
        <v>299</v>
      </c>
      <c r="B1751" s="15" t="s">
        <v>956</v>
      </c>
      <c r="C1751" s="20" t="s">
        <v>957</v>
      </c>
      <c r="D1751" s="14" t="s">
        <v>614</v>
      </c>
      <c r="E1751" s="15" t="s">
        <v>509</v>
      </c>
      <c r="F1751" s="15">
        <v>2</v>
      </c>
      <c r="G1751" s="16">
        <f t="shared" si="99"/>
        <v>17516</v>
      </c>
      <c r="H1751" s="16">
        <v>17516</v>
      </c>
      <c r="I1751" s="16">
        <f t="shared" si="96"/>
        <v>0</v>
      </c>
      <c r="J1751" s="31">
        <v>17516</v>
      </c>
      <c r="K1751" s="69">
        <f t="shared" si="100"/>
        <v>0</v>
      </c>
      <c r="L1751" s="50"/>
      <c r="M1751" s="109"/>
      <c r="N1751" s="110">
        <v>0.9</v>
      </c>
    </row>
    <row r="1752" spans="1:14" ht="15" hidden="1" thickBot="1" x14ac:dyDescent="0.35">
      <c r="A1752" s="20">
        <v>299</v>
      </c>
      <c r="B1752" s="15" t="s">
        <v>956</v>
      </c>
      <c r="C1752" s="20" t="s">
        <v>957</v>
      </c>
      <c r="D1752" s="14" t="s">
        <v>614</v>
      </c>
      <c r="E1752" s="15" t="s">
        <v>512</v>
      </c>
      <c r="F1752" s="15">
        <v>2</v>
      </c>
      <c r="G1752" s="16">
        <f t="shared" si="99"/>
        <v>17516</v>
      </c>
      <c r="H1752" s="16">
        <v>17516</v>
      </c>
      <c r="I1752" s="16">
        <f t="shared" si="96"/>
        <v>0</v>
      </c>
      <c r="J1752" s="31">
        <v>17516</v>
      </c>
      <c r="K1752" s="69">
        <f t="shared" si="100"/>
        <v>0</v>
      </c>
      <c r="L1752" s="50"/>
      <c r="M1752" s="109"/>
      <c r="N1752" s="110">
        <v>0.9</v>
      </c>
    </row>
    <row r="1753" spans="1:14" ht="15" hidden="1" thickBot="1" x14ac:dyDescent="0.35">
      <c r="A1753" s="20">
        <v>299</v>
      </c>
      <c r="B1753" s="15" t="s">
        <v>956</v>
      </c>
      <c r="C1753" s="20" t="s">
        <v>957</v>
      </c>
      <c r="D1753" s="14" t="s">
        <v>614</v>
      </c>
      <c r="E1753" s="15" t="s">
        <v>504</v>
      </c>
      <c r="F1753" s="15">
        <v>2</v>
      </c>
      <c r="G1753" s="16">
        <f t="shared" si="99"/>
        <v>17516</v>
      </c>
      <c r="H1753" s="16">
        <v>17516</v>
      </c>
      <c r="I1753" s="16">
        <f t="shared" si="96"/>
        <v>0</v>
      </c>
      <c r="J1753" s="31">
        <v>17516</v>
      </c>
      <c r="K1753" s="69">
        <f t="shared" si="100"/>
        <v>0</v>
      </c>
      <c r="L1753" s="50"/>
      <c r="M1753" s="109"/>
      <c r="N1753" s="110">
        <v>0.9</v>
      </c>
    </row>
    <row r="1754" spans="1:14" ht="15" hidden="1" thickBot="1" x14ac:dyDescent="0.35">
      <c r="A1754" s="20">
        <v>299</v>
      </c>
      <c r="B1754" s="15" t="s">
        <v>956</v>
      </c>
      <c r="C1754" s="20" t="s">
        <v>957</v>
      </c>
      <c r="D1754" s="14" t="s">
        <v>614</v>
      </c>
      <c r="E1754" s="15" t="s">
        <v>500</v>
      </c>
      <c r="F1754" s="15">
        <v>2</v>
      </c>
      <c r="G1754" s="16">
        <f t="shared" si="99"/>
        <v>17516</v>
      </c>
      <c r="H1754" s="16">
        <v>17516</v>
      </c>
      <c r="I1754" s="16">
        <f t="shared" si="96"/>
        <v>0</v>
      </c>
      <c r="J1754" s="31">
        <v>17516</v>
      </c>
      <c r="K1754" s="69">
        <f t="shared" si="100"/>
        <v>0</v>
      </c>
      <c r="L1754" s="50"/>
      <c r="M1754" s="109"/>
      <c r="N1754" s="110">
        <v>0.9</v>
      </c>
    </row>
    <row r="1755" spans="1:14" ht="15" hidden="1" thickBot="1" x14ac:dyDescent="0.35">
      <c r="A1755" s="20">
        <v>299</v>
      </c>
      <c r="B1755" s="15" t="s">
        <v>956</v>
      </c>
      <c r="C1755" s="20" t="s">
        <v>957</v>
      </c>
      <c r="D1755" s="14" t="s">
        <v>614</v>
      </c>
      <c r="E1755" s="15" t="s">
        <v>499</v>
      </c>
      <c r="F1755" s="15">
        <v>3</v>
      </c>
      <c r="G1755" s="16">
        <f t="shared" si="99"/>
        <v>17666</v>
      </c>
      <c r="H1755" s="16">
        <v>17906</v>
      </c>
      <c r="I1755" s="16">
        <f>J1755-H1755</f>
        <v>0</v>
      </c>
      <c r="J1755" s="31">
        <v>17906</v>
      </c>
      <c r="K1755" s="69">
        <f t="shared" si="100"/>
        <v>0</v>
      </c>
      <c r="L1755" s="50">
        <v>240</v>
      </c>
      <c r="M1755" s="109">
        <v>240</v>
      </c>
      <c r="N1755" s="110"/>
    </row>
    <row r="1756" spans="1:14" ht="15" hidden="1" thickBot="1" x14ac:dyDescent="0.35">
      <c r="A1756" s="20">
        <v>299</v>
      </c>
      <c r="B1756" s="15" t="s">
        <v>956</v>
      </c>
      <c r="C1756" s="20" t="s">
        <v>1190</v>
      </c>
      <c r="D1756" s="14" t="s">
        <v>507</v>
      </c>
      <c r="E1756" s="15" t="s">
        <v>504</v>
      </c>
      <c r="F1756" s="15">
        <v>1</v>
      </c>
      <c r="G1756" s="16">
        <f t="shared" si="99"/>
        <v>150</v>
      </c>
      <c r="H1756" s="16">
        <v>150</v>
      </c>
      <c r="I1756" s="16">
        <f>J1756-H1756</f>
        <v>0</v>
      </c>
      <c r="J1756" s="31">
        <v>150</v>
      </c>
      <c r="K1756" s="69">
        <f t="shared" si="100"/>
        <v>0</v>
      </c>
      <c r="L1756" s="50"/>
      <c r="M1756" s="109"/>
      <c r="N1756" s="110">
        <v>1</v>
      </c>
    </row>
    <row r="1757" spans="1:14" ht="15" hidden="1" thickBot="1" x14ac:dyDescent="0.35">
      <c r="A1757" s="20">
        <v>299</v>
      </c>
      <c r="B1757" s="15" t="s">
        <v>956</v>
      </c>
      <c r="C1757" s="20" t="s">
        <v>1190</v>
      </c>
      <c r="D1757" s="14" t="s">
        <v>505</v>
      </c>
      <c r="E1757" s="15" t="s">
        <v>504</v>
      </c>
      <c r="F1757" s="15">
        <v>1</v>
      </c>
      <c r="G1757" s="16">
        <f t="shared" si="99"/>
        <v>150</v>
      </c>
      <c r="H1757" s="16">
        <v>150</v>
      </c>
      <c r="I1757" s="16">
        <f>J1757-H1757</f>
        <v>0</v>
      </c>
      <c r="J1757" s="31">
        <v>150</v>
      </c>
      <c r="K1757" s="69">
        <f t="shared" si="100"/>
        <v>0</v>
      </c>
      <c r="L1757" s="50"/>
      <c r="M1757" s="109"/>
      <c r="N1757" s="110">
        <v>1</v>
      </c>
    </row>
    <row r="1758" spans="1:14" ht="15" hidden="1" thickBot="1" x14ac:dyDescent="0.35">
      <c r="A1758" s="20">
        <v>299</v>
      </c>
      <c r="B1758" s="15" t="s">
        <v>956</v>
      </c>
      <c r="C1758" s="20" t="s">
        <v>1190</v>
      </c>
      <c r="D1758" s="14" t="s">
        <v>548</v>
      </c>
      <c r="E1758" s="15" t="s">
        <v>504</v>
      </c>
      <c r="F1758" s="15">
        <v>1</v>
      </c>
      <c r="G1758" s="16">
        <f t="shared" si="99"/>
        <v>150</v>
      </c>
      <c r="H1758" s="16">
        <v>150</v>
      </c>
      <c r="I1758" s="16">
        <f>J1758-H1758</f>
        <v>0</v>
      </c>
      <c r="J1758" s="31">
        <v>150</v>
      </c>
      <c r="K1758" s="69">
        <f t="shared" si="100"/>
        <v>0</v>
      </c>
      <c r="L1758" s="50"/>
      <c r="M1758" s="109"/>
      <c r="N1758" s="110">
        <v>1</v>
      </c>
    </row>
    <row r="1759" spans="1:14" ht="15" hidden="1" thickBot="1" x14ac:dyDescent="0.35">
      <c r="A1759" s="20">
        <v>299</v>
      </c>
      <c r="B1759" s="15" t="s">
        <v>956</v>
      </c>
      <c r="C1759" s="14" t="s">
        <v>1272</v>
      </c>
      <c r="D1759" s="14" t="s">
        <v>510</v>
      </c>
      <c r="E1759" s="15" t="s">
        <v>502</v>
      </c>
      <c r="F1759" s="15">
        <v>3</v>
      </c>
      <c r="G1759" s="16">
        <f t="shared" si="99"/>
        <v>10463</v>
      </c>
      <c r="H1759" s="16">
        <v>10463</v>
      </c>
      <c r="I1759" s="16">
        <f t="shared" si="96"/>
        <v>0</v>
      </c>
      <c r="J1759" s="31">
        <v>10463</v>
      </c>
      <c r="K1759" s="69">
        <f t="shared" si="100"/>
        <v>0</v>
      </c>
      <c r="L1759" s="50"/>
      <c r="M1759" s="109"/>
      <c r="N1759" s="110">
        <v>0.92</v>
      </c>
    </row>
    <row r="1760" spans="1:14" ht="15" hidden="1" thickBot="1" x14ac:dyDescent="0.35">
      <c r="A1760" s="20">
        <v>299</v>
      </c>
      <c r="B1760" s="15" t="s">
        <v>956</v>
      </c>
      <c r="C1760" s="14" t="s">
        <v>1272</v>
      </c>
      <c r="D1760" s="14" t="s">
        <v>510</v>
      </c>
      <c r="E1760" s="15" t="s">
        <v>499</v>
      </c>
      <c r="F1760" s="15">
        <v>3</v>
      </c>
      <c r="G1760" s="16">
        <f t="shared" si="99"/>
        <v>10416</v>
      </c>
      <c r="H1760" s="16">
        <v>10416</v>
      </c>
      <c r="I1760" s="16">
        <f t="shared" si="96"/>
        <v>0</v>
      </c>
      <c r="J1760" s="31">
        <v>10416</v>
      </c>
      <c r="K1760" s="69">
        <f t="shared" si="100"/>
        <v>0</v>
      </c>
      <c r="L1760" s="50"/>
      <c r="M1760" s="109"/>
      <c r="N1760" s="110">
        <v>0.92</v>
      </c>
    </row>
    <row r="1761" spans="1:14" ht="15" hidden="1" thickBot="1" x14ac:dyDescent="0.35">
      <c r="A1761" s="20">
        <v>299</v>
      </c>
      <c r="B1761" s="15" t="s">
        <v>956</v>
      </c>
      <c r="C1761" s="14" t="s">
        <v>1272</v>
      </c>
      <c r="D1761" s="14" t="s">
        <v>614</v>
      </c>
      <c r="E1761" s="15" t="s">
        <v>502</v>
      </c>
      <c r="F1761" s="15">
        <v>4</v>
      </c>
      <c r="G1761" s="16">
        <f t="shared" si="99"/>
        <v>86775</v>
      </c>
      <c r="H1761" s="16">
        <v>86775</v>
      </c>
      <c r="I1761" s="16">
        <f t="shared" si="96"/>
        <v>0</v>
      </c>
      <c r="J1761" s="31">
        <v>86775</v>
      </c>
      <c r="K1761" s="69">
        <f t="shared" si="100"/>
        <v>0</v>
      </c>
      <c r="L1761" s="50"/>
      <c r="M1761" s="109"/>
      <c r="N1761" s="110">
        <v>0.92</v>
      </c>
    </row>
    <row r="1762" spans="1:14" ht="15" hidden="1" thickBot="1" x14ac:dyDescent="0.35">
      <c r="A1762" s="20">
        <v>299</v>
      </c>
      <c r="B1762" s="15" t="s">
        <v>956</v>
      </c>
      <c r="C1762" s="14" t="s">
        <v>1272</v>
      </c>
      <c r="D1762" s="14" t="s">
        <v>614</v>
      </c>
      <c r="E1762" s="15" t="s">
        <v>503</v>
      </c>
      <c r="F1762" s="15">
        <v>2</v>
      </c>
      <c r="G1762" s="16">
        <f t="shared" si="99"/>
        <v>71509</v>
      </c>
      <c r="H1762" s="16">
        <v>71569</v>
      </c>
      <c r="I1762" s="16">
        <f t="shared" si="96"/>
        <v>0</v>
      </c>
      <c r="J1762" s="31">
        <v>71569</v>
      </c>
      <c r="K1762" s="69">
        <f t="shared" si="100"/>
        <v>0</v>
      </c>
      <c r="L1762" s="50">
        <v>60</v>
      </c>
      <c r="M1762" s="109">
        <v>60</v>
      </c>
      <c r="N1762" s="110"/>
    </row>
    <row r="1763" spans="1:14" ht="15" hidden="1" thickBot="1" x14ac:dyDescent="0.35">
      <c r="A1763" s="20">
        <v>299</v>
      </c>
      <c r="B1763" s="15" t="s">
        <v>956</v>
      </c>
      <c r="C1763" s="14" t="s">
        <v>1272</v>
      </c>
      <c r="D1763" s="14" t="s">
        <v>614</v>
      </c>
      <c r="E1763" s="15" t="s">
        <v>506</v>
      </c>
      <c r="F1763" s="15">
        <v>3</v>
      </c>
      <c r="G1763" s="16">
        <f t="shared" si="99"/>
        <v>85283</v>
      </c>
      <c r="H1763" s="16">
        <v>85283</v>
      </c>
      <c r="I1763" s="16">
        <f t="shared" si="96"/>
        <v>0</v>
      </c>
      <c r="J1763" s="31">
        <v>85283</v>
      </c>
      <c r="K1763" s="69">
        <f t="shared" si="100"/>
        <v>0</v>
      </c>
      <c r="L1763" s="50"/>
      <c r="M1763" s="109"/>
      <c r="N1763" s="110">
        <v>0.92</v>
      </c>
    </row>
    <row r="1764" spans="1:14" ht="15" hidden="1" thickBot="1" x14ac:dyDescent="0.35">
      <c r="A1764" s="20">
        <v>299</v>
      </c>
      <c r="B1764" s="15" t="s">
        <v>956</v>
      </c>
      <c r="C1764" s="14" t="s">
        <v>1272</v>
      </c>
      <c r="D1764" s="14" t="s">
        <v>614</v>
      </c>
      <c r="E1764" s="15" t="s">
        <v>508</v>
      </c>
      <c r="F1764" s="15">
        <v>4</v>
      </c>
      <c r="G1764" s="16">
        <f t="shared" si="99"/>
        <v>83442</v>
      </c>
      <c r="H1764" s="16">
        <v>83442</v>
      </c>
      <c r="I1764" s="16">
        <f t="shared" si="96"/>
        <v>0</v>
      </c>
      <c r="J1764" s="31">
        <v>83442</v>
      </c>
      <c r="K1764" s="69">
        <f t="shared" si="100"/>
        <v>0</v>
      </c>
      <c r="L1764" s="50"/>
      <c r="M1764" s="109"/>
      <c r="N1764" s="110">
        <v>0.9</v>
      </c>
    </row>
    <row r="1765" spans="1:14" ht="15" hidden="1" thickBot="1" x14ac:dyDescent="0.35">
      <c r="A1765" s="20">
        <v>299</v>
      </c>
      <c r="B1765" s="15" t="s">
        <v>956</v>
      </c>
      <c r="C1765" s="14" t="s">
        <v>1272</v>
      </c>
      <c r="D1765" s="14" t="s">
        <v>510</v>
      </c>
      <c r="E1765" s="15" t="s">
        <v>506</v>
      </c>
      <c r="F1765" s="15">
        <v>3</v>
      </c>
      <c r="G1765" s="16">
        <f t="shared" si="99"/>
        <v>10463</v>
      </c>
      <c r="H1765" s="16">
        <v>10463</v>
      </c>
      <c r="I1765" s="16">
        <f t="shared" si="96"/>
        <v>0</v>
      </c>
      <c r="J1765" s="31">
        <v>10463</v>
      </c>
      <c r="K1765" s="69">
        <f t="shared" si="100"/>
        <v>0</v>
      </c>
      <c r="L1765" s="50"/>
      <c r="M1765" s="109"/>
      <c r="N1765" s="110">
        <v>0.92</v>
      </c>
    </row>
    <row r="1766" spans="1:14" ht="15" hidden="1" thickBot="1" x14ac:dyDescent="0.35">
      <c r="A1766" s="20">
        <v>299</v>
      </c>
      <c r="B1766" s="15" t="s">
        <v>956</v>
      </c>
      <c r="C1766" s="14" t="s">
        <v>1272</v>
      </c>
      <c r="D1766" s="14" t="s">
        <v>510</v>
      </c>
      <c r="E1766" s="15" t="s">
        <v>503</v>
      </c>
      <c r="F1766" s="15">
        <v>2</v>
      </c>
      <c r="G1766" s="16">
        <f t="shared" si="99"/>
        <v>10213</v>
      </c>
      <c r="H1766" s="16">
        <v>10213</v>
      </c>
      <c r="I1766" s="16">
        <f t="shared" si="96"/>
        <v>0</v>
      </c>
      <c r="J1766" s="31">
        <v>10213</v>
      </c>
      <c r="K1766" s="69">
        <f t="shared" si="100"/>
        <v>0</v>
      </c>
      <c r="L1766" s="50"/>
      <c r="M1766" s="109"/>
      <c r="N1766" s="110"/>
    </row>
    <row r="1767" spans="1:14" ht="15" hidden="1" thickBot="1" x14ac:dyDescent="0.35">
      <c r="A1767" s="20">
        <v>299</v>
      </c>
      <c r="B1767" s="15" t="s">
        <v>956</v>
      </c>
      <c r="C1767" s="14" t="s">
        <v>1272</v>
      </c>
      <c r="D1767" s="14" t="s">
        <v>510</v>
      </c>
      <c r="E1767" s="15" t="s">
        <v>508</v>
      </c>
      <c r="F1767" s="15">
        <v>3</v>
      </c>
      <c r="G1767" s="16">
        <f t="shared" si="99"/>
        <v>10463</v>
      </c>
      <c r="H1767" s="16">
        <v>10463</v>
      </c>
      <c r="I1767" s="16">
        <f t="shared" si="96"/>
        <v>0</v>
      </c>
      <c r="J1767" s="31">
        <v>10463</v>
      </c>
      <c r="K1767" s="69">
        <f t="shared" si="100"/>
        <v>0</v>
      </c>
      <c r="L1767" s="50"/>
      <c r="M1767" s="109"/>
      <c r="N1767" s="110">
        <v>0.92</v>
      </c>
    </row>
    <row r="1768" spans="1:14" ht="15" hidden="1" thickBot="1" x14ac:dyDescent="0.35">
      <c r="A1768" s="20">
        <v>299</v>
      </c>
      <c r="B1768" s="15" t="s">
        <v>956</v>
      </c>
      <c r="C1768" s="14" t="s">
        <v>1272</v>
      </c>
      <c r="D1768" s="14" t="s">
        <v>614</v>
      </c>
      <c r="E1768" s="15" t="s">
        <v>509</v>
      </c>
      <c r="F1768" s="15">
        <v>4</v>
      </c>
      <c r="G1768" s="16">
        <f t="shared" si="99"/>
        <v>83442</v>
      </c>
      <c r="H1768" s="16">
        <v>83442</v>
      </c>
      <c r="I1768" s="16">
        <f t="shared" si="96"/>
        <v>0</v>
      </c>
      <c r="J1768" s="31">
        <v>83442</v>
      </c>
      <c r="K1768" s="69">
        <f t="shared" si="100"/>
        <v>0</v>
      </c>
      <c r="L1768" s="50"/>
      <c r="M1768" s="109"/>
      <c r="N1768" s="110">
        <v>0.9</v>
      </c>
    </row>
    <row r="1769" spans="1:14" ht="15" hidden="1" thickBot="1" x14ac:dyDescent="0.35">
      <c r="A1769" s="20">
        <v>299</v>
      </c>
      <c r="B1769" s="15" t="s">
        <v>956</v>
      </c>
      <c r="C1769" s="14" t="s">
        <v>1272</v>
      </c>
      <c r="D1769" s="14" t="s">
        <v>614</v>
      </c>
      <c r="E1769" s="15" t="s">
        <v>504</v>
      </c>
      <c r="F1769" s="15">
        <v>4</v>
      </c>
      <c r="G1769" s="16">
        <f t="shared" si="99"/>
        <v>83292</v>
      </c>
      <c r="H1769" s="16">
        <v>83442</v>
      </c>
      <c r="I1769" s="16">
        <f t="shared" si="96"/>
        <v>0</v>
      </c>
      <c r="J1769" s="31">
        <v>83442</v>
      </c>
      <c r="K1769" s="69">
        <f t="shared" si="100"/>
        <v>0</v>
      </c>
      <c r="L1769" s="50">
        <v>150</v>
      </c>
      <c r="M1769" s="109">
        <v>150</v>
      </c>
      <c r="N1769" s="110">
        <v>0.9</v>
      </c>
    </row>
    <row r="1770" spans="1:14" ht="15" hidden="1" thickBot="1" x14ac:dyDescent="0.35">
      <c r="A1770" s="20">
        <v>299</v>
      </c>
      <c r="B1770" s="15" t="s">
        <v>956</v>
      </c>
      <c r="C1770" s="14" t="s">
        <v>1272</v>
      </c>
      <c r="D1770" s="14" t="s">
        <v>614</v>
      </c>
      <c r="E1770" s="15" t="s">
        <v>512</v>
      </c>
      <c r="F1770" s="15">
        <v>3</v>
      </c>
      <c r="G1770" s="16">
        <f t="shared" si="99"/>
        <v>82842</v>
      </c>
      <c r="H1770" s="16">
        <v>82842</v>
      </c>
      <c r="I1770" s="16">
        <f t="shared" si="96"/>
        <v>0</v>
      </c>
      <c r="J1770" s="31">
        <v>82842</v>
      </c>
      <c r="K1770" s="69">
        <f t="shared" si="100"/>
        <v>0</v>
      </c>
      <c r="L1770" s="50"/>
      <c r="M1770" s="109"/>
      <c r="N1770" s="110">
        <v>0.9</v>
      </c>
    </row>
    <row r="1771" spans="1:14" ht="15" hidden="1" thickBot="1" x14ac:dyDescent="0.35">
      <c r="A1771" s="20">
        <v>299</v>
      </c>
      <c r="B1771" s="15" t="s">
        <v>956</v>
      </c>
      <c r="C1771" s="14" t="s">
        <v>1272</v>
      </c>
      <c r="D1771" s="14" t="s">
        <v>614</v>
      </c>
      <c r="E1771" s="15" t="s">
        <v>500</v>
      </c>
      <c r="F1771" s="15">
        <v>4</v>
      </c>
      <c r="G1771" s="16">
        <f t="shared" si="99"/>
        <v>83182</v>
      </c>
      <c r="H1771" s="16">
        <v>83302</v>
      </c>
      <c r="I1771" s="16">
        <f t="shared" si="96"/>
        <v>0</v>
      </c>
      <c r="J1771" s="31">
        <v>83302</v>
      </c>
      <c r="K1771" s="69">
        <f t="shared" si="100"/>
        <v>0</v>
      </c>
      <c r="L1771" s="50">
        <v>120</v>
      </c>
      <c r="M1771" s="109">
        <v>120</v>
      </c>
      <c r="N1771" s="110">
        <v>0.90500000000000003</v>
      </c>
    </row>
    <row r="1772" spans="1:14" ht="15" hidden="1" thickBot="1" x14ac:dyDescent="0.35">
      <c r="A1772" s="20">
        <v>299</v>
      </c>
      <c r="B1772" s="15" t="s">
        <v>956</v>
      </c>
      <c r="C1772" s="14" t="s">
        <v>1272</v>
      </c>
      <c r="D1772" s="14" t="s">
        <v>510</v>
      </c>
      <c r="E1772" s="15" t="s">
        <v>509</v>
      </c>
      <c r="F1772" s="15">
        <v>4</v>
      </c>
      <c r="G1772" s="16">
        <f t="shared" si="99"/>
        <v>10241</v>
      </c>
      <c r="H1772" s="16">
        <v>10241</v>
      </c>
      <c r="I1772" s="16">
        <f t="shared" si="96"/>
        <v>0</v>
      </c>
      <c r="J1772" s="31">
        <v>10241</v>
      </c>
      <c r="K1772" s="69">
        <f t="shared" si="100"/>
        <v>0</v>
      </c>
      <c r="L1772" s="50"/>
      <c r="M1772" s="109"/>
      <c r="N1772" s="110">
        <v>0.9</v>
      </c>
    </row>
    <row r="1773" spans="1:14" ht="15" hidden="1" thickBot="1" x14ac:dyDescent="0.35">
      <c r="A1773" s="20">
        <v>299</v>
      </c>
      <c r="B1773" s="15" t="s">
        <v>956</v>
      </c>
      <c r="C1773" s="14" t="s">
        <v>1272</v>
      </c>
      <c r="D1773" s="14" t="s">
        <v>510</v>
      </c>
      <c r="E1773" s="15" t="s">
        <v>504</v>
      </c>
      <c r="F1773" s="15">
        <v>4</v>
      </c>
      <c r="G1773" s="16">
        <f t="shared" si="99"/>
        <v>10241</v>
      </c>
      <c r="H1773" s="16">
        <v>10241</v>
      </c>
      <c r="I1773" s="16">
        <f t="shared" si="96"/>
        <v>0</v>
      </c>
      <c r="J1773" s="31">
        <v>10241</v>
      </c>
      <c r="K1773" s="69">
        <f t="shared" si="100"/>
        <v>0</v>
      </c>
      <c r="L1773" s="50"/>
      <c r="M1773" s="109"/>
      <c r="N1773" s="110">
        <v>0.9</v>
      </c>
    </row>
    <row r="1774" spans="1:14" ht="15" hidden="1" thickBot="1" x14ac:dyDescent="0.35">
      <c r="A1774" s="20">
        <v>299</v>
      </c>
      <c r="B1774" s="15" t="s">
        <v>956</v>
      </c>
      <c r="C1774" s="14" t="s">
        <v>1272</v>
      </c>
      <c r="D1774" s="14" t="s">
        <v>510</v>
      </c>
      <c r="E1774" s="15" t="s">
        <v>512</v>
      </c>
      <c r="F1774" s="15">
        <v>3</v>
      </c>
      <c r="G1774" s="16">
        <f t="shared" si="99"/>
        <v>9991</v>
      </c>
      <c r="H1774" s="16">
        <v>9991</v>
      </c>
      <c r="I1774" s="16">
        <f t="shared" si="96"/>
        <v>0</v>
      </c>
      <c r="J1774" s="31">
        <v>9991</v>
      </c>
      <c r="K1774" s="69">
        <f t="shared" si="100"/>
        <v>0</v>
      </c>
      <c r="L1774" s="50"/>
      <c r="M1774" s="109"/>
      <c r="N1774" s="110">
        <v>0.9</v>
      </c>
    </row>
    <row r="1775" spans="1:14" ht="15" hidden="1" thickBot="1" x14ac:dyDescent="0.35">
      <c r="A1775" s="20">
        <v>299</v>
      </c>
      <c r="B1775" s="15" t="s">
        <v>956</v>
      </c>
      <c r="C1775" s="14" t="s">
        <v>1272</v>
      </c>
      <c r="D1775" s="14" t="s">
        <v>752</v>
      </c>
      <c r="E1775" s="15" t="s">
        <v>504</v>
      </c>
      <c r="F1775" s="15">
        <v>1</v>
      </c>
      <c r="G1775" s="16">
        <f t="shared" si="99"/>
        <v>18900</v>
      </c>
      <c r="H1775" s="16">
        <v>18900</v>
      </c>
      <c r="I1775" s="16">
        <f t="shared" si="96"/>
        <v>0</v>
      </c>
      <c r="J1775" s="31">
        <v>18900</v>
      </c>
      <c r="K1775" s="69">
        <f t="shared" si="100"/>
        <v>0</v>
      </c>
      <c r="L1775" s="50"/>
      <c r="M1775" s="109"/>
      <c r="N1775" s="110">
        <v>0.9</v>
      </c>
    </row>
    <row r="1776" spans="1:14" ht="15" hidden="1" thickBot="1" x14ac:dyDescent="0.35">
      <c r="A1776" s="20">
        <v>299</v>
      </c>
      <c r="B1776" s="15" t="s">
        <v>956</v>
      </c>
      <c r="C1776" s="14" t="s">
        <v>1272</v>
      </c>
      <c r="D1776" s="14" t="s">
        <v>1125</v>
      </c>
      <c r="E1776" s="15" t="s">
        <v>502</v>
      </c>
      <c r="F1776" s="15">
        <v>1</v>
      </c>
      <c r="G1776" s="16">
        <f t="shared" si="99"/>
        <v>20790</v>
      </c>
      <c r="H1776" s="16">
        <v>20790</v>
      </c>
      <c r="I1776" s="16">
        <f t="shared" si="96"/>
        <v>0</v>
      </c>
      <c r="J1776" s="31">
        <v>20790</v>
      </c>
      <c r="K1776" s="69">
        <f t="shared" si="100"/>
        <v>0</v>
      </c>
      <c r="L1776" s="50"/>
      <c r="M1776" s="109"/>
      <c r="N1776" s="110">
        <v>0.9</v>
      </c>
    </row>
    <row r="1777" spans="1:14" ht="15" hidden="1" thickBot="1" x14ac:dyDescent="0.35">
      <c r="A1777" s="20">
        <v>299</v>
      </c>
      <c r="B1777" s="15" t="s">
        <v>956</v>
      </c>
      <c r="C1777" s="14" t="s">
        <v>1272</v>
      </c>
      <c r="D1777" s="14" t="s">
        <v>510</v>
      </c>
      <c r="E1777" s="15" t="s">
        <v>500</v>
      </c>
      <c r="F1777" s="15">
        <v>3</v>
      </c>
      <c r="G1777" s="16">
        <f t="shared" si="99"/>
        <v>4820</v>
      </c>
      <c r="H1777" s="16">
        <v>4820</v>
      </c>
      <c r="I1777" s="16">
        <f t="shared" si="96"/>
        <v>0</v>
      </c>
      <c r="J1777" s="31">
        <v>4820</v>
      </c>
      <c r="K1777" s="69">
        <f t="shared" si="100"/>
        <v>0</v>
      </c>
      <c r="L1777" s="50"/>
      <c r="M1777" s="109"/>
      <c r="N1777" s="110">
        <v>0.9</v>
      </c>
    </row>
    <row r="1778" spans="1:14" ht="15" hidden="1" thickBot="1" x14ac:dyDescent="0.35">
      <c r="A1778" s="20">
        <v>299</v>
      </c>
      <c r="B1778" s="15" t="s">
        <v>956</v>
      </c>
      <c r="C1778" s="14" t="s">
        <v>1272</v>
      </c>
      <c r="D1778" s="14" t="s">
        <v>614</v>
      </c>
      <c r="E1778" s="15" t="s">
        <v>499</v>
      </c>
      <c r="F1778" s="15">
        <v>4</v>
      </c>
      <c r="G1778" s="16">
        <f t="shared" si="99"/>
        <v>86375</v>
      </c>
      <c r="H1778" s="16">
        <v>86775</v>
      </c>
      <c r="I1778" s="16">
        <f t="shared" si="96"/>
        <v>0</v>
      </c>
      <c r="J1778" s="31">
        <v>86775</v>
      </c>
      <c r="K1778" s="69">
        <f t="shared" si="100"/>
        <v>0</v>
      </c>
      <c r="L1778" s="50">
        <v>400</v>
      </c>
      <c r="M1778" s="109">
        <v>400</v>
      </c>
      <c r="N1778" s="110">
        <v>0.92</v>
      </c>
    </row>
    <row r="1779" spans="1:14" ht="15" hidden="1" thickBot="1" x14ac:dyDescent="0.35">
      <c r="A1779" s="20">
        <v>300</v>
      </c>
      <c r="B1779" s="15" t="s">
        <v>958</v>
      </c>
      <c r="C1779" s="20" t="s">
        <v>730</v>
      </c>
      <c r="D1779" s="14" t="s">
        <v>548</v>
      </c>
      <c r="E1779" s="15" t="s">
        <v>504</v>
      </c>
      <c r="F1779" s="15">
        <v>4</v>
      </c>
      <c r="G1779" s="16">
        <f t="shared" si="99"/>
        <v>12880.6</v>
      </c>
      <c r="H1779" s="16">
        <v>13675.6</v>
      </c>
      <c r="I1779" s="16">
        <f t="shared" ref="I1779:I1836" si="101">J1779-H1779</f>
        <v>0</v>
      </c>
      <c r="J1779" s="32">
        <v>13675.6</v>
      </c>
      <c r="K1779" s="69">
        <f t="shared" si="100"/>
        <v>0</v>
      </c>
      <c r="L1779" s="71">
        <v>795</v>
      </c>
      <c r="M1779" s="109">
        <v>795</v>
      </c>
      <c r="N1779" s="110">
        <v>1</v>
      </c>
    </row>
    <row r="1780" spans="1:14" ht="15" hidden="1" thickBot="1" x14ac:dyDescent="0.35">
      <c r="A1780" s="20">
        <v>300</v>
      </c>
      <c r="B1780" s="15" t="s">
        <v>958</v>
      </c>
      <c r="C1780" s="20" t="s">
        <v>730</v>
      </c>
      <c r="D1780" s="14" t="s">
        <v>1570</v>
      </c>
      <c r="E1780" s="15" t="s">
        <v>504</v>
      </c>
      <c r="F1780" s="15">
        <v>4</v>
      </c>
      <c r="G1780" s="16">
        <f t="shared" si="99"/>
        <v>9277</v>
      </c>
      <c r="H1780" s="16">
        <v>9827</v>
      </c>
      <c r="I1780" s="16">
        <f t="shared" si="101"/>
        <v>0</v>
      </c>
      <c r="J1780" s="32">
        <v>9827</v>
      </c>
      <c r="K1780" s="69">
        <f t="shared" si="100"/>
        <v>0</v>
      </c>
      <c r="L1780" s="71">
        <v>550</v>
      </c>
      <c r="M1780" s="109">
        <v>550</v>
      </c>
      <c r="N1780" s="110">
        <v>0.95499999999999996</v>
      </c>
    </row>
    <row r="1781" spans="1:14" ht="15" hidden="1" thickBot="1" x14ac:dyDescent="0.35">
      <c r="A1781" s="20">
        <v>300</v>
      </c>
      <c r="B1781" s="15" t="s">
        <v>958</v>
      </c>
      <c r="C1781" s="20" t="s">
        <v>641</v>
      </c>
      <c r="D1781" s="14" t="s">
        <v>505</v>
      </c>
      <c r="E1781" s="15" t="s">
        <v>504</v>
      </c>
      <c r="F1781" s="15">
        <v>3</v>
      </c>
      <c r="G1781" s="16">
        <f t="shared" si="99"/>
        <v>6197</v>
      </c>
      <c r="H1781" s="16">
        <v>6197</v>
      </c>
      <c r="I1781" s="16">
        <f>J1781-H1781</f>
        <v>0</v>
      </c>
      <c r="J1781" s="32">
        <v>6197</v>
      </c>
      <c r="K1781" s="69">
        <f t="shared" si="100"/>
        <v>0</v>
      </c>
      <c r="L1781" s="71"/>
      <c r="M1781" s="109"/>
      <c r="N1781" s="110"/>
    </row>
    <row r="1782" spans="1:14" ht="15" hidden="1" thickBot="1" x14ac:dyDescent="0.35">
      <c r="A1782" s="20">
        <v>300</v>
      </c>
      <c r="B1782" s="15" t="s">
        <v>958</v>
      </c>
      <c r="C1782" s="20" t="s">
        <v>648</v>
      </c>
      <c r="D1782" s="14" t="s">
        <v>614</v>
      </c>
      <c r="E1782" s="15" t="s">
        <v>500</v>
      </c>
      <c r="F1782" s="15">
        <v>1</v>
      </c>
      <c r="G1782" s="16">
        <f t="shared" si="99"/>
        <v>3528</v>
      </c>
      <c r="H1782" s="16">
        <v>3528</v>
      </c>
      <c r="I1782" s="16">
        <f>J1782-H1782</f>
        <v>0</v>
      </c>
      <c r="J1782" s="32">
        <v>3528</v>
      </c>
      <c r="K1782" s="69">
        <f t="shared" si="100"/>
        <v>0</v>
      </c>
      <c r="L1782" s="71"/>
      <c r="M1782" s="109"/>
      <c r="N1782" s="110"/>
    </row>
    <row r="1783" spans="1:14" ht="15" hidden="1" thickBot="1" x14ac:dyDescent="0.35">
      <c r="A1783" s="20">
        <v>300</v>
      </c>
      <c r="B1783" s="15" t="s">
        <v>958</v>
      </c>
      <c r="C1783" s="20" t="s">
        <v>648</v>
      </c>
      <c r="D1783" s="14" t="s">
        <v>510</v>
      </c>
      <c r="E1783" s="15" t="s">
        <v>500</v>
      </c>
      <c r="F1783" s="15">
        <v>1</v>
      </c>
      <c r="G1783" s="16">
        <f t="shared" si="99"/>
        <v>2160</v>
      </c>
      <c r="H1783" s="16">
        <v>2160</v>
      </c>
      <c r="I1783" s="16">
        <f>J1783-H1783</f>
        <v>0</v>
      </c>
      <c r="J1783" s="32">
        <v>2160</v>
      </c>
      <c r="K1783" s="69">
        <f t="shared" si="100"/>
        <v>0</v>
      </c>
      <c r="L1783" s="71"/>
      <c r="M1783" s="109"/>
      <c r="N1783" s="110"/>
    </row>
    <row r="1784" spans="1:14" ht="15" hidden="1" thickBot="1" x14ac:dyDescent="0.35">
      <c r="A1784" s="20">
        <v>300</v>
      </c>
      <c r="B1784" s="15" t="s">
        <v>958</v>
      </c>
      <c r="C1784" s="20" t="s">
        <v>648</v>
      </c>
      <c r="D1784" s="14" t="s">
        <v>548</v>
      </c>
      <c r="E1784" s="15" t="s">
        <v>504</v>
      </c>
      <c r="F1784" s="15">
        <v>1</v>
      </c>
      <c r="G1784" s="16">
        <f t="shared" si="99"/>
        <v>1728</v>
      </c>
      <c r="H1784" s="16">
        <v>1728</v>
      </c>
      <c r="I1784" s="16">
        <f>J1784-H1784</f>
        <v>0</v>
      </c>
      <c r="J1784" s="32">
        <v>1728</v>
      </c>
      <c r="K1784" s="69">
        <f t="shared" si="100"/>
        <v>0</v>
      </c>
      <c r="L1784" s="71"/>
      <c r="M1784" s="109"/>
      <c r="N1784" s="110"/>
    </row>
    <row r="1785" spans="1:14" ht="15" hidden="1" thickBot="1" x14ac:dyDescent="0.35">
      <c r="A1785" s="20">
        <v>301</v>
      </c>
      <c r="B1785" s="15" t="s">
        <v>959</v>
      </c>
      <c r="C1785" s="20" t="s">
        <v>960</v>
      </c>
      <c r="D1785" s="14" t="s">
        <v>510</v>
      </c>
      <c r="E1785" s="15" t="s">
        <v>500</v>
      </c>
      <c r="F1785" s="15">
        <v>1</v>
      </c>
      <c r="G1785" s="16">
        <f t="shared" si="99"/>
        <v>885</v>
      </c>
      <c r="H1785" s="26">
        <v>885</v>
      </c>
      <c r="I1785" s="16">
        <f t="shared" si="101"/>
        <v>0</v>
      </c>
      <c r="J1785" s="32">
        <v>885</v>
      </c>
      <c r="K1785" s="69">
        <f t="shared" si="100"/>
        <v>0</v>
      </c>
      <c r="L1785" s="71"/>
      <c r="M1785" s="109"/>
      <c r="N1785" s="110"/>
    </row>
    <row r="1786" spans="1:14" ht="15" hidden="1" thickBot="1" x14ac:dyDescent="0.35">
      <c r="A1786" s="20">
        <v>301</v>
      </c>
      <c r="B1786" s="15" t="s">
        <v>959</v>
      </c>
      <c r="C1786" s="20" t="s">
        <v>960</v>
      </c>
      <c r="D1786" s="14" t="s">
        <v>510</v>
      </c>
      <c r="E1786" s="15" t="s">
        <v>504</v>
      </c>
      <c r="F1786" s="15">
        <v>1</v>
      </c>
      <c r="G1786" s="16">
        <f t="shared" si="99"/>
        <v>885</v>
      </c>
      <c r="H1786" s="26">
        <v>885</v>
      </c>
      <c r="I1786" s="16">
        <f t="shared" si="101"/>
        <v>0</v>
      </c>
      <c r="J1786" s="32">
        <v>885</v>
      </c>
      <c r="K1786" s="69">
        <f t="shared" si="100"/>
        <v>0</v>
      </c>
      <c r="L1786" s="71"/>
      <c r="M1786" s="109"/>
      <c r="N1786" s="110"/>
    </row>
    <row r="1787" spans="1:14" ht="15" hidden="1" thickBot="1" x14ac:dyDescent="0.35">
      <c r="A1787" s="20">
        <v>301</v>
      </c>
      <c r="B1787" s="15" t="s">
        <v>959</v>
      </c>
      <c r="C1787" s="20" t="s">
        <v>960</v>
      </c>
      <c r="D1787" s="14" t="s">
        <v>510</v>
      </c>
      <c r="E1787" s="15" t="s">
        <v>506</v>
      </c>
      <c r="F1787" s="15">
        <v>1</v>
      </c>
      <c r="G1787" s="16">
        <f t="shared" si="99"/>
        <v>885</v>
      </c>
      <c r="H1787" s="26">
        <v>885</v>
      </c>
      <c r="I1787" s="16">
        <f>J1787-H1787</f>
        <v>0</v>
      </c>
      <c r="J1787" s="32">
        <v>885</v>
      </c>
      <c r="K1787" s="69">
        <f t="shared" si="100"/>
        <v>0</v>
      </c>
      <c r="L1787" s="71"/>
      <c r="M1787" s="109"/>
      <c r="N1787" s="110"/>
    </row>
    <row r="1788" spans="1:14" ht="15" hidden="1" thickBot="1" x14ac:dyDescent="0.35">
      <c r="A1788" s="20">
        <v>301</v>
      </c>
      <c r="B1788" s="15" t="s">
        <v>959</v>
      </c>
      <c r="C1788" s="20" t="s">
        <v>960</v>
      </c>
      <c r="D1788" s="14" t="s">
        <v>510</v>
      </c>
      <c r="E1788" s="15" t="s">
        <v>512</v>
      </c>
      <c r="F1788" s="15">
        <v>1</v>
      </c>
      <c r="G1788" s="16">
        <f t="shared" si="99"/>
        <v>885</v>
      </c>
      <c r="H1788" s="26">
        <v>885</v>
      </c>
      <c r="I1788" s="16">
        <f>J1788-H1788</f>
        <v>0</v>
      </c>
      <c r="J1788" s="32">
        <v>885</v>
      </c>
      <c r="K1788" s="69">
        <f t="shared" si="100"/>
        <v>0</v>
      </c>
      <c r="L1788" s="71"/>
      <c r="M1788" s="109"/>
      <c r="N1788" s="110"/>
    </row>
    <row r="1789" spans="1:14" ht="15" hidden="1" thickBot="1" x14ac:dyDescent="0.35">
      <c r="A1789" s="20">
        <v>301</v>
      </c>
      <c r="B1789" s="15" t="s">
        <v>959</v>
      </c>
      <c r="C1789" s="20" t="s">
        <v>960</v>
      </c>
      <c r="D1789" s="14" t="s">
        <v>510</v>
      </c>
      <c r="E1789" s="15" t="s">
        <v>509</v>
      </c>
      <c r="F1789" s="15">
        <v>1</v>
      </c>
      <c r="G1789" s="16">
        <f t="shared" si="99"/>
        <v>885</v>
      </c>
      <c r="H1789" s="26">
        <v>885</v>
      </c>
      <c r="I1789" s="16">
        <f>J1789-H1789</f>
        <v>0</v>
      </c>
      <c r="J1789" s="32">
        <v>885</v>
      </c>
      <c r="K1789" s="69">
        <f t="shared" si="100"/>
        <v>0</v>
      </c>
      <c r="L1789" s="71"/>
      <c r="M1789" s="109"/>
      <c r="N1789" s="110"/>
    </row>
    <row r="1790" spans="1:14" ht="15" hidden="1" thickBot="1" x14ac:dyDescent="0.35">
      <c r="A1790" s="20">
        <v>301</v>
      </c>
      <c r="B1790" s="15" t="s">
        <v>959</v>
      </c>
      <c r="C1790" s="20" t="s">
        <v>960</v>
      </c>
      <c r="D1790" s="14" t="s">
        <v>510</v>
      </c>
      <c r="E1790" s="15" t="s">
        <v>499</v>
      </c>
      <c r="F1790" s="15">
        <v>1</v>
      </c>
      <c r="G1790" s="16">
        <f t="shared" si="99"/>
        <v>885</v>
      </c>
      <c r="H1790" s="26">
        <v>885</v>
      </c>
      <c r="I1790" s="16">
        <f t="shared" si="101"/>
        <v>0</v>
      </c>
      <c r="J1790" s="32">
        <v>885</v>
      </c>
      <c r="K1790" s="69">
        <f t="shared" si="100"/>
        <v>0</v>
      </c>
      <c r="L1790" s="71"/>
      <c r="M1790" s="109"/>
      <c r="N1790" s="110"/>
    </row>
    <row r="1791" spans="1:14" ht="15" hidden="1" thickBot="1" x14ac:dyDescent="0.35">
      <c r="A1791" s="20">
        <v>302</v>
      </c>
      <c r="B1791" s="15" t="s">
        <v>961</v>
      </c>
      <c r="C1791" s="20" t="s">
        <v>793</v>
      </c>
      <c r="D1791" s="14" t="s">
        <v>614</v>
      </c>
      <c r="E1791" s="15" t="s">
        <v>503</v>
      </c>
      <c r="F1791" s="15">
        <v>1</v>
      </c>
      <c r="G1791" s="16">
        <f t="shared" si="99"/>
        <v>921</v>
      </c>
      <c r="H1791" s="26">
        <v>921</v>
      </c>
      <c r="I1791" s="16">
        <f t="shared" si="101"/>
        <v>0</v>
      </c>
      <c r="J1791" s="32">
        <v>921</v>
      </c>
      <c r="K1791" s="69">
        <f t="shared" si="100"/>
        <v>0</v>
      </c>
      <c r="L1791" s="71"/>
      <c r="M1791" s="109"/>
      <c r="N1791" s="110"/>
    </row>
    <row r="1792" spans="1:14" ht="15" hidden="1" thickBot="1" x14ac:dyDescent="0.35">
      <c r="A1792" s="14">
        <v>302</v>
      </c>
      <c r="B1792" s="15" t="s">
        <v>961</v>
      </c>
      <c r="C1792" s="20" t="s">
        <v>793</v>
      </c>
      <c r="D1792" s="14" t="s">
        <v>510</v>
      </c>
      <c r="E1792" s="15" t="s">
        <v>503</v>
      </c>
      <c r="F1792" s="15">
        <v>1</v>
      </c>
      <c r="G1792" s="16">
        <f t="shared" si="99"/>
        <v>822</v>
      </c>
      <c r="H1792" s="26">
        <v>822</v>
      </c>
      <c r="I1792" s="16">
        <f t="shared" si="101"/>
        <v>0</v>
      </c>
      <c r="J1792" s="32">
        <v>822</v>
      </c>
      <c r="K1792" s="69">
        <f t="shared" si="100"/>
        <v>0</v>
      </c>
      <c r="L1792" s="71"/>
      <c r="M1792" s="109"/>
      <c r="N1792" s="110"/>
    </row>
    <row r="1793" spans="1:14" ht="15" hidden="1" thickBot="1" x14ac:dyDescent="0.35">
      <c r="A1793" s="20">
        <v>303</v>
      </c>
      <c r="B1793" s="15" t="s">
        <v>962</v>
      </c>
      <c r="C1793" s="20" t="s">
        <v>605</v>
      </c>
      <c r="D1793" s="14" t="s">
        <v>618</v>
      </c>
      <c r="E1793" s="15" t="s">
        <v>509</v>
      </c>
      <c r="F1793" s="15">
        <v>11</v>
      </c>
      <c r="G1793" s="16">
        <f t="shared" si="99"/>
        <v>46725</v>
      </c>
      <c r="H1793" s="26">
        <v>47100</v>
      </c>
      <c r="I1793" s="16">
        <f t="shared" si="101"/>
        <v>0</v>
      </c>
      <c r="J1793" s="32">
        <v>47100</v>
      </c>
      <c r="K1793" s="69">
        <f t="shared" si="100"/>
        <v>0</v>
      </c>
      <c r="L1793" s="71">
        <v>375</v>
      </c>
      <c r="M1793" s="109">
        <v>375</v>
      </c>
      <c r="N1793" s="110">
        <v>0.77</v>
      </c>
    </row>
    <row r="1794" spans="1:14" ht="15" hidden="1" thickBot="1" x14ac:dyDescent="0.35">
      <c r="A1794" s="20">
        <v>303</v>
      </c>
      <c r="B1794" s="15" t="s">
        <v>962</v>
      </c>
      <c r="C1794" s="20" t="s">
        <v>605</v>
      </c>
      <c r="D1794" s="14" t="s">
        <v>670</v>
      </c>
      <c r="E1794" s="15" t="s">
        <v>506</v>
      </c>
      <c r="F1794" s="15">
        <v>10</v>
      </c>
      <c r="G1794" s="16">
        <f t="shared" si="99"/>
        <v>52745</v>
      </c>
      <c r="H1794" s="26">
        <v>54425</v>
      </c>
      <c r="I1794" s="16">
        <f t="shared" si="101"/>
        <v>0</v>
      </c>
      <c r="J1794" s="32">
        <v>54425</v>
      </c>
      <c r="K1794" s="69">
        <f t="shared" si="100"/>
        <v>0</v>
      </c>
      <c r="L1794" s="71">
        <v>1680</v>
      </c>
      <c r="M1794" s="109">
        <v>1680</v>
      </c>
      <c r="N1794" s="110">
        <v>0.77</v>
      </c>
    </row>
    <row r="1795" spans="1:14" ht="15" hidden="1" thickBot="1" x14ac:dyDescent="0.35">
      <c r="A1795" s="20">
        <v>303</v>
      </c>
      <c r="B1795" s="15" t="s">
        <v>962</v>
      </c>
      <c r="C1795" s="20" t="s">
        <v>605</v>
      </c>
      <c r="D1795" s="14" t="s">
        <v>1061</v>
      </c>
      <c r="E1795" s="15" t="s">
        <v>508</v>
      </c>
      <c r="F1795" s="15">
        <v>12</v>
      </c>
      <c r="G1795" s="16">
        <f t="shared" ref="G1795:G1858" si="102">H1795-M1795</f>
        <v>48730</v>
      </c>
      <c r="H1795" s="26">
        <v>51415</v>
      </c>
      <c r="I1795" s="16">
        <f t="shared" si="101"/>
        <v>0</v>
      </c>
      <c r="J1795" s="32">
        <v>51415</v>
      </c>
      <c r="K1795" s="69">
        <f t="shared" si="100"/>
        <v>0</v>
      </c>
      <c r="L1795" s="71">
        <v>2685</v>
      </c>
      <c r="M1795" s="109">
        <v>2685</v>
      </c>
      <c r="N1795" s="110">
        <v>0.87</v>
      </c>
    </row>
    <row r="1796" spans="1:14" ht="15" hidden="1" thickBot="1" x14ac:dyDescent="0.35">
      <c r="A1796" s="20">
        <v>303</v>
      </c>
      <c r="B1796" s="15" t="s">
        <v>962</v>
      </c>
      <c r="C1796" s="20" t="s">
        <v>605</v>
      </c>
      <c r="D1796" s="14" t="s">
        <v>1043</v>
      </c>
      <c r="E1796" s="15" t="s">
        <v>500</v>
      </c>
      <c r="F1796" s="15">
        <v>9</v>
      </c>
      <c r="G1796" s="16">
        <f t="shared" si="102"/>
        <v>39365</v>
      </c>
      <c r="H1796" s="26">
        <v>42075</v>
      </c>
      <c r="I1796" s="16">
        <f t="shared" si="101"/>
        <v>0</v>
      </c>
      <c r="J1796" s="32">
        <v>42075</v>
      </c>
      <c r="K1796" s="69">
        <f t="shared" si="100"/>
        <v>0</v>
      </c>
      <c r="L1796" s="71">
        <v>2710</v>
      </c>
      <c r="M1796" s="109">
        <v>2710</v>
      </c>
      <c r="N1796" s="110">
        <v>0.67</v>
      </c>
    </row>
    <row r="1797" spans="1:14" ht="15" hidden="1" thickBot="1" x14ac:dyDescent="0.35">
      <c r="A1797" s="20">
        <v>303</v>
      </c>
      <c r="B1797" s="15" t="s">
        <v>962</v>
      </c>
      <c r="C1797" s="20" t="s">
        <v>605</v>
      </c>
      <c r="D1797" s="14" t="s">
        <v>1076</v>
      </c>
      <c r="E1797" s="15" t="s">
        <v>512</v>
      </c>
      <c r="F1797" s="15">
        <v>12</v>
      </c>
      <c r="G1797" s="16">
        <f t="shared" si="102"/>
        <v>29940</v>
      </c>
      <c r="H1797" s="26">
        <v>33750</v>
      </c>
      <c r="I1797" s="16">
        <f t="shared" si="101"/>
        <v>0</v>
      </c>
      <c r="J1797" s="32">
        <v>33750</v>
      </c>
      <c r="K1797" s="69">
        <f t="shared" si="100"/>
        <v>0</v>
      </c>
      <c r="L1797" s="71">
        <v>3810</v>
      </c>
      <c r="M1797" s="109">
        <v>3810</v>
      </c>
      <c r="N1797" s="110">
        <v>0.87</v>
      </c>
    </row>
    <row r="1798" spans="1:14" ht="15" hidden="1" thickBot="1" x14ac:dyDescent="0.35">
      <c r="A1798" s="20">
        <v>303</v>
      </c>
      <c r="B1798" s="15" t="s">
        <v>962</v>
      </c>
      <c r="C1798" s="20" t="s">
        <v>605</v>
      </c>
      <c r="D1798" s="14" t="s">
        <v>1570</v>
      </c>
      <c r="E1798" s="15" t="s">
        <v>504</v>
      </c>
      <c r="F1798" s="15">
        <v>6</v>
      </c>
      <c r="G1798" s="16">
        <f t="shared" si="102"/>
        <v>9580</v>
      </c>
      <c r="H1798" s="26">
        <v>11340</v>
      </c>
      <c r="I1798" s="16">
        <f t="shared" si="101"/>
        <v>0</v>
      </c>
      <c r="J1798" s="32">
        <v>11340</v>
      </c>
      <c r="K1798" s="69">
        <f t="shared" ref="K1798:K1865" si="103">M1798-L1798</f>
        <v>0</v>
      </c>
      <c r="L1798" s="71">
        <v>1760</v>
      </c>
      <c r="M1798" s="109">
        <v>1760</v>
      </c>
      <c r="N1798" s="110">
        <v>0.9</v>
      </c>
    </row>
    <row r="1799" spans="1:14" ht="15" hidden="1" thickBot="1" x14ac:dyDescent="0.35">
      <c r="A1799" s="20">
        <v>304</v>
      </c>
      <c r="B1799" s="15" t="s">
        <v>963</v>
      </c>
      <c r="C1799" s="20" t="s">
        <v>648</v>
      </c>
      <c r="D1799" s="14" t="s">
        <v>614</v>
      </c>
      <c r="E1799" s="15" t="s">
        <v>509</v>
      </c>
      <c r="F1799" s="15">
        <v>3</v>
      </c>
      <c r="G1799" s="16">
        <f t="shared" si="102"/>
        <v>2625</v>
      </c>
      <c r="H1799" s="26">
        <v>3120</v>
      </c>
      <c r="I1799" s="16">
        <f t="shared" si="101"/>
        <v>0</v>
      </c>
      <c r="J1799" s="32">
        <v>3120</v>
      </c>
      <c r="K1799" s="69">
        <f t="shared" si="103"/>
        <v>0</v>
      </c>
      <c r="L1799" s="71">
        <v>495</v>
      </c>
      <c r="M1799" s="109">
        <v>495</v>
      </c>
      <c r="N1799" s="110">
        <v>1</v>
      </c>
    </row>
    <row r="1800" spans="1:14" ht="15" hidden="1" thickBot="1" x14ac:dyDescent="0.35">
      <c r="A1800" s="20">
        <v>304</v>
      </c>
      <c r="B1800" s="15" t="s">
        <v>963</v>
      </c>
      <c r="C1800" s="20" t="s">
        <v>648</v>
      </c>
      <c r="D1800" s="14" t="s">
        <v>510</v>
      </c>
      <c r="E1800" s="15" t="s">
        <v>509</v>
      </c>
      <c r="F1800" s="15">
        <v>2</v>
      </c>
      <c r="G1800" s="16">
        <f t="shared" si="102"/>
        <v>2600</v>
      </c>
      <c r="H1800" s="26">
        <v>2960</v>
      </c>
      <c r="I1800" s="16">
        <f t="shared" si="101"/>
        <v>0</v>
      </c>
      <c r="J1800" s="32">
        <v>2960</v>
      </c>
      <c r="K1800" s="69">
        <f t="shared" si="103"/>
        <v>0</v>
      </c>
      <c r="L1800" s="71">
        <v>360</v>
      </c>
      <c r="M1800" s="109">
        <v>360</v>
      </c>
      <c r="N1800" s="110">
        <v>1</v>
      </c>
    </row>
    <row r="1801" spans="1:14" ht="15" hidden="1" thickBot="1" x14ac:dyDescent="0.35">
      <c r="A1801" s="20">
        <v>304</v>
      </c>
      <c r="B1801" s="15" t="s">
        <v>963</v>
      </c>
      <c r="C1801" s="20" t="s">
        <v>793</v>
      </c>
      <c r="D1801" s="14" t="s">
        <v>614</v>
      </c>
      <c r="E1801" s="15" t="s">
        <v>509</v>
      </c>
      <c r="F1801" s="15">
        <v>2</v>
      </c>
      <c r="G1801" s="16">
        <f t="shared" si="102"/>
        <v>1766.7</v>
      </c>
      <c r="H1801" s="26">
        <v>1766.7</v>
      </c>
      <c r="I1801" s="16">
        <f t="shared" si="101"/>
        <v>0</v>
      </c>
      <c r="J1801" s="32">
        <v>1766.7</v>
      </c>
      <c r="K1801" s="69">
        <f t="shared" si="103"/>
        <v>0</v>
      </c>
      <c r="L1801" s="71"/>
      <c r="M1801" s="109"/>
      <c r="N1801" s="110"/>
    </row>
    <row r="1802" spans="1:14" ht="15" hidden="1" thickBot="1" x14ac:dyDescent="0.35">
      <c r="A1802" s="20">
        <v>304</v>
      </c>
      <c r="B1802" s="15" t="s">
        <v>963</v>
      </c>
      <c r="C1802" s="20" t="s">
        <v>793</v>
      </c>
      <c r="D1802" s="14" t="s">
        <v>694</v>
      </c>
      <c r="E1802" s="15" t="s">
        <v>509</v>
      </c>
      <c r="F1802" s="15">
        <v>2</v>
      </c>
      <c r="G1802" s="16">
        <f t="shared" si="102"/>
        <v>2808</v>
      </c>
      <c r="H1802" s="26">
        <v>2808</v>
      </c>
      <c r="I1802" s="16">
        <f t="shared" si="101"/>
        <v>0</v>
      </c>
      <c r="J1802" s="32">
        <v>2808</v>
      </c>
      <c r="K1802" s="69">
        <f t="shared" si="103"/>
        <v>0</v>
      </c>
      <c r="L1802" s="71"/>
      <c r="M1802" s="109"/>
      <c r="N1802" s="110">
        <v>0.9</v>
      </c>
    </row>
    <row r="1803" spans="1:14" ht="15" hidden="1" thickBot="1" x14ac:dyDescent="0.35">
      <c r="A1803" s="14">
        <v>304</v>
      </c>
      <c r="B1803" s="15" t="s">
        <v>963</v>
      </c>
      <c r="C1803" s="20" t="s">
        <v>793</v>
      </c>
      <c r="D1803" s="14" t="s">
        <v>510</v>
      </c>
      <c r="E1803" s="15" t="s">
        <v>509</v>
      </c>
      <c r="F1803" s="15">
        <v>2</v>
      </c>
      <c r="G1803" s="16">
        <f t="shared" si="102"/>
        <v>1310.4000000000001</v>
      </c>
      <c r="H1803" s="26">
        <v>1310.4000000000001</v>
      </c>
      <c r="I1803" s="16">
        <f>J1803-H1803</f>
        <v>0</v>
      </c>
      <c r="J1803" s="32">
        <v>1310.4000000000001</v>
      </c>
      <c r="K1803" s="69">
        <f t="shared" si="103"/>
        <v>0</v>
      </c>
      <c r="L1803" s="71"/>
      <c r="M1803" s="109"/>
      <c r="N1803" s="110"/>
    </row>
    <row r="1804" spans="1:14" ht="15" hidden="1" thickBot="1" x14ac:dyDescent="0.35">
      <c r="A1804" s="27">
        <v>305</v>
      </c>
      <c r="B1804" s="15" t="s">
        <v>964</v>
      </c>
      <c r="C1804" s="14" t="s">
        <v>648</v>
      </c>
      <c r="D1804" s="14" t="s">
        <v>497</v>
      </c>
      <c r="E1804" s="15" t="s">
        <v>14</v>
      </c>
      <c r="F1804" s="15">
        <v>2</v>
      </c>
      <c r="G1804" s="16">
        <f t="shared" si="102"/>
        <v>79275</v>
      </c>
      <c r="H1804" s="26">
        <v>79275</v>
      </c>
      <c r="I1804" s="16">
        <f t="shared" si="101"/>
        <v>0</v>
      </c>
      <c r="J1804" s="32">
        <v>79275</v>
      </c>
      <c r="K1804" s="69">
        <f t="shared" si="103"/>
        <v>0</v>
      </c>
      <c r="L1804" s="71"/>
      <c r="M1804" s="109"/>
      <c r="N1804" s="110"/>
    </row>
    <row r="1805" spans="1:14" ht="15" hidden="1" thickBot="1" x14ac:dyDescent="0.35">
      <c r="A1805" s="14">
        <v>306</v>
      </c>
      <c r="B1805" s="15" t="s">
        <v>965</v>
      </c>
      <c r="C1805" s="14" t="s">
        <v>991</v>
      </c>
      <c r="D1805" s="14" t="s">
        <v>497</v>
      </c>
      <c r="E1805" s="15" t="s">
        <v>14</v>
      </c>
      <c r="F1805" s="15">
        <v>2</v>
      </c>
      <c r="G1805" s="16">
        <f t="shared" si="102"/>
        <v>113100</v>
      </c>
      <c r="H1805" s="26">
        <v>113100</v>
      </c>
      <c r="I1805" s="16">
        <f t="shared" si="101"/>
        <v>0</v>
      </c>
      <c r="J1805" s="32">
        <v>113100</v>
      </c>
      <c r="K1805" s="69">
        <f t="shared" si="103"/>
        <v>0</v>
      </c>
      <c r="L1805" s="71"/>
      <c r="M1805" s="109"/>
      <c r="N1805" s="110"/>
    </row>
    <row r="1806" spans="1:14" ht="15" hidden="1" thickBot="1" x14ac:dyDescent="0.35">
      <c r="A1806" s="14">
        <v>307</v>
      </c>
      <c r="B1806" s="15" t="s">
        <v>969</v>
      </c>
      <c r="C1806" s="20" t="s">
        <v>875</v>
      </c>
      <c r="D1806" s="14" t="s">
        <v>614</v>
      </c>
      <c r="E1806" s="15" t="s">
        <v>500</v>
      </c>
      <c r="F1806" s="15">
        <v>3</v>
      </c>
      <c r="G1806" s="16">
        <f t="shared" si="102"/>
        <v>13394.1</v>
      </c>
      <c r="H1806" s="16">
        <v>15874.1</v>
      </c>
      <c r="I1806" s="16">
        <f t="shared" si="101"/>
        <v>0</v>
      </c>
      <c r="J1806" s="31">
        <v>15874.1</v>
      </c>
      <c r="K1806" s="69">
        <f t="shared" si="103"/>
        <v>0</v>
      </c>
      <c r="L1806" s="50">
        <v>2480</v>
      </c>
      <c r="M1806" s="109">
        <v>2480</v>
      </c>
      <c r="N1806" s="110">
        <v>0.9</v>
      </c>
    </row>
    <row r="1807" spans="1:14" ht="15" hidden="1" thickBot="1" x14ac:dyDescent="0.35">
      <c r="A1807" s="14">
        <v>307</v>
      </c>
      <c r="B1807" s="15" t="s">
        <v>969</v>
      </c>
      <c r="C1807" s="20" t="s">
        <v>875</v>
      </c>
      <c r="D1807" s="14" t="s">
        <v>614</v>
      </c>
      <c r="E1807" s="15" t="s">
        <v>512</v>
      </c>
      <c r="F1807" s="15">
        <v>3</v>
      </c>
      <c r="G1807" s="16">
        <f t="shared" si="102"/>
        <v>13728</v>
      </c>
      <c r="H1807" s="16">
        <v>18126</v>
      </c>
      <c r="I1807" s="16">
        <f t="shared" si="101"/>
        <v>0</v>
      </c>
      <c r="J1807" s="31">
        <v>18126</v>
      </c>
      <c r="K1807" s="69">
        <f t="shared" si="103"/>
        <v>0</v>
      </c>
      <c r="L1807" s="50">
        <v>4398</v>
      </c>
      <c r="M1807" s="109">
        <v>4398</v>
      </c>
      <c r="N1807" s="110">
        <v>0.9</v>
      </c>
    </row>
    <row r="1808" spans="1:14" ht="15" hidden="1" thickBot="1" x14ac:dyDescent="0.35">
      <c r="A1808" s="14">
        <v>307</v>
      </c>
      <c r="B1808" s="15" t="s">
        <v>969</v>
      </c>
      <c r="C1808" s="20" t="s">
        <v>875</v>
      </c>
      <c r="D1808" s="14" t="s">
        <v>614</v>
      </c>
      <c r="E1808" s="15" t="s">
        <v>504</v>
      </c>
      <c r="F1808" s="15">
        <v>3</v>
      </c>
      <c r="G1808" s="16">
        <f t="shared" si="102"/>
        <v>15333.8</v>
      </c>
      <c r="H1808" s="16">
        <v>19731.8</v>
      </c>
      <c r="I1808" s="16">
        <f t="shared" si="101"/>
        <v>0</v>
      </c>
      <c r="J1808" s="31">
        <v>19731.8</v>
      </c>
      <c r="K1808" s="69">
        <f t="shared" si="103"/>
        <v>0</v>
      </c>
      <c r="L1808" s="50">
        <v>4398</v>
      </c>
      <c r="M1808" s="109">
        <v>4398</v>
      </c>
      <c r="N1808" s="110">
        <v>0.9</v>
      </c>
    </row>
    <row r="1809" spans="1:14" ht="15" hidden="1" thickBot="1" x14ac:dyDescent="0.35">
      <c r="A1809" s="14">
        <v>307</v>
      </c>
      <c r="B1809" s="15" t="s">
        <v>969</v>
      </c>
      <c r="C1809" s="20" t="s">
        <v>875</v>
      </c>
      <c r="D1809" s="14" t="s">
        <v>614</v>
      </c>
      <c r="E1809" s="15" t="s">
        <v>509</v>
      </c>
      <c r="F1809" s="15">
        <v>3</v>
      </c>
      <c r="G1809" s="16">
        <f t="shared" si="102"/>
        <v>14631</v>
      </c>
      <c r="H1809" s="16">
        <v>17079</v>
      </c>
      <c r="I1809" s="16">
        <f t="shared" si="101"/>
        <v>0</v>
      </c>
      <c r="J1809" s="31">
        <v>17079</v>
      </c>
      <c r="K1809" s="69">
        <f t="shared" si="103"/>
        <v>0</v>
      </c>
      <c r="L1809" s="50">
        <v>2448</v>
      </c>
      <c r="M1809" s="109">
        <v>2448</v>
      </c>
      <c r="N1809" s="110">
        <v>0.9</v>
      </c>
    </row>
    <row r="1810" spans="1:14" ht="15" hidden="1" thickBot="1" x14ac:dyDescent="0.35">
      <c r="A1810" s="14">
        <v>307</v>
      </c>
      <c r="B1810" s="15" t="s">
        <v>969</v>
      </c>
      <c r="C1810" s="20" t="s">
        <v>875</v>
      </c>
      <c r="D1810" s="14" t="s">
        <v>513</v>
      </c>
      <c r="E1810" s="15" t="s">
        <v>546</v>
      </c>
      <c r="F1810" s="15">
        <v>3</v>
      </c>
      <c r="G1810" s="16">
        <f t="shared" si="102"/>
        <v>7923.5</v>
      </c>
      <c r="H1810" s="16">
        <v>11441</v>
      </c>
      <c r="I1810" s="16">
        <f t="shared" si="101"/>
        <v>0</v>
      </c>
      <c r="J1810" s="31">
        <v>11441</v>
      </c>
      <c r="K1810" s="69">
        <f t="shared" si="103"/>
        <v>0</v>
      </c>
      <c r="L1810" s="50">
        <v>3517.5</v>
      </c>
      <c r="M1810" s="109">
        <v>3517.5</v>
      </c>
      <c r="N1810" s="110">
        <v>0.9</v>
      </c>
    </row>
    <row r="1811" spans="1:14" ht="15" hidden="1" thickBot="1" x14ac:dyDescent="0.35">
      <c r="A1811" s="14">
        <v>307</v>
      </c>
      <c r="B1811" s="15" t="s">
        <v>969</v>
      </c>
      <c r="C1811" s="20" t="s">
        <v>875</v>
      </c>
      <c r="D1811" s="14" t="s">
        <v>548</v>
      </c>
      <c r="E1811" s="15" t="s">
        <v>504</v>
      </c>
      <c r="F1811" s="15">
        <v>3</v>
      </c>
      <c r="G1811" s="16">
        <f t="shared" si="102"/>
        <v>8017</v>
      </c>
      <c r="H1811" s="16">
        <v>11145</v>
      </c>
      <c r="I1811" s="16">
        <f t="shared" si="101"/>
        <v>0</v>
      </c>
      <c r="J1811" s="31">
        <v>11145</v>
      </c>
      <c r="K1811" s="69">
        <f t="shared" si="103"/>
        <v>0</v>
      </c>
      <c r="L1811" s="50">
        <v>3128</v>
      </c>
      <c r="M1811" s="109">
        <v>3128</v>
      </c>
      <c r="N1811" s="110">
        <v>0.9</v>
      </c>
    </row>
    <row r="1812" spans="1:14" ht="15" hidden="1" thickBot="1" x14ac:dyDescent="0.35">
      <c r="A1812" s="14">
        <v>307</v>
      </c>
      <c r="B1812" s="15" t="s">
        <v>969</v>
      </c>
      <c r="C1812" s="20" t="s">
        <v>875</v>
      </c>
      <c r="D1812" s="14" t="s">
        <v>510</v>
      </c>
      <c r="E1812" s="15" t="s">
        <v>504</v>
      </c>
      <c r="F1812" s="15">
        <v>2</v>
      </c>
      <c r="G1812" s="16">
        <f t="shared" si="102"/>
        <v>20407.490000000002</v>
      </c>
      <c r="H1812" s="16">
        <v>21332.49</v>
      </c>
      <c r="I1812" s="16">
        <f>J1812-H1812</f>
        <v>0</v>
      </c>
      <c r="J1812" s="31">
        <v>21332.49</v>
      </c>
      <c r="K1812" s="69">
        <f t="shared" si="103"/>
        <v>0</v>
      </c>
      <c r="L1812" s="50">
        <v>925</v>
      </c>
      <c r="M1812" s="109">
        <v>925</v>
      </c>
      <c r="N1812" s="110">
        <v>0.9</v>
      </c>
    </row>
    <row r="1813" spans="1:14" ht="15" hidden="1" thickBot="1" x14ac:dyDescent="0.35">
      <c r="A1813" s="14">
        <v>307</v>
      </c>
      <c r="B1813" s="15" t="s">
        <v>969</v>
      </c>
      <c r="C1813" s="20" t="s">
        <v>875</v>
      </c>
      <c r="D1813" s="14" t="s">
        <v>510</v>
      </c>
      <c r="E1813" s="15" t="s">
        <v>512</v>
      </c>
      <c r="F1813" s="15">
        <v>2</v>
      </c>
      <c r="G1813" s="16">
        <f t="shared" si="102"/>
        <v>19939</v>
      </c>
      <c r="H1813" s="16">
        <v>20864</v>
      </c>
      <c r="I1813" s="16">
        <f>J1813-H1813</f>
        <v>0</v>
      </c>
      <c r="J1813" s="31">
        <v>20864</v>
      </c>
      <c r="K1813" s="69">
        <f t="shared" si="103"/>
        <v>0</v>
      </c>
      <c r="L1813" s="50">
        <v>925</v>
      </c>
      <c r="M1813" s="109">
        <v>925</v>
      </c>
      <c r="N1813" s="110">
        <v>0.9</v>
      </c>
    </row>
    <row r="1814" spans="1:14" ht="15" hidden="1" thickBot="1" x14ac:dyDescent="0.35">
      <c r="A1814" s="14">
        <v>307</v>
      </c>
      <c r="B1814" s="15" t="s">
        <v>969</v>
      </c>
      <c r="C1814" s="20" t="s">
        <v>875</v>
      </c>
      <c r="D1814" s="14" t="s">
        <v>507</v>
      </c>
      <c r="E1814" s="15" t="s">
        <v>504</v>
      </c>
      <c r="F1814" s="15">
        <v>3</v>
      </c>
      <c r="G1814" s="16">
        <f t="shared" si="102"/>
        <v>7950.2800000000007</v>
      </c>
      <c r="H1814" s="16">
        <v>10623.28</v>
      </c>
      <c r="I1814" s="16">
        <f t="shared" si="101"/>
        <v>0</v>
      </c>
      <c r="J1814" s="31">
        <v>10623.28</v>
      </c>
      <c r="K1814" s="69">
        <f t="shared" si="103"/>
        <v>0</v>
      </c>
      <c r="L1814" s="50">
        <v>2673</v>
      </c>
      <c r="M1814" s="109">
        <v>2673</v>
      </c>
      <c r="N1814" s="110">
        <v>0.9</v>
      </c>
    </row>
    <row r="1815" spans="1:14" ht="15" hidden="1" thickBot="1" x14ac:dyDescent="0.35">
      <c r="A1815" s="14">
        <v>307</v>
      </c>
      <c r="B1815" s="15" t="s">
        <v>969</v>
      </c>
      <c r="C1815" s="20" t="s">
        <v>875</v>
      </c>
      <c r="D1815" s="14" t="s">
        <v>505</v>
      </c>
      <c r="E1815" s="15" t="s">
        <v>504</v>
      </c>
      <c r="F1815" s="15">
        <v>3</v>
      </c>
      <c r="G1815" s="16">
        <f t="shared" si="102"/>
        <v>7954.35</v>
      </c>
      <c r="H1815" s="16">
        <v>11764.35</v>
      </c>
      <c r="I1815" s="16">
        <f t="shared" si="101"/>
        <v>0</v>
      </c>
      <c r="J1815" s="31">
        <v>11764.35</v>
      </c>
      <c r="K1815" s="69">
        <f t="shared" si="103"/>
        <v>0</v>
      </c>
      <c r="L1815" s="50">
        <v>3810</v>
      </c>
      <c r="M1815" s="109">
        <v>3810</v>
      </c>
      <c r="N1815" s="110">
        <v>0.9</v>
      </c>
    </row>
    <row r="1816" spans="1:14" ht="15" hidden="1" customHeight="1" thickBot="1" x14ac:dyDescent="0.35">
      <c r="A1816" s="25">
        <v>308</v>
      </c>
      <c r="B1816" s="15" t="s">
        <v>974</v>
      </c>
      <c r="C1816" s="14" t="s">
        <v>973</v>
      </c>
      <c r="D1816" s="14" t="s">
        <v>497</v>
      </c>
      <c r="E1816" s="15" t="s">
        <v>14</v>
      </c>
      <c r="F1816" s="15">
        <v>47</v>
      </c>
      <c r="G1816" s="16">
        <f t="shared" si="102"/>
        <v>1752523.8</v>
      </c>
      <c r="H1816" s="16">
        <v>1752523.8</v>
      </c>
      <c r="I1816" s="16">
        <f t="shared" si="101"/>
        <v>0</v>
      </c>
      <c r="J1816" s="32">
        <v>1752523.8</v>
      </c>
      <c r="K1816" s="69">
        <f t="shared" si="103"/>
        <v>0</v>
      </c>
      <c r="L1816" s="71"/>
      <c r="M1816" s="109"/>
      <c r="N1816" s="110"/>
    </row>
    <row r="1817" spans="1:14" ht="18.600000000000001" hidden="1" customHeight="1" thickBot="1" x14ac:dyDescent="0.35">
      <c r="A1817" s="25">
        <v>309</v>
      </c>
      <c r="B1817" s="15" t="s">
        <v>975</v>
      </c>
      <c r="C1817" s="14" t="s">
        <v>973</v>
      </c>
      <c r="D1817" s="14" t="s">
        <v>497</v>
      </c>
      <c r="E1817" s="15" t="s">
        <v>14</v>
      </c>
      <c r="F1817" s="15">
        <v>3</v>
      </c>
      <c r="G1817" s="16">
        <f t="shared" si="102"/>
        <v>87080</v>
      </c>
      <c r="H1817" s="16">
        <v>87080</v>
      </c>
      <c r="I1817" s="16">
        <f t="shared" si="101"/>
        <v>0</v>
      </c>
      <c r="J1817" s="32">
        <v>87080</v>
      </c>
      <c r="K1817" s="69">
        <f t="shared" si="103"/>
        <v>0</v>
      </c>
      <c r="L1817" s="71"/>
      <c r="M1817" s="109"/>
      <c r="N1817" s="110"/>
    </row>
    <row r="1818" spans="1:14" ht="15" hidden="1" thickBot="1" x14ac:dyDescent="0.35">
      <c r="A1818" s="20">
        <v>310</v>
      </c>
      <c r="B1818" s="15" t="s">
        <v>976</v>
      </c>
      <c r="C1818" s="14" t="s">
        <v>1089</v>
      </c>
      <c r="D1818" s="14" t="s">
        <v>1336</v>
      </c>
      <c r="E1818" s="15" t="s">
        <v>500</v>
      </c>
      <c r="F1818" s="15">
        <v>4</v>
      </c>
      <c r="G1818" s="16">
        <f t="shared" si="102"/>
        <v>19265</v>
      </c>
      <c r="H1818" s="16">
        <v>19265</v>
      </c>
      <c r="I1818" s="16">
        <f t="shared" si="101"/>
        <v>0</v>
      </c>
      <c r="J1818" s="32">
        <v>19265</v>
      </c>
      <c r="K1818" s="69">
        <f t="shared" si="103"/>
        <v>0</v>
      </c>
      <c r="L1818" s="71"/>
      <c r="M1818" s="109"/>
      <c r="N1818" s="110"/>
    </row>
    <row r="1819" spans="1:14" ht="15" hidden="1" thickBot="1" x14ac:dyDescent="0.35">
      <c r="A1819" s="20">
        <v>310</v>
      </c>
      <c r="B1819" s="15" t="s">
        <v>976</v>
      </c>
      <c r="C1819" s="14" t="s">
        <v>1089</v>
      </c>
      <c r="D1819" s="14" t="s">
        <v>1243</v>
      </c>
      <c r="E1819" s="15" t="s">
        <v>14</v>
      </c>
      <c r="F1819" s="15">
        <v>9</v>
      </c>
      <c r="G1819" s="16">
        <f t="shared" si="102"/>
        <v>624711</v>
      </c>
      <c r="H1819" s="16">
        <v>624711</v>
      </c>
      <c r="I1819" s="16">
        <f t="shared" si="101"/>
        <v>0</v>
      </c>
      <c r="J1819" s="32">
        <v>624711</v>
      </c>
      <c r="K1819" s="69">
        <f t="shared" si="103"/>
        <v>0</v>
      </c>
      <c r="L1819" s="71"/>
      <c r="M1819" s="109"/>
      <c r="N1819" s="110"/>
    </row>
    <row r="1820" spans="1:14" ht="15" hidden="1" thickBot="1" x14ac:dyDescent="0.35">
      <c r="A1820" s="20">
        <v>310</v>
      </c>
      <c r="B1820" s="15" t="s">
        <v>976</v>
      </c>
      <c r="C1820" s="14" t="s">
        <v>973</v>
      </c>
      <c r="D1820" s="14" t="s">
        <v>497</v>
      </c>
      <c r="E1820" s="15" t="s">
        <v>14</v>
      </c>
      <c r="F1820" s="15">
        <v>1</v>
      </c>
      <c r="G1820" s="16">
        <f t="shared" si="102"/>
        <v>106720</v>
      </c>
      <c r="H1820" s="16">
        <v>106720</v>
      </c>
      <c r="I1820" s="16">
        <f t="shared" si="101"/>
        <v>0</v>
      </c>
      <c r="J1820" s="32">
        <v>106720</v>
      </c>
      <c r="K1820" s="69">
        <f t="shared" si="103"/>
        <v>0</v>
      </c>
      <c r="L1820" s="71"/>
      <c r="M1820" s="109"/>
      <c r="N1820" s="110"/>
    </row>
    <row r="1821" spans="1:14" ht="15" hidden="1" thickBot="1" x14ac:dyDescent="0.35">
      <c r="A1821" s="14">
        <v>311</v>
      </c>
      <c r="B1821" s="15" t="s">
        <v>1193</v>
      </c>
      <c r="C1821" s="14" t="s">
        <v>973</v>
      </c>
      <c r="D1821" s="14" t="s">
        <v>497</v>
      </c>
      <c r="E1821" s="15" t="s">
        <v>14</v>
      </c>
      <c r="F1821" s="15">
        <v>11</v>
      </c>
      <c r="G1821" s="16">
        <f t="shared" si="102"/>
        <v>710738.5</v>
      </c>
      <c r="H1821" s="16">
        <v>710738.5</v>
      </c>
      <c r="I1821" s="16">
        <f t="shared" si="101"/>
        <v>0</v>
      </c>
      <c r="J1821" s="32">
        <v>710738.5</v>
      </c>
      <c r="K1821" s="69">
        <f t="shared" si="103"/>
        <v>0</v>
      </c>
      <c r="L1821" s="71"/>
      <c r="M1821" s="109"/>
      <c r="N1821" s="110"/>
    </row>
    <row r="1822" spans="1:14" ht="15" hidden="1" thickBot="1" x14ac:dyDescent="0.35">
      <c r="A1822" s="25">
        <v>312</v>
      </c>
      <c r="B1822" s="15" t="s">
        <v>979</v>
      </c>
      <c r="C1822" s="14" t="s">
        <v>906</v>
      </c>
      <c r="D1822" s="14" t="s">
        <v>980</v>
      </c>
      <c r="E1822" s="15" t="s">
        <v>503</v>
      </c>
      <c r="F1822" s="15">
        <v>10</v>
      </c>
      <c r="G1822" s="16">
        <f t="shared" si="102"/>
        <v>346830</v>
      </c>
      <c r="H1822" s="16">
        <v>355560</v>
      </c>
      <c r="I1822" s="16">
        <f t="shared" si="101"/>
        <v>0</v>
      </c>
      <c r="J1822" s="32">
        <v>355560</v>
      </c>
      <c r="K1822" s="69">
        <f t="shared" si="103"/>
        <v>0</v>
      </c>
      <c r="L1822" s="71">
        <v>8730</v>
      </c>
      <c r="M1822" s="109">
        <v>8730</v>
      </c>
      <c r="N1822" s="110">
        <v>0.9</v>
      </c>
    </row>
    <row r="1823" spans="1:14" ht="15" hidden="1" thickBot="1" x14ac:dyDescent="0.35">
      <c r="A1823" s="25">
        <v>312</v>
      </c>
      <c r="B1823" s="15" t="s">
        <v>979</v>
      </c>
      <c r="C1823" s="14" t="s">
        <v>906</v>
      </c>
      <c r="D1823" s="14" t="s">
        <v>1226</v>
      </c>
      <c r="E1823" s="15" t="s">
        <v>503</v>
      </c>
      <c r="F1823" s="15">
        <v>3</v>
      </c>
      <c r="G1823" s="16">
        <f t="shared" si="102"/>
        <v>36049</v>
      </c>
      <c r="H1823" s="16">
        <v>39049</v>
      </c>
      <c r="I1823" s="16">
        <f t="shared" si="101"/>
        <v>0</v>
      </c>
      <c r="J1823" s="32">
        <v>39049</v>
      </c>
      <c r="K1823" s="69">
        <f t="shared" si="103"/>
        <v>0</v>
      </c>
      <c r="L1823" s="71">
        <v>3000</v>
      </c>
      <c r="M1823" s="109">
        <v>3000</v>
      </c>
      <c r="N1823" s="110" t="s">
        <v>1227</v>
      </c>
    </row>
    <row r="1824" spans="1:14" ht="15" hidden="1" thickBot="1" x14ac:dyDescent="0.35">
      <c r="A1824" s="25">
        <v>313</v>
      </c>
      <c r="B1824" s="15" t="s">
        <v>982</v>
      </c>
      <c r="C1824" s="14" t="s">
        <v>602</v>
      </c>
      <c r="D1824" s="14" t="s">
        <v>1051</v>
      </c>
      <c r="E1824" s="15" t="s">
        <v>500</v>
      </c>
      <c r="F1824" s="15">
        <v>2</v>
      </c>
      <c r="G1824" s="16">
        <f t="shared" si="102"/>
        <v>3851</v>
      </c>
      <c r="H1824" s="16">
        <v>3851</v>
      </c>
      <c r="I1824" s="16">
        <f t="shared" si="101"/>
        <v>0</v>
      </c>
      <c r="J1824" s="32">
        <v>3851</v>
      </c>
      <c r="K1824" s="69">
        <f t="shared" si="103"/>
        <v>0</v>
      </c>
      <c r="L1824" s="71"/>
      <c r="M1824" s="109"/>
      <c r="N1824" s="110"/>
    </row>
    <row r="1825" spans="1:14" ht="15" hidden="1" thickBot="1" x14ac:dyDescent="0.35">
      <c r="A1825" s="25">
        <v>314</v>
      </c>
      <c r="B1825" s="15" t="s">
        <v>984</v>
      </c>
      <c r="C1825" s="14" t="s">
        <v>664</v>
      </c>
      <c r="D1825" s="14" t="s">
        <v>985</v>
      </c>
      <c r="E1825" s="15" t="s">
        <v>506</v>
      </c>
      <c r="F1825" s="15">
        <v>6</v>
      </c>
      <c r="G1825" s="16">
        <f t="shared" si="102"/>
        <v>72598</v>
      </c>
      <c r="H1825" s="16">
        <v>78958</v>
      </c>
      <c r="I1825" s="16">
        <f t="shared" si="101"/>
        <v>0</v>
      </c>
      <c r="J1825" s="32">
        <v>78958</v>
      </c>
      <c r="K1825" s="69">
        <f t="shared" si="103"/>
        <v>0</v>
      </c>
      <c r="L1825" s="71">
        <v>6360</v>
      </c>
      <c r="M1825" s="109">
        <v>6360</v>
      </c>
      <c r="N1825" s="110">
        <v>0.95</v>
      </c>
    </row>
    <row r="1826" spans="1:14" ht="15" hidden="1" thickBot="1" x14ac:dyDescent="0.35">
      <c r="A1826" s="25">
        <v>314</v>
      </c>
      <c r="B1826" s="15" t="s">
        <v>984</v>
      </c>
      <c r="C1826" s="20" t="s">
        <v>793</v>
      </c>
      <c r="D1826" s="14" t="s">
        <v>670</v>
      </c>
      <c r="E1826" s="15" t="s">
        <v>506</v>
      </c>
      <c r="F1826" s="15">
        <v>3</v>
      </c>
      <c r="G1826" s="16">
        <f t="shared" si="102"/>
        <v>7722</v>
      </c>
      <c r="H1826" s="16">
        <v>7722</v>
      </c>
      <c r="I1826" s="16">
        <f t="shared" si="101"/>
        <v>0</v>
      </c>
      <c r="J1826" s="32">
        <v>7722</v>
      </c>
      <c r="K1826" s="69">
        <f t="shared" si="103"/>
        <v>0</v>
      </c>
      <c r="L1826" s="71">
        <v>0</v>
      </c>
      <c r="M1826" s="109">
        <v>0</v>
      </c>
      <c r="N1826" s="110">
        <v>0.9</v>
      </c>
    </row>
    <row r="1827" spans="1:14" ht="15" hidden="1" thickBot="1" x14ac:dyDescent="0.35">
      <c r="A1827" s="25">
        <v>314</v>
      </c>
      <c r="B1827" s="15" t="s">
        <v>984</v>
      </c>
      <c r="C1827" s="20" t="s">
        <v>793</v>
      </c>
      <c r="D1827" s="14" t="s">
        <v>980</v>
      </c>
      <c r="E1827" s="15" t="s">
        <v>503</v>
      </c>
      <c r="F1827" s="15">
        <v>1</v>
      </c>
      <c r="G1827" s="16">
        <f t="shared" si="102"/>
        <v>2282</v>
      </c>
      <c r="H1827" s="16">
        <v>2282</v>
      </c>
      <c r="I1827" s="16">
        <f t="shared" si="101"/>
        <v>0</v>
      </c>
      <c r="J1827" s="32">
        <v>2282</v>
      </c>
      <c r="K1827" s="69">
        <f t="shared" si="103"/>
        <v>0</v>
      </c>
      <c r="L1827" s="71">
        <v>0</v>
      </c>
      <c r="M1827" s="109">
        <v>0</v>
      </c>
      <c r="N1827" s="110">
        <v>0.9</v>
      </c>
    </row>
    <row r="1828" spans="1:14" ht="15" hidden="1" thickBot="1" x14ac:dyDescent="0.35">
      <c r="A1828" s="25">
        <v>314</v>
      </c>
      <c r="B1828" s="15" t="s">
        <v>984</v>
      </c>
      <c r="C1828" s="20" t="s">
        <v>793</v>
      </c>
      <c r="D1828" s="14" t="s">
        <v>985</v>
      </c>
      <c r="E1828" s="15" t="s">
        <v>506</v>
      </c>
      <c r="F1828" s="15">
        <v>3</v>
      </c>
      <c r="G1828" s="16">
        <f t="shared" si="102"/>
        <v>3575.94</v>
      </c>
      <c r="H1828" s="16">
        <v>3995.94</v>
      </c>
      <c r="I1828" s="16">
        <f t="shared" si="101"/>
        <v>0</v>
      </c>
      <c r="J1828" s="32">
        <v>3995.94</v>
      </c>
      <c r="K1828" s="69">
        <f t="shared" si="103"/>
        <v>0</v>
      </c>
      <c r="L1828" s="71">
        <v>420</v>
      </c>
      <c r="M1828" s="109">
        <v>420</v>
      </c>
      <c r="N1828" s="110">
        <v>0.94</v>
      </c>
    </row>
    <row r="1829" spans="1:14" ht="15" hidden="1" thickBot="1" x14ac:dyDescent="0.35">
      <c r="A1829" s="20">
        <v>315</v>
      </c>
      <c r="B1829" s="15" t="s">
        <v>987</v>
      </c>
      <c r="C1829" s="20" t="s">
        <v>730</v>
      </c>
      <c r="D1829" s="14" t="s">
        <v>1044</v>
      </c>
      <c r="E1829" s="15" t="s">
        <v>626</v>
      </c>
      <c r="F1829" s="15">
        <v>2</v>
      </c>
      <c r="G1829" s="16">
        <f t="shared" si="102"/>
        <v>5070.3999999999996</v>
      </c>
      <c r="H1829" s="16">
        <v>5473.4</v>
      </c>
      <c r="I1829" s="16">
        <f>J1829-H1829</f>
        <v>0</v>
      </c>
      <c r="J1829" s="32">
        <v>5473.4</v>
      </c>
      <c r="K1829" s="69">
        <f t="shared" si="103"/>
        <v>0</v>
      </c>
      <c r="L1829" s="71">
        <v>403</v>
      </c>
      <c r="M1829" s="109">
        <v>403</v>
      </c>
      <c r="N1829" s="110">
        <v>0.95</v>
      </c>
    </row>
    <row r="1830" spans="1:14" ht="15" hidden="1" thickBot="1" x14ac:dyDescent="0.35">
      <c r="A1830" s="20">
        <v>315</v>
      </c>
      <c r="B1830" s="15" t="s">
        <v>987</v>
      </c>
      <c r="C1830" s="20" t="s">
        <v>641</v>
      </c>
      <c r="D1830" s="14" t="s">
        <v>692</v>
      </c>
      <c r="E1830" s="15" t="s">
        <v>502</v>
      </c>
      <c r="F1830" s="15">
        <v>4</v>
      </c>
      <c r="G1830" s="16">
        <f t="shared" si="102"/>
        <v>9404.5</v>
      </c>
      <c r="H1830" s="16">
        <v>11372</v>
      </c>
      <c r="I1830" s="16">
        <f>J1830-H1830</f>
        <v>0</v>
      </c>
      <c r="J1830" s="32">
        <v>11372</v>
      </c>
      <c r="K1830" s="69">
        <f t="shared" si="103"/>
        <v>0</v>
      </c>
      <c r="L1830" s="71">
        <v>1967.5</v>
      </c>
      <c r="M1830" s="109">
        <v>1967.5</v>
      </c>
      <c r="N1830" s="110">
        <v>1</v>
      </c>
    </row>
    <row r="1831" spans="1:14" ht="15" hidden="1" thickBot="1" x14ac:dyDescent="0.35">
      <c r="A1831" s="20">
        <v>315</v>
      </c>
      <c r="B1831" s="15" t="s">
        <v>987</v>
      </c>
      <c r="C1831" s="20" t="s">
        <v>730</v>
      </c>
      <c r="D1831" s="14" t="s">
        <v>752</v>
      </c>
      <c r="E1831" s="15" t="s">
        <v>504</v>
      </c>
      <c r="F1831" s="15">
        <v>3</v>
      </c>
      <c r="G1831" s="16">
        <f t="shared" si="102"/>
        <v>9666.6</v>
      </c>
      <c r="H1831" s="16">
        <v>10146.6</v>
      </c>
      <c r="I1831" s="16">
        <f t="shared" ref="I1831" si="104">J1831-H1831</f>
        <v>0</v>
      </c>
      <c r="J1831" s="32">
        <v>10146.6</v>
      </c>
      <c r="K1831" s="69">
        <f t="shared" si="103"/>
        <v>0</v>
      </c>
      <c r="L1831" s="71">
        <v>480</v>
      </c>
      <c r="M1831" s="109">
        <v>480</v>
      </c>
      <c r="N1831" s="110">
        <v>0.91500000000000004</v>
      </c>
    </row>
    <row r="1832" spans="1:14" ht="15" hidden="1" thickBot="1" x14ac:dyDescent="0.35">
      <c r="A1832" s="20">
        <v>315</v>
      </c>
      <c r="B1832" s="15" t="s">
        <v>987</v>
      </c>
      <c r="C1832" s="20" t="s">
        <v>730</v>
      </c>
      <c r="D1832" s="14" t="s">
        <v>999</v>
      </c>
      <c r="E1832" s="15" t="s">
        <v>626</v>
      </c>
      <c r="F1832" s="15">
        <v>3</v>
      </c>
      <c r="G1832" s="16">
        <f t="shared" si="102"/>
        <v>5777</v>
      </c>
      <c r="H1832" s="16">
        <v>7292</v>
      </c>
      <c r="I1832" s="16">
        <f t="shared" si="101"/>
        <v>0</v>
      </c>
      <c r="J1832" s="32">
        <v>7292</v>
      </c>
      <c r="K1832" s="69">
        <f t="shared" si="103"/>
        <v>0</v>
      </c>
      <c r="L1832" s="71">
        <v>1515</v>
      </c>
      <c r="M1832" s="109">
        <v>1515</v>
      </c>
      <c r="N1832" s="110"/>
    </row>
    <row r="1833" spans="1:14" ht="15" hidden="1" thickBot="1" x14ac:dyDescent="0.35">
      <c r="A1833" s="25">
        <v>316</v>
      </c>
      <c r="B1833" s="15" t="s">
        <v>992</v>
      </c>
      <c r="C1833" s="14" t="s">
        <v>550</v>
      </c>
      <c r="D1833" s="14" t="s">
        <v>497</v>
      </c>
      <c r="E1833" s="15" t="s">
        <v>14</v>
      </c>
      <c r="F1833" s="15">
        <v>7</v>
      </c>
      <c r="G1833" s="16">
        <f t="shared" si="102"/>
        <v>1217250</v>
      </c>
      <c r="H1833" s="16">
        <v>1217250</v>
      </c>
      <c r="I1833" s="16">
        <f t="shared" si="101"/>
        <v>0</v>
      </c>
      <c r="J1833" s="32">
        <v>1217250</v>
      </c>
      <c r="K1833" s="69">
        <f t="shared" si="103"/>
        <v>0</v>
      </c>
      <c r="L1833" s="71"/>
      <c r="M1833" s="109"/>
      <c r="N1833" s="110"/>
    </row>
    <row r="1834" spans="1:14" ht="15" hidden="1" thickBot="1" x14ac:dyDescent="0.35">
      <c r="A1834" s="25">
        <v>317</v>
      </c>
      <c r="B1834" s="15" t="s">
        <v>993</v>
      </c>
      <c r="C1834" s="14" t="s">
        <v>989</v>
      </c>
      <c r="D1834" s="14" t="s">
        <v>497</v>
      </c>
      <c r="E1834" s="15" t="s">
        <v>14</v>
      </c>
      <c r="F1834" s="15">
        <v>6</v>
      </c>
      <c r="G1834" s="16">
        <f t="shared" si="102"/>
        <v>236079</v>
      </c>
      <c r="H1834" s="16">
        <v>236079</v>
      </c>
      <c r="I1834" s="16">
        <f t="shared" si="101"/>
        <v>0</v>
      </c>
      <c r="J1834" s="32">
        <v>236079</v>
      </c>
      <c r="K1834" s="69">
        <f t="shared" si="103"/>
        <v>0</v>
      </c>
      <c r="L1834" s="71"/>
      <c r="M1834" s="109"/>
      <c r="N1834" s="110"/>
    </row>
    <row r="1835" spans="1:14" ht="15" hidden="1" thickBot="1" x14ac:dyDescent="0.35">
      <c r="A1835" s="25">
        <v>318</v>
      </c>
      <c r="B1835" s="15" t="s">
        <v>995</v>
      </c>
      <c r="C1835" s="14" t="s">
        <v>996</v>
      </c>
      <c r="D1835" s="14" t="s">
        <v>497</v>
      </c>
      <c r="E1835" s="15" t="s">
        <v>14</v>
      </c>
      <c r="F1835" s="15">
        <v>4</v>
      </c>
      <c r="G1835" s="16">
        <f t="shared" si="102"/>
        <v>165576.70000000001</v>
      </c>
      <c r="H1835" s="16">
        <v>165576.70000000001</v>
      </c>
      <c r="I1835" s="16">
        <f t="shared" si="101"/>
        <v>0</v>
      </c>
      <c r="J1835" s="32">
        <v>165576.70000000001</v>
      </c>
      <c r="K1835" s="69">
        <f t="shared" si="103"/>
        <v>0</v>
      </c>
      <c r="L1835" s="71"/>
      <c r="M1835" s="109"/>
      <c r="N1835" s="110"/>
    </row>
    <row r="1836" spans="1:14" ht="15" hidden="1" thickBot="1" x14ac:dyDescent="0.35">
      <c r="A1836" s="20">
        <v>319</v>
      </c>
      <c r="B1836" s="15" t="s">
        <v>998</v>
      </c>
      <c r="C1836" s="20" t="s">
        <v>986</v>
      </c>
      <c r="D1836" s="14" t="s">
        <v>510</v>
      </c>
      <c r="E1836" s="15" t="s">
        <v>508</v>
      </c>
      <c r="F1836" s="15">
        <v>1</v>
      </c>
      <c r="G1836" s="16">
        <f t="shared" si="102"/>
        <v>2735</v>
      </c>
      <c r="H1836" s="16">
        <v>2735</v>
      </c>
      <c r="I1836" s="16">
        <f t="shared" si="101"/>
        <v>0</v>
      </c>
      <c r="J1836" s="32">
        <v>2735</v>
      </c>
      <c r="K1836" s="69">
        <f t="shared" si="103"/>
        <v>0</v>
      </c>
      <c r="L1836" s="71"/>
      <c r="M1836" s="109"/>
      <c r="N1836" s="110"/>
    </row>
    <row r="1837" spans="1:14" ht="15" hidden="1" thickBot="1" x14ac:dyDescent="0.35">
      <c r="A1837" s="20">
        <v>319</v>
      </c>
      <c r="B1837" s="15" t="s">
        <v>998</v>
      </c>
      <c r="C1837" s="20" t="s">
        <v>986</v>
      </c>
      <c r="D1837" s="14" t="s">
        <v>614</v>
      </c>
      <c r="E1837" s="15" t="s">
        <v>508</v>
      </c>
      <c r="F1837" s="15">
        <v>1</v>
      </c>
      <c r="G1837" s="16">
        <f t="shared" si="102"/>
        <v>7408</v>
      </c>
      <c r="H1837" s="16">
        <v>7408</v>
      </c>
      <c r="I1837" s="16">
        <f>J1837-H1837</f>
        <v>0</v>
      </c>
      <c r="J1837" s="32">
        <v>7408</v>
      </c>
      <c r="K1837" s="69">
        <f t="shared" si="103"/>
        <v>0</v>
      </c>
      <c r="L1837" s="71"/>
      <c r="M1837" s="109"/>
      <c r="N1837" s="110"/>
    </row>
    <row r="1838" spans="1:14" ht="15" hidden="1" thickBot="1" x14ac:dyDescent="0.35">
      <c r="A1838" s="20">
        <v>320</v>
      </c>
      <c r="B1838" s="15" t="s">
        <v>1000</v>
      </c>
      <c r="C1838" s="20" t="s">
        <v>1278</v>
      </c>
      <c r="D1838" s="14" t="s">
        <v>1051</v>
      </c>
      <c r="E1838" s="15" t="s">
        <v>500</v>
      </c>
      <c r="F1838" s="15">
        <v>2</v>
      </c>
      <c r="G1838" s="16">
        <f t="shared" si="102"/>
        <v>1900</v>
      </c>
      <c r="H1838" s="16">
        <v>1900</v>
      </c>
      <c r="I1838" s="16">
        <f>J1838-H1838</f>
        <v>0</v>
      </c>
      <c r="J1838" s="32">
        <v>1900</v>
      </c>
      <c r="K1838" s="69">
        <f t="shared" si="103"/>
        <v>0</v>
      </c>
      <c r="L1838" s="71"/>
      <c r="M1838" s="109"/>
      <c r="N1838" s="110">
        <v>0.95</v>
      </c>
    </row>
    <row r="1839" spans="1:14" ht="15" hidden="1" thickBot="1" x14ac:dyDescent="0.35">
      <c r="A1839" s="20">
        <v>320</v>
      </c>
      <c r="B1839" s="15" t="s">
        <v>1000</v>
      </c>
      <c r="C1839" s="20" t="s">
        <v>1278</v>
      </c>
      <c r="D1839" s="14" t="s">
        <v>692</v>
      </c>
      <c r="E1839" s="15" t="s">
        <v>502</v>
      </c>
      <c r="F1839" s="15">
        <v>4</v>
      </c>
      <c r="G1839" s="16">
        <f t="shared" si="102"/>
        <v>17258</v>
      </c>
      <c r="H1839" s="16">
        <v>17258</v>
      </c>
      <c r="I1839" s="16">
        <f t="shared" ref="I1839:I1902" si="105">J1839-H1839</f>
        <v>0</v>
      </c>
      <c r="J1839" s="32">
        <v>17258</v>
      </c>
      <c r="K1839" s="69">
        <f t="shared" si="103"/>
        <v>0</v>
      </c>
      <c r="L1839" s="71"/>
      <c r="M1839" s="109"/>
      <c r="N1839" s="110">
        <v>0.95</v>
      </c>
    </row>
    <row r="1840" spans="1:14" ht="15" hidden="1" thickBot="1" x14ac:dyDescent="0.35">
      <c r="A1840" s="20">
        <v>320</v>
      </c>
      <c r="B1840" s="15" t="s">
        <v>1000</v>
      </c>
      <c r="C1840" s="20" t="s">
        <v>1278</v>
      </c>
      <c r="D1840" s="14" t="s">
        <v>663</v>
      </c>
      <c r="E1840" s="15"/>
      <c r="F1840" s="15">
        <v>1</v>
      </c>
      <c r="G1840" s="16">
        <f t="shared" si="102"/>
        <v>7650</v>
      </c>
      <c r="H1840" s="16">
        <v>7650</v>
      </c>
      <c r="I1840" s="16">
        <f t="shared" si="105"/>
        <v>0</v>
      </c>
      <c r="J1840" s="32">
        <v>7650</v>
      </c>
      <c r="K1840" s="69">
        <f t="shared" si="103"/>
        <v>0</v>
      </c>
      <c r="L1840" s="71"/>
      <c r="M1840" s="109"/>
      <c r="N1840" s="110">
        <v>0.9</v>
      </c>
    </row>
    <row r="1841" spans="1:14" ht="15" hidden="1" thickBot="1" x14ac:dyDescent="0.35">
      <c r="A1841" s="20">
        <v>320</v>
      </c>
      <c r="B1841" s="15" t="s">
        <v>1000</v>
      </c>
      <c r="C1841" s="20" t="s">
        <v>1278</v>
      </c>
      <c r="D1841" s="14" t="s">
        <v>752</v>
      </c>
      <c r="E1841" s="15" t="s">
        <v>504</v>
      </c>
      <c r="F1841" s="15">
        <v>2</v>
      </c>
      <c r="G1841" s="16">
        <f t="shared" si="102"/>
        <v>14780</v>
      </c>
      <c r="H1841" s="16">
        <v>14780</v>
      </c>
      <c r="I1841" s="16">
        <f t="shared" si="105"/>
        <v>0</v>
      </c>
      <c r="J1841" s="32">
        <v>14780</v>
      </c>
      <c r="K1841" s="69">
        <f t="shared" si="103"/>
        <v>0</v>
      </c>
      <c r="L1841" s="71"/>
      <c r="M1841" s="109"/>
      <c r="N1841" s="110">
        <v>0.8</v>
      </c>
    </row>
    <row r="1842" spans="1:14" ht="15" hidden="1" thickBot="1" x14ac:dyDescent="0.35">
      <c r="A1842" s="20">
        <v>320</v>
      </c>
      <c r="B1842" s="15" t="s">
        <v>1000</v>
      </c>
      <c r="C1842" s="20" t="s">
        <v>1278</v>
      </c>
      <c r="D1842" s="14" t="s">
        <v>999</v>
      </c>
      <c r="E1842" s="15" t="s">
        <v>626</v>
      </c>
      <c r="F1842" s="15">
        <v>3</v>
      </c>
      <c r="G1842" s="16">
        <f t="shared" si="102"/>
        <v>16828</v>
      </c>
      <c r="H1842" s="16">
        <v>16828</v>
      </c>
      <c r="I1842" s="16">
        <f t="shared" si="105"/>
        <v>0</v>
      </c>
      <c r="J1842" s="32">
        <v>16828</v>
      </c>
      <c r="K1842" s="69">
        <f t="shared" si="103"/>
        <v>0</v>
      </c>
      <c r="L1842" s="71"/>
      <c r="M1842" s="109"/>
      <c r="N1842" s="110">
        <v>0.95</v>
      </c>
    </row>
    <row r="1843" spans="1:14" ht="15" hidden="1" thickBot="1" x14ac:dyDescent="0.35">
      <c r="A1843" s="25">
        <v>321</v>
      </c>
      <c r="B1843" s="15" t="s">
        <v>1002</v>
      </c>
      <c r="C1843" s="14" t="s">
        <v>1003</v>
      </c>
      <c r="D1843" s="14" t="s">
        <v>497</v>
      </c>
      <c r="E1843" s="15" t="s">
        <v>14</v>
      </c>
      <c r="F1843" s="15">
        <v>2</v>
      </c>
      <c r="G1843" s="16">
        <f t="shared" si="102"/>
        <v>275343.8</v>
      </c>
      <c r="H1843" s="16">
        <v>275343.8</v>
      </c>
      <c r="I1843" s="16">
        <f t="shared" si="105"/>
        <v>0</v>
      </c>
      <c r="J1843" s="32">
        <v>275343.8</v>
      </c>
      <c r="K1843" s="69">
        <f t="shared" si="103"/>
        <v>0</v>
      </c>
      <c r="L1843" s="71"/>
      <c r="M1843" s="109"/>
      <c r="N1843" s="110"/>
    </row>
    <row r="1844" spans="1:14" ht="15" hidden="1" customHeight="1" thickBot="1" x14ac:dyDescent="0.35">
      <c r="A1844" s="20">
        <v>322</v>
      </c>
      <c r="B1844" s="15" t="s">
        <v>1005</v>
      </c>
      <c r="C1844" s="20" t="s">
        <v>1085</v>
      </c>
      <c r="D1844" s="14" t="s">
        <v>614</v>
      </c>
      <c r="E1844" s="15" t="s">
        <v>502</v>
      </c>
      <c r="F1844" s="15">
        <v>1</v>
      </c>
      <c r="G1844" s="16">
        <f t="shared" si="102"/>
        <v>34200</v>
      </c>
      <c r="H1844" s="16">
        <v>34200</v>
      </c>
      <c r="I1844" s="16">
        <f>J1844-H1844</f>
        <v>0</v>
      </c>
      <c r="J1844" s="32">
        <v>34200</v>
      </c>
      <c r="K1844" s="69">
        <f t="shared" si="103"/>
        <v>0</v>
      </c>
      <c r="L1844" s="71"/>
      <c r="M1844" s="109"/>
      <c r="N1844" s="110"/>
    </row>
    <row r="1845" spans="1:14" ht="15" hidden="1" customHeight="1" thickBot="1" x14ac:dyDescent="0.35">
      <c r="A1845" s="20">
        <v>322</v>
      </c>
      <c r="B1845" s="15" t="s">
        <v>1005</v>
      </c>
      <c r="C1845" s="20" t="s">
        <v>1006</v>
      </c>
      <c r="D1845" s="14" t="s">
        <v>614</v>
      </c>
      <c r="E1845" s="15" t="s">
        <v>499</v>
      </c>
      <c r="F1845" s="15">
        <v>4</v>
      </c>
      <c r="G1845" s="16">
        <f t="shared" si="102"/>
        <v>45000</v>
      </c>
      <c r="H1845" s="16">
        <v>45000</v>
      </c>
      <c r="I1845" s="16">
        <f t="shared" si="105"/>
        <v>0</v>
      </c>
      <c r="J1845" s="32">
        <v>45000</v>
      </c>
      <c r="K1845" s="69">
        <f t="shared" si="103"/>
        <v>0</v>
      </c>
      <c r="L1845" s="71"/>
      <c r="M1845" s="109"/>
      <c r="N1845" s="110">
        <v>1</v>
      </c>
    </row>
    <row r="1846" spans="1:14" ht="15" hidden="1" customHeight="1" thickBot="1" x14ac:dyDescent="0.35">
      <c r="A1846" s="20">
        <v>322</v>
      </c>
      <c r="B1846" s="15" t="s">
        <v>1005</v>
      </c>
      <c r="C1846" s="20" t="s">
        <v>1006</v>
      </c>
      <c r="D1846" s="14" t="s">
        <v>614</v>
      </c>
      <c r="E1846" s="15" t="s">
        <v>502</v>
      </c>
      <c r="F1846" s="15">
        <v>4</v>
      </c>
      <c r="G1846" s="16">
        <f t="shared" si="102"/>
        <v>45000</v>
      </c>
      <c r="H1846" s="16">
        <v>45000</v>
      </c>
      <c r="I1846" s="16">
        <f t="shared" si="105"/>
        <v>0</v>
      </c>
      <c r="J1846" s="32">
        <v>45000</v>
      </c>
      <c r="K1846" s="69">
        <f t="shared" si="103"/>
        <v>0</v>
      </c>
      <c r="L1846" s="71"/>
      <c r="M1846" s="109"/>
      <c r="N1846" s="110">
        <v>1</v>
      </c>
    </row>
    <row r="1847" spans="1:14" ht="15" hidden="1" customHeight="1" thickBot="1" x14ac:dyDescent="0.35">
      <c r="A1847" s="20">
        <v>322</v>
      </c>
      <c r="B1847" s="15" t="s">
        <v>1005</v>
      </c>
      <c r="C1847" s="20" t="s">
        <v>1006</v>
      </c>
      <c r="D1847" s="14" t="s">
        <v>614</v>
      </c>
      <c r="E1847" s="15" t="s">
        <v>503</v>
      </c>
      <c r="F1847" s="15">
        <v>4</v>
      </c>
      <c r="G1847" s="16">
        <f t="shared" si="102"/>
        <v>45000</v>
      </c>
      <c r="H1847" s="16">
        <v>45000</v>
      </c>
      <c r="I1847" s="16">
        <f t="shared" si="105"/>
        <v>0</v>
      </c>
      <c r="J1847" s="32">
        <v>45000</v>
      </c>
      <c r="K1847" s="69">
        <f t="shared" si="103"/>
        <v>0</v>
      </c>
      <c r="L1847" s="71"/>
      <c r="M1847" s="109"/>
      <c r="N1847" s="110">
        <v>1</v>
      </c>
    </row>
    <row r="1848" spans="1:14" ht="15" hidden="1" customHeight="1" thickBot="1" x14ac:dyDescent="0.35">
      <c r="A1848" s="20">
        <v>322</v>
      </c>
      <c r="B1848" s="15" t="s">
        <v>1005</v>
      </c>
      <c r="C1848" s="20" t="s">
        <v>1006</v>
      </c>
      <c r="D1848" s="14" t="s">
        <v>614</v>
      </c>
      <c r="E1848" s="15" t="s">
        <v>508</v>
      </c>
      <c r="F1848" s="15">
        <v>4</v>
      </c>
      <c r="G1848" s="16">
        <f t="shared" si="102"/>
        <v>45000</v>
      </c>
      <c r="H1848" s="16">
        <v>45000</v>
      </c>
      <c r="I1848" s="16">
        <f t="shared" si="105"/>
        <v>0</v>
      </c>
      <c r="J1848" s="32">
        <v>45000</v>
      </c>
      <c r="K1848" s="69">
        <f t="shared" si="103"/>
        <v>0</v>
      </c>
      <c r="L1848" s="71"/>
      <c r="M1848" s="109"/>
      <c r="N1848" s="110">
        <v>1</v>
      </c>
    </row>
    <row r="1849" spans="1:14" ht="15" hidden="1" customHeight="1" thickBot="1" x14ac:dyDescent="0.35">
      <c r="A1849" s="20">
        <v>322</v>
      </c>
      <c r="B1849" s="15" t="s">
        <v>1005</v>
      </c>
      <c r="C1849" s="20" t="s">
        <v>1006</v>
      </c>
      <c r="D1849" s="14" t="s">
        <v>614</v>
      </c>
      <c r="E1849" s="15" t="s">
        <v>512</v>
      </c>
      <c r="F1849" s="15">
        <v>4</v>
      </c>
      <c r="G1849" s="16">
        <f t="shared" si="102"/>
        <v>45000</v>
      </c>
      <c r="H1849" s="16">
        <v>45000</v>
      </c>
      <c r="I1849" s="16">
        <f t="shared" si="105"/>
        <v>0</v>
      </c>
      <c r="J1849" s="32">
        <v>45000</v>
      </c>
      <c r="K1849" s="69">
        <f t="shared" si="103"/>
        <v>0</v>
      </c>
      <c r="L1849" s="71"/>
      <c r="M1849" s="109"/>
      <c r="N1849" s="110">
        <v>1</v>
      </c>
    </row>
    <row r="1850" spans="1:14" ht="15" hidden="1" customHeight="1" thickBot="1" x14ac:dyDescent="0.35">
      <c r="A1850" s="20">
        <v>322</v>
      </c>
      <c r="B1850" s="15" t="s">
        <v>1005</v>
      </c>
      <c r="C1850" s="20" t="s">
        <v>1006</v>
      </c>
      <c r="D1850" s="14" t="s">
        <v>614</v>
      </c>
      <c r="E1850" s="15" t="s">
        <v>509</v>
      </c>
      <c r="F1850" s="15">
        <v>3</v>
      </c>
      <c r="G1850" s="16">
        <f t="shared" si="102"/>
        <v>45000</v>
      </c>
      <c r="H1850" s="16">
        <v>45000</v>
      </c>
      <c r="I1850" s="16">
        <f t="shared" si="105"/>
        <v>0</v>
      </c>
      <c r="J1850" s="32">
        <v>45000</v>
      </c>
      <c r="K1850" s="69">
        <f t="shared" si="103"/>
        <v>0</v>
      </c>
      <c r="L1850" s="71"/>
      <c r="M1850" s="109"/>
      <c r="N1850" s="110">
        <v>1</v>
      </c>
    </row>
    <row r="1851" spans="1:14" ht="15" hidden="1" customHeight="1" thickBot="1" x14ac:dyDescent="0.35">
      <c r="A1851" s="20">
        <v>322</v>
      </c>
      <c r="B1851" s="15" t="s">
        <v>1005</v>
      </c>
      <c r="C1851" s="20" t="s">
        <v>1006</v>
      </c>
      <c r="D1851" s="14" t="s">
        <v>614</v>
      </c>
      <c r="E1851" s="15" t="s">
        <v>504</v>
      </c>
      <c r="F1851" s="15">
        <v>3</v>
      </c>
      <c r="G1851" s="16">
        <f t="shared" si="102"/>
        <v>45000</v>
      </c>
      <c r="H1851" s="16">
        <v>45000</v>
      </c>
      <c r="I1851" s="16">
        <f t="shared" si="105"/>
        <v>0</v>
      </c>
      <c r="J1851" s="32">
        <v>45000</v>
      </c>
      <c r="K1851" s="69">
        <f t="shared" si="103"/>
        <v>0</v>
      </c>
      <c r="L1851" s="71"/>
      <c r="M1851" s="109"/>
      <c r="N1851" s="110">
        <v>1</v>
      </c>
    </row>
    <row r="1852" spans="1:14" ht="15" hidden="1" customHeight="1" thickBot="1" x14ac:dyDescent="0.35">
      <c r="A1852" s="20">
        <v>322</v>
      </c>
      <c r="B1852" s="15" t="s">
        <v>1005</v>
      </c>
      <c r="C1852" s="20" t="s">
        <v>1006</v>
      </c>
      <c r="D1852" s="14" t="s">
        <v>614</v>
      </c>
      <c r="E1852" s="15" t="s">
        <v>500</v>
      </c>
      <c r="F1852" s="15">
        <v>3</v>
      </c>
      <c r="G1852" s="16">
        <f t="shared" si="102"/>
        <v>45000</v>
      </c>
      <c r="H1852" s="16">
        <v>45000</v>
      </c>
      <c r="I1852" s="16">
        <f t="shared" si="105"/>
        <v>0</v>
      </c>
      <c r="J1852" s="32">
        <v>45000</v>
      </c>
      <c r="K1852" s="69">
        <f t="shared" si="103"/>
        <v>0</v>
      </c>
      <c r="L1852" s="71"/>
      <c r="M1852" s="109"/>
      <c r="N1852" s="110">
        <v>1</v>
      </c>
    </row>
    <row r="1853" spans="1:14" ht="15" hidden="1" customHeight="1" thickBot="1" x14ac:dyDescent="0.35">
      <c r="A1853" s="20">
        <v>322</v>
      </c>
      <c r="B1853" s="15" t="s">
        <v>1005</v>
      </c>
      <c r="C1853" s="20" t="s">
        <v>1006</v>
      </c>
      <c r="D1853" s="14" t="s">
        <v>614</v>
      </c>
      <c r="E1853" s="15" t="s">
        <v>506</v>
      </c>
      <c r="F1853" s="15">
        <v>4</v>
      </c>
      <c r="G1853" s="16">
        <f t="shared" si="102"/>
        <v>45000</v>
      </c>
      <c r="H1853" s="16">
        <v>45000</v>
      </c>
      <c r="I1853" s="16">
        <f t="shared" si="105"/>
        <v>0</v>
      </c>
      <c r="J1853" s="32">
        <v>45000</v>
      </c>
      <c r="K1853" s="69">
        <f t="shared" si="103"/>
        <v>0</v>
      </c>
      <c r="L1853" s="71"/>
      <c r="M1853" s="109"/>
      <c r="N1853" s="110">
        <v>1</v>
      </c>
    </row>
    <row r="1854" spans="1:14" ht="15" hidden="1" customHeight="1" thickBot="1" x14ac:dyDescent="0.35">
      <c r="A1854" s="20">
        <v>322</v>
      </c>
      <c r="B1854" s="15" t="s">
        <v>1005</v>
      </c>
      <c r="C1854" s="20" t="s">
        <v>1006</v>
      </c>
      <c r="D1854" s="14" t="s">
        <v>638</v>
      </c>
      <c r="E1854" s="15" t="s">
        <v>504</v>
      </c>
      <c r="F1854" s="15">
        <v>2</v>
      </c>
      <c r="G1854" s="16">
        <f t="shared" si="102"/>
        <v>89221</v>
      </c>
      <c r="H1854" s="16">
        <v>89221</v>
      </c>
      <c r="I1854" s="16">
        <f t="shared" si="105"/>
        <v>0</v>
      </c>
      <c r="J1854" s="32">
        <v>89221</v>
      </c>
      <c r="K1854" s="69">
        <f t="shared" si="103"/>
        <v>0</v>
      </c>
      <c r="L1854" s="71"/>
      <c r="M1854" s="109"/>
      <c r="N1854" s="110">
        <v>0.9</v>
      </c>
    </row>
    <row r="1855" spans="1:14" ht="15" hidden="1" thickBot="1" x14ac:dyDescent="0.35">
      <c r="A1855" s="25">
        <v>323</v>
      </c>
      <c r="B1855" s="15" t="s">
        <v>1007</v>
      </c>
      <c r="C1855" s="14" t="s">
        <v>973</v>
      </c>
      <c r="D1855" s="14" t="s">
        <v>497</v>
      </c>
      <c r="E1855" s="15" t="s">
        <v>14</v>
      </c>
      <c r="F1855" s="15">
        <v>54</v>
      </c>
      <c r="G1855" s="16">
        <f t="shared" si="102"/>
        <v>798324.8</v>
      </c>
      <c r="H1855" s="16">
        <v>798324.8</v>
      </c>
      <c r="I1855" s="16">
        <f t="shared" si="105"/>
        <v>0</v>
      </c>
      <c r="J1855" s="32">
        <v>798324.8</v>
      </c>
      <c r="K1855" s="69">
        <f t="shared" si="103"/>
        <v>0</v>
      </c>
      <c r="L1855" s="71"/>
      <c r="M1855" s="109"/>
      <c r="N1855" s="110"/>
    </row>
    <row r="1856" spans="1:14" ht="15" hidden="1" thickBot="1" x14ac:dyDescent="0.35">
      <c r="A1856" s="14">
        <v>324</v>
      </c>
      <c r="B1856" s="15" t="s">
        <v>1014</v>
      </c>
      <c r="C1856" s="14" t="s">
        <v>1103</v>
      </c>
      <c r="D1856" s="14" t="s">
        <v>497</v>
      </c>
      <c r="E1856" s="15" t="s">
        <v>14</v>
      </c>
      <c r="F1856" s="15">
        <v>2</v>
      </c>
      <c r="G1856" s="16">
        <f t="shared" si="102"/>
        <v>87785</v>
      </c>
      <c r="H1856" s="16">
        <v>87785</v>
      </c>
      <c r="I1856" s="16">
        <f t="shared" si="105"/>
        <v>0</v>
      </c>
      <c r="J1856" s="32">
        <v>87785</v>
      </c>
      <c r="K1856" s="69">
        <f t="shared" si="103"/>
        <v>0</v>
      </c>
      <c r="L1856" s="71"/>
      <c r="M1856" s="109"/>
      <c r="N1856" s="110"/>
    </row>
    <row r="1857" spans="1:14" ht="15" hidden="1" thickBot="1" x14ac:dyDescent="0.35">
      <c r="A1857" s="19">
        <v>324</v>
      </c>
      <c r="B1857" s="15" t="s">
        <v>1014</v>
      </c>
      <c r="C1857" s="14" t="s">
        <v>550</v>
      </c>
      <c r="D1857" s="14" t="s">
        <v>497</v>
      </c>
      <c r="E1857" s="15" t="s">
        <v>14</v>
      </c>
      <c r="F1857" s="155">
        <v>29</v>
      </c>
      <c r="G1857" s="16">
        <f t="shared" si="102"/>
        <v>1578635</v>
      </c>
      <c r="H1857" s="16">
        <v>1585635</v>
      </c>
      <c r="I1857" s="16">
        <f t="shared" si="105"/>
        <v>0</v>
      </c>
      <c r="J1857" s="32">
        <v>1585635</v>
      </c>
      <c r="K1857" s="69">
        <f t="shared" si="103"/>
        <v>0</v>
      </c>
      <c r="L1857" s="71">
        <v>7000</v>
      </c>
      <c r="M1857" s="109">
        <v>7000</v>
      </c>
      <c r="N1857" s="110"/>
    </row>
    <row r="1858" spans="1:14" ht="15" hidden="1" customHeight="1" thickBot="1" x14ac:dyDescent="0.35">
      <c r="A1858" s="25">
        <v>325</v>
      </c>
      <c r="B1858" s="15" t="s">
        <v>1016</v>
      </c>
      <c r="C1858" s="15" t="s">
        <v>1732</v>
      </c>
      <c r="D1858" s="14" t="s">
        <v>497</v>
      </c>
      <c r="E1858" s="15" t="s">
        <v>14</v>
      </c>
      <c r="F1858" s="15">
        <v>15</v>
      </c>
      <c r="G1858" s="16">
        <f t="shared" si="102"/>
        <v>73300</v>
      </c>
      <c r="H1858" s="16">
        <v>75100</v>
      </c>
      <c r="I1858" s="16">
        <f t="shared" si="105"/>
        <v>0</v>
      </c>
      <c r="J1858" s="32">
        <v>75100</v>
      </c>
      <c r="K1858" s="69">
        <f t="shared" si="103"/>
        <v>0</v>
      </c>
      <c r="L1858" s="71">
        <v>1800</v>
      </c>
      <c r="M1858" s="109">
        <v>1800</v>
      </c>
      <c r="N1858" s="110"/>
    </row>
    <row r="1859" spans="1:14" ht="15" hidden="1" customHeight="1" thickBot="1" x14ac:dyDescent="0.35">
      <c r="A1859" s="25">
        <v>326</v>
      </c>
      <c r="B1859" s="15" t="s">
        <v>1027</v>
      </c>
      <c r="C1859" s="15" t="s">
        <v>1732</v>
      </c>
      <c r="D1859" s="14" t="s">
        <v>497</v>
      </c>
      <c r="E1859" s="15" t="s">
        <v>14</v>
      </c>
      <c r="F1859" s="15">
        <v>19</v>
      </c>
      <c r="G1859" s="16">
        <f t="shared" ref="G1859:G1933" si="106">H1859-M1859</f>
        <v>78353</v>
      </c>
      <c r="H1859" s="16">
        <v>78353</v>
      </c>
      <c r="I1859" s="16">
        <f t="shared" si="105"/>
        <v>0</v>
      </c>
      <c r="J1859" s="32">
        <v>78353</v>
      </c>
      <c r="K1859" s="69">
        <f t="shared" si="103"/>
        <v>0</v>
      </c>
      <c r="L1859" s="71"/>
      <c r="M1859" s="109"/>
      <c r="N1859" s="110"/>
    </row>
    <row r="1860" spans="1:14" ht="15" hidden="1" customHeight="1" thickBot="1" x14ac:dyDescent="0.35">
      <c r="A1860" s="25">
        <v>327</v>
      </c>
      <c r="B1860" s="15" t="s">
        <v>1028</v>
      </c>
      <c r="C1860" s="15" t="s">
        <v>1732</v>
      </c>
      <c r="D1860" s="14" t="s">
        <v>497</v>
      </c>
      <c r="E1860" s="15" t="s">
        <v>14</v>
      </c>
      <c r="F1860" s="15">
        <v>22</v>
      </c>
      <c r="G1860" s="16">
        <f t="shared" si="106"/>
        <v>122826</v>
      </c>
      <c r="H1860" s="16">
        <v>123106</v>
      </c>
      <c r="I1860" s="16">
        <f t="shared" si="105"/>
        <v>0</v>
      </c>
      <c r="J1860" s="32">
        <v>123106</v>
      </c>
      <c r="K1860" s="69">
        <f t="shared" si="103"/>
        <v>0</v>
      </c>
      <c r="L1860" s="71">
        <v>280</v>
      </c>
      <c r="M1860" s="109">
        <v>280</v>
      </c>
      <c r="N1860" s="110"/>
    </row>
    <row r="1861" spans="1:14" ht="15" hidden="1" customHeight="1" thickBot="1" x14ac:dyDescent="0.35">
      <c r="A1861" s="20">
        <v>328</v>
      </c>
      <c r="B1861" s="15" t="s">
        <v>1024</v>
      </c>
      <c r="C1861" s="46" t="s">
        <v>1025</v>
      </c>
      <c r="D1861" s="14" t="s">
        <v>510</v>
      </c>
      <c r="E1861" s="15" t="s">
        <v>506</v>
      </c>
      <c r="F1861" s="15">
        <v>3</v>
      </c>
      <c r="G1861" s="16">
        <f t="shared" si="106"/>
        <v>8170</v>
      </c>
      <c r="H1861" s="16">
        <v>8170</v>
      </c>
      <c r="I1861" s="16">
        <f t="shared" si="105"/>
        <v>0</v>
      </c>
      <c r="J1861" s="32">
        <v>8170</v>
      </c>
      <c r="K1861" s="69">
        <f t="shared" si="103"/>
        <v>0</v>
      </c>
      <c r="L1861" s="71"/>
      <c r="M1861" s="109"/>
      <c r="N1861" s="110">
        <v>0.95</v>
      </c>
    </row>
    <row r="1862" spans="1:14" ht="15" hidden="1" thickBot="1" x14ac:dyDescent="0.35">
      <c r="A1862" s="20">
        <v>328</v>
      </c>
      <c r="B1862" s="15" t="s">
        <v>1024</v>
      </c>
      <c r="C1862" s="46" t="s">
        <v>1025</v>
      </c>
      <c r="D1862" s="14" t="s">
        <v>510</v>
      </c>
      <c r="E1862" s="15" t="s">
        <v>508</v>
      </c>
      <c r="F1862" s="15">
        <v>3</v>
      </c>
      <c r="G1862" s="16">
        <f t="shared" si="106"/>
        <v>8170</v>
      </c>
      <c r="H1862" s="16">
        <v>8170</v>
      </c>
      <c r="I1862" s="16">
        <f t="shared" si="105"/>
        <v>0</v>
      </c>
      <c r="J1862" s="32">
        <v>8170</v>
      </c>
      <c r="K1862" s="69">
        <f t="shared" si="103"/>
        <v>0</v>
      </c>
      <c r="L1862" s="71"/>
      <c r="M1862" s="109"/>
      <c r="N1862" s="110">
        <v>0.95</v>
      </c>
    </row>
    <row r="1863" spans="1:14" ht="15" hidden="1" thickBot="1" x14ac:dyDescent="0.35">
      <c r="A1863" s="20">
        <v>328</v>
      </c>
      <c r="B1863" s="15" t="s">
        <v>1024</v>
      </c>
      <c r="C1863" s="46" t="s">
        <v>1025</v>
      </c>
      <c r="D1863" s="14" t="s">
        <v>510</v>
      </c>
      <c r="E1863" s="15" t="s">
        <v>499</v>
      </c>
      <c r="F1863" s="15">
        <v>3</v>
      </c>
      <c r="G1863" s="16">
        <f t="shared" si="106"/>
        <v>8170</v>
      </c>
      <c r="H1863" s="16">
        <v>8170</v>
      </c>
      <c r="I1863" s="16">
        <f t="shared" si="105"/>
        <v>0</v>
      </c>
      <c r="J1863" s="32">
        <v>8170</v>
      </c>
      <c r="K1863" s="69">
        <f t="shared" si="103"/>
        <v>0</v>
      </c>
      <c r="L1863" s="71"/>
      <c r="M1863" s="109"/>
      <c r="N1863" s="110">
        <v>0.95</v>
      </c>
    </row>
    <row r="1864" spans="1:14" ht="15" hidden="1" thickBot="1" x14ac:dyDescent="0.35">
      <c r="A1864" s="20">
        <v>328</v>
      </c>
      <c r="B1864" s="15" t="s">
        <v>1024</v>
      </c>
      <c r="C1864" s="46" t="s">
        <v>1025</v>
      </c>
      <c r="D1864" s="14" t="s">
        <v>510</v>
      </c>
      <c r="E1864" s="15" t="s">
        <v>503</v>
      </c>
      <c r="F1864" s="15">
        <v>3</v>
      </c>
      <c r="G1864" s="16">
        <f t="shared" si="106"/>
        <v>8170</v>
      </c>
      <c r="H1864" s="16">
        <v>8170</v>
      </c>
      <c r="I1864" s="16">
        <f t="shared" si="105"/>
        <v>0</v>
      </c>
      <c r="J1864" s="32">
        <v>8170</v>
      </c>
      <c r="K1864" s="69">
        <f t="shared" si="103"/>
        <v>0</v>
      </c>
      <c r="L1864" s="71"/>
      <c r="M1864" s="109"/>
      <c r="N1864" s="110">
        <v>0.95</v>
      </c>
    </row>
    <row r="1865" spans="1:14" ht="13.2" hidden="1" customHeight="1" thickBot="1" x14ac:dyDescent="0.35">
      <c r="A1865" s="20">
        <v>328</v>
      </c>
      <c r="B1865" s="15" t="s">
        <v>1024</v>
      </c>
      <c r="C1865" s="46" t="s">
        <v>1025</v>
      </c>
      <c r="D1865" s="14" t="s">
        <v>510</v>
      </c>
      <c r="E1865" s="15" t="s">
        <v>509</v>
      </c>
      <c r="F1865" s="15">
        <v>3</v>
      </c>
      <c r="G1865" s="16">
        <f t="shared" si="106"/>
        <v>8170</v>
      </c>
      <c r="H1865" s="16">
        <v>8170</v>
      </c>
      <c r="I1865" s="16">
        <f t="shared" si="105"/>
        <v>0</v>
      </c>
      <c r="J1865" s="32">
        <v>8170</v>
      </c>
      <c r="K1865" s="69">
        <f t="shared" si="103"/>
        <v>0</v>
      </c>
      <c r="L1865" s="71"/>
      <c r="M1865" s="109"/>
      <c r="N1865" s="110">
        <v>0.95</v>
      </c>
    </row>
    <row r="1866" spans="1:14" ht="13.2" hidden="1" customHeight="1" thickBot="1" x14ac:dyDescent="0.35">
      <c r="A1866" s="20">
        <v>328</v>
      </c>
      <c r="B1866" s="15" t="s">
        <v>1024</v>
      </c>
      <c r="C1866" s="46" t="s">
        <v>1025</v>
      </c>
      <c r="D1866" s="14" t="s">
        <v>510</v>
      </c>
      <c r="E1866" s="15" t="s">
        <v>504</v>
      </c>
      <c r="F1866" s="15">
        <v>2</v>
      </c>
      <c r="G1866" s="16">
        <f t="shared" si="106"/>
        <v>8170</v>
      </c>
      <c r="H1866" s="16">
        <v>8170</v>
      </c>
      <c r="I1866" s="16">
        <f t="shared" si="105"/>
        <v>0</v>
      </c>
      <c r="J1866" s="32">
        <v>8170</v>
      </c>
      <c r="K1866" s="69">
        <f t="shared" ref="K1866:K1946" si="107">M1866-L1866</f>
        <v>0</v>
      </c>
      <c r="L1866" s="71"/>
      <c r="M1866" s="109"/>
      <c r="N1866" s="110">
        <v>0.95</v>
      </c>
    </row>
    <row r="1867" spans="1:14" ht="13.2" hidden="1" customHeight="1" thickBot="1" x14ac:dyDescent="0.35">
      <c r="A1867" s="20">
        <v>328</v>
      </c>
      <c r="B1867" s="15" t="s">
        <v>1024</v>
      </c>
      <c r="C1867" s="46" t="s">
        <v>1025</v>
      </c>
      <c r="D1867" s="14" t="s">
        <v>510</v>
      </c>
      <c r="E1867" s="15" t="s">
        <v>512</v>
      </c>
      <c r="F1867" s="15">
        <v>2</v>
      </c>
      <c r="G1867" s="16">
        <f t="shared" si="106"/>
        <v>8170</v>
      </c>
      <c r="H1867" s="16">
        <v>8170</v>
      </c>
      <c r="I1867" s="16">
        <f t="shared" si="105"/>
        <v>0</v>
      </c>
      <c r="J1867" s="32">
        <v>8170</v>
      </c>
      <c r="K1867" s="69">
        <f t="shared" si="107"/>
        <v>0</v>
      </c>
      <c r="L1867" s="71"/>
      <c r="M1867" s="109"/>
      <c r="N1867" s="110">
        <v>0.95</v>
      </c>
    </row>
    <row r="1868" spans="1:14" ht="15" hidden="1" thickBot="1" x14ac:dyDescent="0.35">
      <c r="A1868" s="20">
        <v>328</v>
      </c>
      <c r="B1868" s="15" t="s">
        <v>1024</v>
      </c>
      <c r="C1868" s="46" t="s">
        <v>1025</v>
      </c>
      <c r="D1868" s="14" t="s">
        <v>510</v>
      </c>
      <c r="E1868" s="15" t="s">
        <v>500</v>
      </c>
      <c r="F1868" s="15">
        <v>2</v>
      </c>
      <c r="G1868" s="16">
        <f t="shared" si="106"/>
        <v>8170</v>
      </c>
      <c r="H1868" s="16">
        <v>8170</v>
      </c>
      <c r="I1868" s="16">
        <f t="shared" si="105"/>
        <v>0</v>
      </c>
      <c r="J1868" s="32">
        <v>8170</v>
      </c>
      <c r="K1868" s="69">
        <f t="shared" si="107"/>
        <v>0</v>
      </c>
      <c r="L1868" s="71"/>
      <c r="M1868" s="109"/>
      <c r="N1868" s="110">
        <v>0.95</v>
      </c>
    </row>
    <row r="1869" spans="1:14" ht="15" hidden="1" thickBot="1" x14ac:dyDescent="0.35">
      <c r="A1869" s="20">
        <v>328</v>
      </c>
      <c r="B1869" s="15" t="s">
        <v>1024</v>
      </c>
      <c r="C1869" s="46" t="s">
        <v>1025</v>
      </c>
      <c r="D1869" s="14" t="s">
        <v>510</v>
      </c>
      <c r="E1869" s="15" t="s">
        <v>502</v>
      </c>
      <c r="F1869" s="15">
        <v>3</v>
      </c>
      <c r="G1869" s="16">
        <f t="shared" si="106"/>
        <v>8170</v>
      </c>
      <c r="H1869" s="16">
        <v>8170</v>
      </c>
      <c r="I1869" s="16">
        <f t="shared" si="105"/>
        <v>0</v>
      </c>
      <c r="J1869" s="32">
        <v>8170</v>
      </c>
      <c r="K1869" s="69">
        <f t="shared" si="107"/>
        <v>0</v>
      </c>
      <c r="L1869" s="71"/>
      <c r="M1869" s="109"/>
      <c r="N1869" s="110">
        <v>0.95</v>
      </c>
    </row>
    <row r="1870" spans="1:14" ht="15" hidden="1" thickBot="1" x14ac:dyDescent="0.35">
      <c r="A1870" s="25">
        <v>329</v>
      </c>
      <c r="B1870" s="15" t="s">
        <v>1029</v>
      </c>
      <c r="C1870" s="15" t="s">
        <v>1030</v>
      </c>
      <c r="D1870" s="14" t="s">
        <v>497</v>
      </c>
      <c r="E1870" s="15" t="s">
        <v>14</v>
      </c>
      <c r="F1870" s="15">
        <v>1</v>
      </c>
      <c r="G1870" s="16">
        <f t="shared" si="106"/>
        <v>10710</v>
      </c>
      <c r="H1870" s="16">
        <v>10710</v>
      </c>
      <c r="I1870" s="16">
        <f t="shared" si="105"/>
        <v>0</v>
      </c>
      <c r="J1870" s="32">
        <v>10710</v>
      </c>
      <c r="K1870" s="69">
        <f t="shared" si="107"/>
        <v>0</v>
      </c>
      <c r="L1870" s="71"/>
      <c r="M1870" s="109"/>
      <c r="N1870" s="110"/>
    </row>
    <row r="1871" spans="1:14" ht="15" hidden="1" thickBot="1" x14ac:dyDescent="0.35">
      <c r="A1871" s="25">
        <v>330</v>
      </c>
      <c r="B1871" s="15" t="s">
        <v>1031</v>
      </c>
      <c r="C1871" s="15" t="s">
        <v>1032</v>
      </c>
      <c r="D1871" s="14" t="s">
        <v>497</v>
      </c>
      <c r="E1871" s="15" t="s">
        <v>14</v>
      </c>
      <c r="F1871" s="15">
        <v>1</v>
      </c>
      <c r="G1871" s="16">
        <f t="shared" si="106"/>
        <v>657666</v>
      </c>
      <c r="H1871" s="16">
        <v>657666</v>
      </c>
      <c r="I1871" s="16">
        <f t="shared" si="105"/>
        <v>0</v>
      </c>
      <c r="J1871" s="32">
        <v>657666</v>
      </c>
      <c r="K1871" s="69">
        <f t="shared" si="107"/>
        <v>0</v>
      </c>
      <c r="L1871" s="71"/>
      <c r="M1871" s="109"/>
      <c r="N1871" s="110"/>
    </row>
    <row r="1872" spans="1:14" ht="15" hidden="1" customHeight="1" thickBot="1" x14ac:dyDescent="0.35">
      <c r="A1872" s="25">
        <v>331</v>
      </c>
      <c r="B1872" s="15" t="s">
        <v>1814</v>
      </c>
      <c r="C1872" s="15" t="s">
        <v>989</v>
      </c>
      <c r="D1872" s="14" t="s">
        <v>497</v>
      </c>
      <c r="E1872" s="15" t="s">
        <v>14</v>
      </c>
      <c r="F1872" s="15">
        <v>3</v>
      </c>
      <c r="G1872" s="16">
        <f t="shared" si="106"/>
        <v>119166</v>
      </c>
      <c r="H1872" s="16">
        <v>119166</v>
      </c>
      <c r="I1872" s="16">
        <f t="shared" si="105"/>
        <v>0</v>
      </c>
      <c r="J1872" s="32">
        <v>119166</v>
      </c>
      <c r="K1872" s="69">
        <f t="shared" si="107"/>
        <v>0</v>
      </c>
      <c r="L1872" s="71"/>
      <c r="M1872" s="109"/>
      <c r="N1872" s="110"/>
    </row>
    <row r="1873" spans="1:14" ht="15" hidden="1" thickBot="1" x14ac:dyDescent="0.35">
      <c r="A1873" s="20">
        <v>332</v>
      </c>
      <c r="B1873" s="15" t="s">
        <v>1035</v>
      </c>
      <c r="C1873" s="15" t="s">
        <v>997</v>
      </c>
      <c r="D1873" s="14" t="s">
        <v>510</v>
      </c>
      <c r="E1873" s="15" t="s">
        <v>512</v>
      </c>
      <c r="F1873" s="15">
        <v>1</v>
      </c>
      <c r="G1873" s="16">
        <f t="shared" si="106"/>
        <v>2358</v>
      </c>
      <c r="H1873" s="16">
        <v>2358</v>
      </c>
      <c r="I1873" s="16">
        <f t="shared" si="105"/>
        <v>0</v>
      </c>
      <c r="J1873" s="32">
        <v>2358</v>
      </c>
      <c r="K1873" s="69">
        <f t="shared" si="107"/>
        <v>0</v>
      </c>
      <c r="L1873" s="71"/>
      <c r="M1873" s="109"/>
      <c r="N1873" s="110"/>
    </row>
    <row r="1874" spans="1:14" ht="15" hidden="1" thickBot="1" x14ac:dyDescent="0.35">
      <c r="A1874" s="20">
        <v>332</v>
      </c>
      <c r="B1874" s="15" t="s">
        <v>1035</v>
      </c>
      <c r="C1874" s="15" t="s">
        <v>997</v>
      </c>
      <c r="D1874" s="14" t="s">
        <v>614</v>
      </c>
      <c r="E1874" s="15" t="s">
        <v>512</v>
      </c>
      <c r="F1874" s="15">
        <v>1</v>
      </c>
      <c r="G1874" s="16">
        <f t="shared" si="106"/>
        <v>2532.6</v>
      </c>
      <c r="H1874" s="16">
        <v>2532.6</v>
      </c>
      <c r="I1874" s="16">
        <f t="shared" si="105"/>
        <v>0</v>
      </c>
      <c r="J1874" s="32">
        <v>2532.6</v>
      </c>
      <c r="K1874" s="69">
        <f t="shared" si="107"/>
        <v>0</v>
      </c>
      <c r="L1874" s="71"/>
      <c r="M1874" s="109"/>
      <c r="N1874" s="110"/>
    </row>
    <row r="1875" spans="1:14" ht="15" hidden="1" thickBot="1" x14ac:dyDescent="0.35">
      <c r="A1875" s="20">
        <v>332</v>
      </c>
      <c r="B1875" s="15" t="s">
        <v>1035</v>
      </c>
      <c r="C1875" s="46" t="s">
        <v>1034</v>
      </c>
      <c r="D1875" s="14" t="s">
        <v>614</v>
      </c>
      <c r="E1875" s="15" t="s">
        <v>502</v>
      </c>
      <c r="F1875" s="15">
        <v>1</v>
      </c>
      <c r="G1875" s="16">
        <f t="shared" si="106"/>
        <v>3740</v>
      </c>
      <c r="H1875" s="16">
        <v>3740</v>
      </c>
      <c r="I1875" s="16">
        <f t="shared" si="105"/>
        <v>0</v>
      </c>
      <c r="J1875" s="32">
        <v>3740</v>
      </c>
      <c r="K1875" s="69">
        <f t="shared" si="107"/>
        <v>0</v>
      </c>
      <c r="L1875" s="71"/>
      <c r="M1875" s="109"/>
      <c r="N1875" s="110"/>
    </row>
    <row r="1876" spans="1:14" ht="15" hidden="1" thickBot="1" x14ac:dyDescent="0.35">
      <c r="A1876" s="14">
        <v>332</v>
      </c>
      <c r="B1876" s="15" t="s">
        <v>1035</v>
      </c>
      <c r="C1876" s="46" t="s">
        <v>1034</v>
      </c>
      <c r="D1876" s="14" t="s">
        <v>614</v>
      </c>
      <c r="E1876" s="15" t="s">
        <v>508</v>
      </c>
      <c r="F1876" s="15">
        <v>1</v>
      </c>
      <c r="G1876" s="16">
        <f t="shared" si="106"/>
        <v>3264</v>
      </c>
      <c r="H1876" s="16">
        <v>3264</v>
      </c>
      <c r="I1876" s="16">
        <f t="shared" si="105"/>
        <v>0</v>
      </c>
      <c r="J1876" s="32">
        <v>3264</v>
      </c>
      <c r="K1876" s="69">
        <f t="shared" si="107"/>
        <v>0</v>
      </c>
      <c r="L1876" s="71"/>
      <c r="M1876" s="109"/>
      <c r="N1876" s="110"/>
    </row>
    <row r="1877" spans="1:14" ht="15" hidden="1" thickBot="1" x14ac:dyDescent="0.35">
      <c r="A1877" s="20">
        <v>333</v>
      </c>
      <c r="B1877" s="15" t="s">
        <v>1036</v>
      </c>
      <c r="C1877" s="15" t="s">
        <v>1034</v>
      </c>
      <c r="D1877" s="14" t="s">
        <v>614</v>
      </c>
      <c r="E1877" s="15" t="s">
        <v>506</v>
      </c>
      <c r="F1877" s="15">
        <v>2</v>
      </c>
      <c r="G1877" s="16">
        <f t="shared" si="106"/>
        <v>6192</v>
      </c>
      <c r="H1877" s="16">
        <v>6192</v>
      </c>
      <c r="I1877" s="16">
        <f>J1877-H1877</f>
        <v>0</v>
      </c>
      <c r="J1877" s="32">
        <v>6192</v>
      </c>
      <c r="K1877" s="69">
        <f t="shared" si="107"/>
        <v>0</v>
      </c>
      <c r="L1877" s="71"/>
      <c r="M1877" s="109"/>
      <c r="N1877" s="110"/>
    </row>
    <row r="1878" spans="1:14" ht="15" hidden="1" thickBot="1" x14ac:dyDescent="0.35">
      <c r="A1878" s="20">
        <v>333</v>
      </c>
      <c r="B1878" s="15" t="s">
        <v>1036</v>
      </c>
      <c r="C1878" s="15" t="s">
        <v>1034</v>
      </c>
      <c r="D1878" s="14" t="s">
        <v>510</v>
      </c>
      <c r="E1878" s="15" t="s">
        <v>506</v>
      </c>
      <c r="F1878" s="15">
        <v>2</v>
      </c>
      <c r="G1878" s="16">
        <f t="shared" si="106"/>
        <v>3218</v>
      </c>
      <c r="H1878" s="16">
        <v>3218</v>
      </c>
      <c r="I1878" s="16">
        <f>J1878-H1878</f>
        <v>0</v>
      </c>
      <c r="J1878" s="32">
        <v>3218</v>
      </c>
      <c r="K1878" s="69">
        <f t="shared" si="107"/>
        <v>0</v>
      </c>
      <c r="L1878" s="71"/>
      <c r="M1878" s="109"/>
      <c r="N1878" s="110"/>
    </row>
    <row r="1879" spans="1:14" ht="15" hidden="1" thickBot="1" x14ac:dyDescent="0.35">
      <c r="A1879" s="20">
        <v>333</v>
      </c>
      <c r="B1879" s="15" t="s">
        <v>1036</v>
      </c>
      <c r="C1879" s="15" t="s">
        <v>1034</v>
      </c>
      <c r="D1879" s="14" t="s">
        <v>524</v>
      </c>
      <c r="E1879" s="15" t="s">
        <v>503</v>
      </c>
      <c r="F1879" s="15">
        <v>1</v>
      </c>
      <c r="G1879" s="16">
        <f t="shared" si="106"/>
        <v>1872</v>
      </c>
      <c r="H1879" s="16">
        <v>1872</v>
      </c>
      <c r="I1879" s="16">
        <f>J1879-H1879</f>
        <v>0</v>
      </c>
      <c r="J1879" s="32">
        <v>1872</v>
      </c>
      <c r="K1879" s="69">
        <f t="shared" si="107"/>
        <v>0</v>
      </c>
      <c r="L1879" s="71"/>
      <c r="M1879" s="109"/>
      <c r="N1879" s="110"/>
    </row>
    <row r="1880" spans="1:14" ht="15" hidden="1" thickBot="1" x14ac:dyDescent="0.35">
      <c r="A1880" s="20">
        <v>333</v>
      </c>
      <c r="B1880" s="15" t="s">
        <v>1036</v>
      </c>
      <c r="C1880" s="15" t="s">
        <v>1034</v>
      </c>
      <c r="D1880" s="14" t="s">
        <v>510</v>
      </c>
      <c r="E1880" s="15" t="s">
        <v>503</v>
      </c>
      <c r="F1880" s="15">
        <v>2</v>
      </c>
      <c r="G1880" s="16">
        <f t="shared" si="106"/>
        <v>3168</v>
      </c>
      <c r="H1880" s="16">
        <v>3168</v>
      </c>
      <c r="I1880" s="16">
        <f>J1880-H1880</f>
        <v>0</v>
      </c>
      <c r="J1880" s="32">
        <v>3168</v>
      </c>
      <c r="K1880" s="69">
        <f t="shared" si="107"/>
        <v>0</v>
      </c>
      <c r="L1880" s="71"/>
      <c r="M1880" s="109"/>
      <c r="N1880" s="110"/>
    </row>
    <row r="1881" spans="1:14" ht="15" hidden="1" thickBot="1" x14ac:dyDescent="0.35">
      <c r="A1881" s="20">
        <v>333</v>
      </c>
      <c r="B1881" s="15" t="s">
        <v>1036</v>
      </c>
      <c r="C1881" s="15" t="s">
        <v>1034</v>
      </c>
      <c r="D1881" s="14" t="s">
        <v>614</v>
      </c>
      <c r="E1881" s="15" t="s">
        <v>503</v>
      </c>
      <c r="F1881" s="15">
        <v>2</v>
      </c>
      <c r="G1881" s="16">
        <f t="shared" si="106"/>
        <v>5969</v>
      </c>
      <c r="H1881" s="16">
        <v>5969</v>
      </c>
      <c r="I1881" s="16">
        <f t="shared" ref="I1881" si="108">J1881-H1881</f>
        <v>0</v>
      </c>
      <c r="J1881" s="32">
        <v>5969</v>
      </c>
      <c r="K1881" s="69">
        <f t="shared" si="107"/>
        <v>0</v>
      </c>
      <c r="L1881" s="71"/>
      <c r="M1881" s="109"/>
      <c r="N1881" s="110"/>
    </row>
    <row r="1882" spans="1:14" ht="15" hidden="1" thickBot="1" x14ac:dyDescent="0.35">
      <c r="A1882" s="20">
        <v>333</v>
      </c>
      <c r="B1882" s="15" t="s">
        <v>1036</v>
      </c>
      <c r="C1882" s="22" t="s">
        <v>648</v>
      </c>
      <c r="D1882" s="14" t="s">
        <v>980</v>
      </c>
      <c r="E1882" s="15" t="s">
        <v>503</v>
      </c>
      <c r="F1882" s="15">
        <v>3</v>
      </c>
      <c r="G1882" s="16">
        <f t="shared" si="106"/>
        <v>7200</v>
      </c>
      <c r="H1882" s="16">
        <v>7200</v>
      </c>
      <c r="I1882" s="16">
        <f t="shared" si="105"/>
        <v>0</v>
      </c>
      <c r="J1882" s="32">
        <v>7200</v>
      </c>
      <c r="K1882" s="69">
        <f t="shared" si="107"/>
        <v>0</v>
      </c>
      <c r="L1882" s="71"/>
      <c r="M1882" s="109"/>
      <c r="N1882" s="110">
        <v>0.8</v>
      </c>
    </row>
    <row r="1883" spans="1:14" ht="15" hidden="1" thickBot="1" x14ac:dyDescent="0.35">
      <c r="A1883" s="20">
        <v>334</v>
      </c>
      <c r="B1883" s="15" t="s">
        <v>1037</v>
      </c>
      <c r="C1883" s="15" t="s">
        <v>1034</v>
      </c>
      <c r="D1883" s="14" t="s">
        <v>547</v>
      </c>
      <c r="E1883" s="15" t="s">
        <v>502</v>
      </c>
      <c r="F1883" s="15">
        <v>2</v>
      </c>
      <c r="G1883" s="16">
        <f t="shared" si="106"/>
        <v>1396</v>
      </c>
      <c r="H1883" s="16">
        <v>1516</v>
      </c>
      <c r="I1883" s="16">
        <f t="shared" si="105"/>
        <v>0</v>
      </c>
      <c r="J1883" s="32">
        <v>1516</v>
      </c>
      <c r="K1883" s="69">
        <f t="shared" si="107"/>
        <v>0</v>
      </c>
      <c r="L1883" s="71">
        <v>120</v>
      </c>
      <c r="M1883" s="109">
        <v>120</v>
      </c>
      <c r="N1883" s="110"/>
    </row>
    <row r="1884" spans="1:14" ht="15" hidden="1" thickBot="1" x14ac:dyDescent="0.35">
      <c r="A1884" s="20">
        <v>334</v>
      </c>
      <c r="B1884" s="15" t="s">
        <v>1037</v>
      </c>
      <c r="C1884" s="15" t="s">
        <v>1034</v>
      </c>
      <c r="D1884" s="14" t="s">
        <v>522</v>
      </c>
      <c r="E1884" s="15" t="s">
        <v>502</v>
      </c>
      <c r="F1884" s="15">
        <v>2</v>
      </c>
      <c r="G1884" s="16">
        <f t="shared" si="106"/>
        <v>1879</v>
      </c>
      <c r="H1884" s="16">
        <v>1999</v>
      </c>
      <c r="I1884" s="16">
        <f t="shared" si="105"/>
        <v>0</v>
      </c>
      <c r="J1884" s="32">
        <v>1999</v>
      </c>
      <c r="K1884" s="69">
        <f t="shared" si="107"/>
        <v>0</v>
      </c>
      <c r="L1884" s="71">
        <v>120</v>
      </c>
      <c r="M1884" s="109">
        <v>120</v>
      </c>
      <c r="N1884" s="110"/>
    </row>
    <row r="1885" spans="1:14" ht="15" hidden="1" thickBot="1" x14ac:dyDescent="0.35">
      <c r="A1885" s="25">
        <v>335</v>
      </c>
      <c r="B1885" s="15" t="s">
        <v>1039</v>
      </c>
      <c r="C1885" s="15" t="s">
        <v>1040</v>
      </c>
      <c r="D1885" s="15" t="s">
        <v>720</v>
      </c>
      <c r="E1885" s="15" t="s">
        <v>508</v>
      </c>
      <c r="F1885" s="15">
        <v>1</v>
      </c>
      <c r="G1885" s="16">
        <f t="shared" si="106"/>
        <v>1553</v>
      </c>
      <c r="H1885" s="16">
        <v>1553</v>
      </c>
      <c r="I1885" s="16">
        <f t="shared" si="105"/>
        <v>0</v>
      </c>
      <c r="J1885" s="32">
        <v>1553</v>
      </c>
      <c r="K1885" s="69">
        <f t="shared" si="107"/>
        <v>0</v>
      </c>
      <c r="L1885" s="71"/>
      <c r="M1885" s="109"/>
      <c r="N1885" s="110"/>
    </row>
    <row r="1886" spans="1:14" ht="15" hidden="1" thickBot="1" x14ac:dyDescent="0.35">
      <c r="A1886" s="129">
        <v>336</v>
      </c>
      <c r="B1886" s="15" t="s">
        <v>1041</v>
      </c>
      <c r="C1886" s="15" t="s">
        <v>1369</v>
      </c>
      <c r="D1886" s="15" t="s">
        <v>638</v>
      </c>
      <c r="E1886" s="15" t="s">
        <v>504</v>
      </c>
      <c r="F1886" s="15">
        <v>2</v>
      </c>
      <c r="G1886" s="16">
        <f t="shared" si="106"/>
        <v>7128</v>
      </c>
      <c r="H1886" s="16">
        <v>7128</v>
      </c>
      <c r="I1886" s="16">
        <f t="shared" si="105"/>
        <v>0</v>
      </c>
      <c r="J1886" s="32">
        <v>7128</v>
      </c>
      <c r="K1886" s="69">
        <f t="shared" si="107"/>
        <v>0</v>
      </c>
      <c r="L1886" s="71"/>
      <c r="M1886" s="109"/>
      <c r="N1886" s="110" t="s">
        <v>1330</v>
      </c>
    </row>
    <row r="1887" spans="1:14" ht="15" hidden="1" thickBot="1" x14ac:dyDescent="0.35">
      <c r="A1887" s="129">
        <v>336</v>
      </c>
      <c r="B1887" s="15" t="s">
        <v>1041</v>
      </c>
      <c r="C1887" s="15" t="s">
        <v>602</v>
      </c>
      <c r="D1887" s="15" t="s">
        <v>638</v>
      </c>
      <c r="E1887" s="15" t="s">
        <v>504</v>
      </c>
      <c r="F1887" s="15">
        <v>10</v>
      </c>
      <c r="G1887" s="16">
        <f t="shared" si="106"/>
        <v>45251</v>
      </c>
      <c r="H1887" s="16">
        <v>45671</v>
      </c>
      <c r="I1887" s="16">
        <f t="shared" si="105"/>
        <v>0</v>
      </c>
      <c r="J1887" s="32">
        <v>45671</v>
      </c>
      <c r="K1887" s="69">
        <f t="shared" si="107"/>
        <v>0</v>
      </c>
      <c r="L1887" s="71">
        <v>420</v>
      </c>
      <c r="M1887" s="109">
        <v>420</v>
      </c>
      <c r="N1887" s="110">
        <v>0.9</v>
      </c>
    </row>
    <row r="1888" spans="1:14" ht="15" hidden="1" thickBot="1" x14ac:dyDescent="0.35">
      <c r="A1888" s="129">
        <v>336</v>
      </c>
      <c r="B1888" s="15" t="s">
        <v>1041</v>
      </c>
      <c r="C1888" s="15" t="s">
        <v>602</v>
      </c>
      <c r="D1888" s="15" t="s">
        <v>694</v>
      </c>
      <c r="E1888" s="15" t="s">
        <v>509</v>
      </c>
      <c r="F1888" s="15">
        <v>16</v>
      </c>
      <c r="G1888" s="16">
        <f t="shared" si="106"/>
        <v>44374</v>
      </c>
      <c r="H1888" s="16">
        <v>44434</v>
      </c>
      <c r="I1888" s="16">
        <f t="shared" si="105"/>
        <v>0</v>
      </c>
      <c r="J1888" s="32">
        <v>44434</v>
      </c>
      <c r="K1888" s="69">
        <f t="shared" si="107"/>
        <v>0</v>
      </c>
      <c r="L1888" s="71">
        <v>60</v>
      </c>
      <c r="M1888" s="109">
        <v>60</v>
      </c>
      <c r="N1888" s="110" t="s">
        <v>1120</v>
      </c>
    </row>
    <row r="1889" spans="1:14" ht="15" hidden="1" thickBot="1" x14ac:dyDescent="0.35">
      <c r="A1889" s="129">
        <v>336</v>
      </c>
      <c r="B1889" s="15" t="s">
        <v>1041</v>
      </c>
      <c r="C1889" s="15" t="s">
        <v>1034</v>
      </c>
      <c r="D1889" s="15" t="s">
        <v>513</v>
      </c>
      <c r="E1889" s="15" t="s">
        <v>546</v>
      </c>
      <c r="F1889" s="15">
        <v>3</v>
      </c>
      <c r="G1889" s="16">
        <f t="shared" si="106"/>
        <v>3748</v>
      </c>
      <c r="H1889" s="16">
        <v>3748</v>
      </c>
      <c r="I1889" s="16">
        <f t="shared" si="105"/>
        <v>0</v>
      </c>
      <c r="J1889" s="32">
        <v>3748</v>
      </c>
      <c r="K1889" s="69">
        <f t="shared" si="107"/>
        <v>0</v>
      </c>
      <c r="L1889" s="71"/>
      <c r="M1889" s="109"/>
      <c r="N1889" s="110"/>
    </row>
    <row r="1890" spans="1:14" ht="15" hidden="1" thickBot="1" x14ac:dyDescent="0.35">
      <c r="A1890" s="20">
        <v>337</v>
      </c>
      <c r="B1890" s="15" t="s">
        <v>1042</v>
      </c>
      <c r="C1890" s="15" t="s">
        <v>602</v>
      </c>
      <c r="D1890" s="15" t="s">
        <v>981</v>
      </c>
      <c r="E1890" s="15" t="s">
        <v>502</v>
      </c>
      <c r="F1890" s="15">
        <v>15</v>
      </c>
      <c r="G1890" s="16">
        <f t="shared" si="106"/>
        <v>41177</v>
      </c>
      <c r="H1890" s="16">
        <v>45757</v>
      </c>
      <c r="I1890" s="16">
        <f t="shared" si="105"/>
        <v>0</v>
      </c>
      <c r="J1890" s="32">
        <v>45757</v>
      </c>
      <c r="K1890" s="69">
        <f t="shared" si="107"/>
        <v>0</v>
      </c>
      <c r="L1890" s="71">
        <v>4580</v>
      </c>
      <c r="M1890" s="109">
        <v>4580</v>
      </c>
      <c r="N1890" s="110">
        <v>0.9</v>
      </c>
    </row>
    <row r="1891" spans="1:14" ht="15" hidden="1" thickBot="1" x14ac:dyDescent="0.35">
      <c r="A1891" s="20">
        <v>337</v>
      </c>
      <c r="B1891" s="15" t="s">
        <v>1042</v>
      </c>
      <c r="C1891" s="15" t="s">
        <v>1034</v>
      </c>
      <c r="D1891" s="15" t="s">
        <v>523</v>
      </c>
      <c r="E1891" s="15" t="s">
        <v>508</v>
      </c>
      <c r="F1891" s="15">
        <v>2</v>
      </c>
      <c r="G1891" s="16">
        <f t="shared" si="106"/>
        <v>2049</v>
      </c>
      <c r="H1891" s="16">
        <v>2049</v>
      </c>
      <c r="I1891" s="16">
        <f t="shared" si="105"/>
        <v>0</v>
      </c>
      <c r="J1891" s="32">
        <v>2049</v>
      </c>
      <c r="K1891" s="69">
        <f t="shared" si="107"/>
        <v>0</v>
      </c>
      <c r="L1891" s="71"/>
      <c r="M1891" s="109"/>
      <c r="N1891" s="110"/>
    </row>
    <row r="1892" spans="1:14" ht="16.95" hidden="1" customHeight="1" thickBot="1" x14ac:dyDescent="0.35">
      <c r="A1892" s="25">
        <v>338</v>
      </c>
      <c r="B1892" s="15" t="s">
        <v>1047</v>
      </c>
      <c r="C1892" s="15" t="s">
        <v>906</v>
      </c>
      <c r="D1892" s="15" t="s">
        <v>1273</v>
      </c>
      <c r="E1892" s="15" t="s">
        <v>512</v>
      </c>
      <c r="F1892" s="15">
        <v>5</v>
      </c>
      <c r="G1892" s="16">
        <f t="shared" si="106"/>
        <v>88624</v>
      </c>
      <c r="H1892" s="16">
        <v>88624</v>
      </c>
      <c r="I1892" s="16">
        <f t="shared" si="105"/>
        <v>0</v>
      </c>
      <c r="J1892" s="32">
        <v>88624</v>
      </c>
      <c r="K1892" s="69">
        <f t="shared" si="107"/>
        <v>0</v>
      </c>
      <c r="L1892" s="71"/>
      <c r="M1892" s="109"/>
      <c r="N1892" s="110" t="s">
        <v>1229</v>
      </c>
    </row>
    <row r="1893" spans="1:14" ht="16.95" hidden="1" customHeight="1" thickBot="1" x14ac:dyDescent="0.35">
      <c r="A1893" s="25">
        <v>338</v>
      </c>
      <c r="B1893" s="15" t="s">
        <v>1047</v>
      </c>
      <c r="C1893" s="15" t="s">
        <v>906</v>
      </c>
      <c r="D1893" s="15" t="s">
        <v>1076</v>
      </c>
      <c r="E1893" s="15" t="s">
        <v>512</v>
      </c>
      <c r="F1893" s="15">
        <v>9</v>
      </c>
      <c r="G1893" s="16">
        <f t="shared" si="106"/>
        <v>397675</v>
      </c>
      <c r="H1893" s="16">
        <v>401715</v>
      </c>
      <c r="I1893" s="16">
        <f t="shared" si="105"/>
        <v>0</v>
      </c>
      <c r="J1893" s="32">
        <v>401715</v>
      </c>
      <c r="K1893" s="69">
        <f t="shared" si="107"/>
        <v>0</v>
      </c>
      <c r="L1893" s="71">
        <v>4040</v>
      </c>
      <c r="M1893" s="109">
        <v>4040</v>
      </c>
      <c r="N1893" s="110">
        <v>0.93</v>
      </c>
    </row>
    <row r="1894" spans="1:14" ht="15" hidden="1" thickBot="1" x14ac:dyDescent="0.35">
      <c r="A1894" s="25">
        <v>339</v>
      </c>
      <c r="B1894" s="15" t="s">
        <v>1048</v>
      </c>
      <c r="C1894" s="15" t="s">
        <v>602</v>
      </c>
      <c r="D1894" s="15" t="s">
        <v>985</v>
      </c>
      <c r="E1894" s="15" t="s">
        <v>506</v>
      </c>
      <c r="F1894" s="15">
        <v>2</v>
      </c>
      <c r="G1894" s="16">
        <f t="shared" si="106"/>
        <v>13424</v>
      </c>
      <c r="H1894" s="16">
        <v>13424</v>
      </c>
      <c r="I1894" s="16">
        <f t="shared" si="105"/>
        <v>0</v>
      </c>
      <c r="J1894" s="32">
        <v>13424</v>
      </c>
      <c r="K1894" s="69">
        <f t="shared" si="107"/>
        <v>0</v>
      </c>
      <c r="L1894" s="71"/>
      <c r="M1894" s="109"/>
      <c r="N1894" s="110"/>
    </row>
    <row r="1895" spans="1:14" ht="15" hidden="1" thickBot="1" x14ac:dyDescent="0.35">
      <c r="A1895" s="20">
        <v>340</v>
      </c>
      <c r="B1895" s="15" t="s">
        <v>178</v>
      </c>
      <c r="C1895" s="15" t="s">
        <v>940</v>
      </c>
      <c r="D1895" s="15" t="s">
        <v>1001</v>
      </c>
      <c r="E1895" s="15" t="s">
        <v>504</v>
      </c>
      <c r="F1895" s="15">
        <v>15</v>
      </c>
      <c r="G1895" s="16">
        <f t="shared" si="106"/>
        <v>156375</v>
      </c>
      <c r="H1895" s="16">
        <v>157865</v>
      </c>
      <c r="I1895" s="16">
        <f t="shared" si="105"/>
        <v>0</v>
      </c>
      <c r="J1895" s="32">
        <v>157865</v>
      </c>
      <c r="K1895" s="69">
        <f t="shared" si="107"/>
        <v>0</v>
      </c>
      <c r="L1895" s="71">
        <v>1490</v>
      </c>
      <c r="M1895" s="109">
        <v>1490</v>
      </c>
      <c r="N1895" s="110">
        <v>0.9</v>
      </c>
    </row>
    <row r="1896" spans="1:14" ht="15" hidden="1" thickBot="1" x14ac:dyDescent="0.35">
      <c r="A1896" s="20">
        <v>340</v>
      </c>
      <c r="B1896" s="15" t="s">
        <v>178</v>
      </c>
      <c r="C1896" s="15" t="s">
        <v>940</v>
      </c>
      <c r="D1896" s="15" t="s">
        <v>638</v>
      </c>
      <c r="E1896" s="15" t="s">
        <v>504</v>
      </c>
      <c r="F1896" s="15">
        <v>6</v>
      </c>
      <c r="G1896" s="16">
        <f t="shared" si="106"/>
        <v>73067</v>
      </c>
      <c r="H1896" s="16">
        <v>73697</v>
      </c>
      <c r="I1896" s="16">
        <f t="shared" si="105"/>
        <v>0</v>
      </c>
      <c r="J1896" s="32">
        <v>73697</v>
      </c>
      <c r="K1896" s="69">
        <f t="shared" si="107"/>
        <v>0</v>
      </c>
      <c r="L1896" s="71">
        <v>630</v>
      </c>
      <c r="M1896" s="109">
        <v>630</v>
      </c>
      <c r="N1896" s="110" t="s">
        <v>1279</v>
      </c>
    </row>
    <row r="1897" spans="1:14" ht="15" hidden="1" thickBot="1" x14ac:dyDescent="0.35">
      <c r="A1897" s="20">
        <v>340</v>
      </c>
      <c r="B1897" s="15" t="s">
        <v>178</v>
      </c>
      <c r="C1897" s="15" t="s">
        <v>940</v>
      </c>
      <c r="D1897" s="15" t="s">
        <v>1397</v>
      </c>
      <c r="E1897" s="15" t="s">
        <v>504</v>
      </c>
      <c r="F1897" s="15">
        <v>3</v>
      </c>
      <c r="G1897" s="16">
        <f t="shared" si="106"/>
        <v>5805</v>
      </c>
      <c r="H1897" s="16">
        <v>6075</v>
      </c>
      <c r="I1897" s="16">
        <f t="shared" si="105"/>
        <v>0</v>
      </c>
      <c r="J1897" s="32">
        <v>6075</v>
      </c>
      <c r="K1897" s="69">
        <f t="shared" si="107"/>
        <v>0</v>
      </c>
      <c r="L1897" s="71">
        <v>270</v>
      </c>
      <c r="M1897" s="109">
        <v>270</v>
      </c>
      <c r="N1897" s="110">
        <v>0.9</v>
      </c>
    </row>
    <row r="1898" spans="1:14" ht="15" hidden="1" thickBot="1" x14ac:dyDescent="0.35">
      <c r="A1898" s="20">
        <v>340</v>
      </c>
      <c r="B1898" s="15" t="s">
        <v>178</v>
      </c>
      <c r="C1898" s="15" t="s">
        <v>940</v>
      </c>
      <c r="D1898" s="15" t="s">
        <v>1091</v>
      </c>
      <c r="E1898" s="15" t="s">
        <v>504</v>
      </c>
      <c r="F1898" s="15">
        <v>7</v>
      </c>
      <c r="G1898" s="16">
        <f t="shared" si="106"/>
        <v>32268</v>
      </c>
      <c r="H1898" s="16">
        <v>35288</v>
      </c>
      <c r="I1898" s="16">
        <f t="shared" si="105"/>
        <v>0</v>
      </c>
      <c r="J1898" s="32">
        <v>35288</v>
      </c>
      <c r="K1898" s="69">
        <f t="shared" si="107"/>
        <v>0</v>
      </c>
      <c r="L1898" s="71">
        <v>3020</v>
      </c>
      <c r="M1898" s="109">
        <v>3020</v>
      </c>
      <c r="N1898" s="110">
        <v>0.9</v>
      </c>
    </row>
    <row r="1899" spans="1:14" ht="15" hidden="1" thickBot="1" x14ac:dyDescent="0.35">
      <c r="A1899" s="20">
        <v>340</v>
      </c>
      <c r="B1899" s="15" t="s">
        <v>178</v>
      </c>
      <c r="C1899" s="15" t="s">
        <v>940</v>
      </c>
      <c r="D1899" s="15" t="s">
        <v>670</v>
      </c>
      <c r="E1899" s="15" t="s">
        <v>506</v>
      </c>
      <c r="F1899" s="15">
        <v>12</v>
      </c>
      <c r="G1899" s="16">
        <f t="shared" si="106"/>
        <v>231734</v>
      </c>
      <c r="H1899" s="16">
        <v>231974</v>
      </c>
      <c r="I1899" s="16">
        <f t="shared" si="105"/>
        <v>0</v>
      </c>
      <c r="J1899" s="32">
        <v>231974</v>
      </c>
      <c r="K1899" s="69">
        <f t="shared" si="107"/>
        <v>0</v>
      </c>
      <c r="L1899" s="71">
        <v>240</v>
      </c>
      <c r="M1899" s="109">
        <v>240</v>
      </c>
      <c r="N1899" s="110" t="s">
        <v>1279</v>
      </c>
    </row>
    <row r="1900" spans="1:14" ht="15" hidden="1" thickBot="1" x14ac:dyDescent="0.35">
      <c r="A1900" s="25">
        <v>341</v>
      </c>
      <c r="B1900" s="15" t="s">
        <v>1049</v>
      </c>
      <c r="C1900" s="15" t="s">
        <v>602</v>
      </c>
      <c r="D1900" s="15" t="s">
        <v>670</v>
      </c>
      <c r="E1900" s="15" t="s">
        <v>506</v>
      </c>
      <c r="F1900" s="15">
        <v>6</v>
      </c>
      <c r="G1900" s="16">
        <f t="shared" si="106"/>
        <v>21010</v>
      </c>
      <c r="H1900" s="16">
        <v>21010</v>
      </c>
      <c r="I1900" s="16">
        <f t="shared" si="105"/>
        <v>0</v>
      </c>
      <c r="J1900" s="32">
        <v>21010</v>
      </c>
      <c r="K1900" s="69">
        <f t="shared" si="107"/>
        <v>0</v>
      </c>
      <c r="L1900" s="71"/>
      <c r="M1900" s="109"/>
      <c r="N1900" s="110">
        <v>0.6</v>
      </c>
    </row>
    <row r="1901" spans="1:14" ht="15" hidden="1" thickBot="1" x14ac:dyDescent="0.35">
      <c r="A1901" s="25">
        <v>342</v>
      </c>
      <c r="B1901" s="15" t="s">
        <v>1050</v>
      </c>
      <c r="C1901" s="15" t="s">
        <v>602</v>
      </c>
      <c r="D1901" s="15" t="s">
        <v>670</v>
      </c>
      <c r="E1901" s="15" t="s">
        <v>506</v>
      </c>
      <c r="F1901" s="15">
        <v>10</v>
      </c>
      <c r="G1901" s="16">
        <f t="shared" si="106"/>
        <v>30295</v>
      </c>
      <c r="H1901" s="16">
        <v>30415</v>
      </c>
      <c r="I1901" s="16">
        <f t="shared" si="105"/>
        <v>0</v>
      </c>
      <c r="J1901" s="32">
        <v>30415</v>
      </c>
      <c r="K1901" s="69">
        <f t="shared" si="107"/>
        <v>0</v>
      </c>
      <c r="L1901" s="71">
        <v>120</v>
      </c>
      <c r="M1901" s="109">
        <v>120</v>
      </c>
      <c r="N1901" s="110" t="s">
        <v>1120</v>
      </c>
    </row>
    <row r="1902" spans="1:14" ht="15" hidden="1" thickBot="1" x14ac:dyDescent="0.35">
      <c r="A1902" s="25">
        <v>342</v>
      </c>
      <c r="B1902" s="15" t="s">
        <v>1050</v>
      </c>
      <c r="C1902" s="15" t="s">
        <v>602</v>
      </c>
      <c r="D1902" s="15" t="s">
        <v>985</v>
      </c>
      <c r="E1902" s="15" t="s">
        <v>506</v>
      </c>
      <c r="F1902" s="15">
        <v>7</v>
      </c>
      <c r="G1902" s="16">
        <f t="shared" si="106"/>
        <v>23956</v>
      </c>
      <c r="H1902" s="16">
        <v>25586</v>
      </c>
      <c r="I1902" s="16">
        <f t="shared" si="105"/>
        <v>0</v>
      </c>
      <c r="J1902" s="32">
        <v>25586</v>
      </c>
      <c r="K1902" s="69">
        <f t="shared" si="107"/>
        <v>0</v>
      </c>
      <c r="L1902" s="71">
        <v>1630</v>
      </c>
      <c r="M1902" s="109">
        <v>1630</v>
      </c>
      <c r="N1902" s="110" t="s">
        <v>1516</v>
      </c>
    </row>
    <row r="1903" spans="1:14" ht="15" hidden="1" thickBot="1" x14ac:dyDescent="0.35">
      <c r="A1903" s="25">
        <v>342</v>
      </c>
      <c r="B1903" s="15" t="s">
        <v>1050</v>
      </c>
      <c r="C1903" s="15" t="s">
        <v>602</v>
      </c>
      <c r="D1903" s="15" t="s">
        <v>679</v>
      </c>
      <c r="E1903" s="15" t="s">
        <v>502</v>
      </c>
      <c r="F1903" s="15">
        <v>15</v>
      </c>
      <c r="G1903" s="16">
        <f t="shared" si="106"/>
        <v>38555</v>
      </c>
      <c r="H1903" s="16">
        <v>38795</v>
      </c>
      <c r="I1903" s="16">
        <f t="shared" ref="I1903:I1966" si="109">J1903-H1903</f>
        <v>0</v>
      </c>
      <c r="J1903" s="32">
        <v>38795</v>
      </c>
      <c r="K1903" s="69">
        <f t="shared" si="107"/>
        <v>0</v>
      </c>
      <c r="L1903" s="71">
        <v>240</v>
      </c>
      <c r="M1903" s="109">
        <v>240</v>
      </c>
      <c r="N1903" s="110">
        <v>0.9</v>
      </c>
    </row>
    <row r="1904" spans="1:14" ht="15" hidden="1" thickBot="1" x14ac:dyDescent="0.35">
      <c r="A1904" s="20">
        <v>343</v>
      </c>
      <c r="B1904" s="15" t="s">
        <v>1052</v>
      </c>
      <c r="C1904" s="46" t="s">
        <v>664</v>
      </c>
      <c r="D1904" s="15" t="s">
        <v>752</v>
      </c>
      <c r="E1904" s="15" t="s">
        <v>504</v>
      </c>
      <c r="F1904" s="15">
        <v>6</v>
      </c>
      <c r="G1904" s="16">
        <f t="shared" si="106"/>
        <v>19479</v>
      </c>
      <c r="H1904" s="16">
        <v>19989</v>
      </c>
      <c r="I1904" s="16">
        <f t="shared" si="109"/>
        <v>0</v>
      </c>
      <c r="J1904" s="32">
        <v>19989</v>
      </c>
      <c r="K1904" s="69">
        <f t="shared" si="107"/>
        <v>0</v>
      </c>
      <c r="L1904" s="71">
        <v>510</v>
      </c>
      <c r="M1904" s="109">
        <v>510</v>
      </c>
      <c r="N1904" s="110" t="s">
        <v>1372</v>
      </c>
    </row>
    <row r="1905" spans="1:14" ht="15" hidden="1" thickBot="1" x14ac:dyDescent="0.35">
      <c r="A1905" s="20">
        <v>343</v>
      </c>
      <c r="B1905" s="15" t="s">
        <v>1052</v>
      </c>
      <c r="C1905" s="15" t="s">
        <v>940</v>
      </c>
      <c r="D1905" s="15" t="s">
        <v>752</v>
      </c>
      <c r="E1905" s="15" t="s">
        <v>504</v>
      </c>
      <c r="F1905" s="15">
        <v>1</v>
      </c>
      <c r="G1905" s="16">
        <f t="shared" si="106"/>
        <v>2196</v>
      </c>
      <c r="H1905" s="16">
        <v>2196</v>
      </c>
      <c r="I1905" s="16">
        <f t="shared" si="109"/>
        <v>0</v>
      </c>
      <c r="J1905" s="32">
        <v>2196</v>
      </c>
      <c r="K1905" s="69">
        <f t="shared" si="107"/>
        <v>0</v>
      </c>
      <c r="L1905" s="71"/>
      <c r="M1905" s="109"/>
      <c r="N1905" s="110"/>
    </row>
    <row r="1906" spans="1:14" ht="15" hidden="1" thickBot="1" x14ac:dyDescent="0.35">
      <c r="A1906" s="20">
        <v>343</v>
      </c>
      <c r="B1906" s="15" t="s">
        <v>1052</v>
      </c>
      <c r="C1906" s="15" t="s">
        <v>668</v>
      </c>
      <c r="D1906" s="15" t="s">
        <v>752</v>
      </c>
      <c r="E1906" s="15" t="s">
        <v>504</v>
      </c>
      <c r="F1906" s="15">
        <v>1</v>
      </c>
      <c r="G1906" s="16">
        <f t="shared" si="106"/>
        <v>878.4</v>
      </c>
      <c r="H1906" s="16">
        <v>878.4</v>
      </c>
      <c r="I1906" s="16">
        <f t="shared" si="109"/>
        <v>0</v>
      </c>
      <c r="J1906" s="32">
        <v>878.4</v>
      </c>
      <c r="K1906" s="69">
        <f t="shared" si="107"/>
        <v>0</v>
      </c>
      <c r="L1906" s="71"/>
      <c r="M1906" s="109"/>
      <c r="N1906" s="110"/>
    </row>
    <row r="1907" spans="1:14" ht="15" hidden="1" thickBot="1" x14ac:dyDescent="0.35">
      <c r="A1907" s="20">
        <v>344</v>
      </c>
      <c r="B1907" s="15" t="s">
        <v>1059</v>
      </c>
      <c r="C1907" s="15" t="s">
        <v>1026</v>
      </c>
      <c r="D1907" s="14" t="s">
        <v>497</v>
      </c>
      <c r="E1907" s="15" t="s">
        <v>14</v>
      </c>
      <c r="F1907" s="15">
        <v>1</v>
      </c>
      <c r="G1907" s="16">
        <f t="shared" si="106"/>
        <v>15120</v>
      </c>
      <c r="H1907" s="16">
        <v>15120</v>
      </c>
      <c r="I1907" s="16">
        <f t="shared" si="109"/>
        <v>0</v>
      </c>
      <c r="J1907" s="32">
        <v>15120</v>
      </c>
      <c r="K1907" s="69">
        <f t="shared" si="107"/>
        <v>0</v>
      </c>
      <c r="L1907" s="71"/>
      <c r="M1907" s="109"/>
      <c r="N1907" s="110"/>
    </row>
    <row r="1908" spans="1:14" ht="15" hidden="1" thickBot="1" x14ac:dyDescent="0.35">
      <c r="A1908" s="19">
        <v>344</v>
      </c>
      <c r="B1908" s="15" t="s">
        <v>1059</v>
      </c>
      <c r="C1908" s="15" t="s">
        <v>1060</v>
      </c>
      <c r="D1908" s="14" t="s">
        <v>497</v>
      </c>
      <c r="E1908" s="15" t="s">
        <v>14</v>
      </c>
      <c r="F1908" s="15">
        <v>5</v>
      </c>
      <c r="G1908" s="16">
        <f t="shared" si="106"/>
        <v>86350</v>
      </c>
      <c r="H1908" s="16">
        <v>86350</v>
      </c>
      <c r="I1908" s="16">
        <f t="shared" si="109"/>
        <v>0</v>
      </c>
      <c r="J1908" s="32">
        <v>86350</v>
      </c>
      <c r="K1908" s="69">
        <f t="shared" si="107"/>
        <v>0</v>
      </c>
      <c r="L1908" s="71"/>
      <c r="M1908" s="109"/>
      <c r="N1908" s="110"/>
    </row>
    <row r="1909" spans="1:14" ht="15" hidden="1" thickBot="1" x14ac:dyDescent="0.35">
      <c r="A1909" s="25">
        <v>345</v>
      </c>
      <c r="B1909" s="15" t="s">
        <v>1063</v>
      </c>
      <c r="C1909" s="15" t="s">
        <v>1060</v>
      </c>
      <c r="D1909" s="14" t="s">
        <v>497</v>
      </c>
      <c r="E1909" s="15" t="s">
        <v>14</v>
      </c>
      <c r="F1909" s="15">
        <v>1</v>
      </c>
      <c r="G1909" s="16">
        <f t="shared" si="106"/>
        <v>18172</v>
      </c>
      <c r="H1909" s="16">
        <v>18172</v>
      </c>
      <c r="I1909" s="16">
        <f t="shared" si="109"/>
        <v>0</v>
      </c>
      <c r="J1909" s="32">
        <v>18172</v>
      </c>
      <c r="K1909" s="69">
        <f t="shared" si="107"/>
        <v>0</v>
      </c>
      <c r="L1909" s="71"/>
      <c r="M1909" s="109"/>
      <c r="N1909" s="110"/>
    </row>
    <row r="1910" spans="1:14" ht="15" hidden="1" thickBot="1" x14ac:dyDescent="0.35">
      <c r="A1910" s="25">
        <v>346</v>
      </c>
      <c r="B1910" s="15" t="s">
        <v>1065</v>
      </c>
      <c r="C1910" s="15" t="s">
        <v>889</v>
      </c>
      <c r="D1910" s="14" t="s">
        <v>497</v>
      </c>
      <c r="E1910" s="15" t="s">
        <v>14</v>
      </c>
      <c r="F1910" s="15">
        <v>8</v>
      </c>
      <c r="G1910" s="16">
        <f t="shared" si="106"/>
        <v>406262</v>
      </c>
      <c r="H1910" s="16">
        <v>408902</v>
      </c>
      <c r="I1910" s="16">
        <f>J1910-H1910</f>
        <v>0</v>
      </c>
      <c r="J1910" s="32">
        <v>408902</v>
      </c>
      <c r="K1910" s="69">
        <f t="shared" si="107"/>
        <v>0</v>
      </c>
      <c r="L1910" s="71">
        <v>2640</v>
      </c>
      <c r="M1910" s="109">
        <v>2640</v>
      </c>
      <c r="N1910" s="110"/>
    </row>
    <row r="1911" spans="1:14" ht="15" hidden="1" thickBot="1" x14ac:dyDescent="0.35">
      <c r="A1911" s="25">
        <v>347</v>
      </c>
      <c r="B1911" s="15" t="s">
        <v>1014</v>
      </c>
      <c r="C1911" s="14" t="s">
        <v>1060</v>
      </c>
      <c r="D1911" s="14" t="s">
        <v>497</v>
      </c>
      <c r="E1911" s="15" t="s">
        <v>14</v>
      </c>
      <c r="F1911" s="15">
        <v>1</v>
      </c>
      <c r="G1911" s="16">
        <f t="shared" si="106"/>
        <v>2700</v>
      </c>
      <c r="H1911" s="16">
        <v>2700</v>
      </c>
      <c r="I1911" s="16">
        <f t="shared" si="109"/>
        <v>0</v>
      </c>
      <c r="J1911" s="32">
        <v>2700</v>
      </c>
      <c r="K1911" s="69">
        <f t="shared" si="107"/>
        <v>0</v>
      </c>
      <c r="L1911" s="71"/>
      <c r="M1911" s="109"/>
      <c r="N1911" s="110"/>
    </row>
    <row r="1912" spans="1:14" ht="15" hidden="1" thickBot="1" x14ac:dyDescent="0.35">
      <c r="A1912" s="25">
        <v>347</v>
      </c>
      <c r="B1912" s="15" t="s">
        <v>1014</v>
      </c>
      <c r="C1912" s="15" t="s">
        <v>1732</v>
      </c>
      <c r="D1912" s="14" t="s">
        <v>497</v>
      </c>
      <c r="E1912" s="15" t="s">
        <v>14</v>
      </c>
      <c r="F1912" s="15">
        <v>17</v>
      </c>
      <c r="G1912" s="16">
        <f t="shared" si="106"/>
        <v>78445</v>
      </c>
      <c r="H1912" s="16">
        <v>78445</v>
      </c>
      <c r="I1912" s="16">
        <f t="shared" si="109"/>
        <v>0</v>
      </c>
      <c r="J1912" s="32">
        <v>78445</v>
      </c>
      <c r="K1912" s="69">
        <f t="shared" si="107"/>
        <v>0</v>
      </c>
      <c r="L1912" s="71"/>
      <c r="M1912" s="109"/>
      <c r="N1912" s="110"/>
    </row>
    <row r="1913" spans="1:14" ht="15" hidden="1" thickBot="1" x14ac:dyDescent="0.35">
      <c r="A1913" s="25">
        <v>348</v>
      </c>
      <c r="B1913" s="15" t="s">
        <v>1067</v>
      </c>
      <c r="C1913" s="15" t="s">
        <v>1732</v>
      </c>
      <c r="D1913" s="14" t="s">
        <v>497</v>
      </c>
      <c r="E1913" s="15" t="s">
        <v>14</v>
      </c>
      <c r="F1913" s="15">
        <v>8</v>
      </c>
      <c r="G1913" s="16">
        <f t="shared" si="106"/>
        <v>145014</v>
      </c>
      <c r="H1913" s="16">
        <v>145014</v>
      </c>
      <c r="I1913" s="16">
        <f t="shared" si="109"/>
        <v>0</v>
      </c>
      <c r="J1913" s="32">
        <v>145014</v>
      </c>
      <c r="K1913" s="69">
        <f t="shared" si="107"/>
        <v>0</v>
      </c>
      <c r="L1913" s="71"/>
      <c r="M1913" s="109"/>
      <c r="N1913" s="110"/>
    </row>
    <row r="1914" spans="1:14" ht="15" hidden="1" thickBot="1" x14ac:dyDescent="0.35">
      <c r="A1914" s="25">
        <v>349</v>
      </c>
      <c r="B1914" s="15" t="s">
        <v>1055</v>
      </c>
      <c r="C1914" s="15" t="s">
        <v>1732</v>
      </c>
      <c r="D1914" s="14" t="s">
        <v>497</v>
      </c>
      <c r="E1914" s="15" t="s">
        <v>14</v>
      </c>
      <c r="F1914" s="15">
        <v>1</v>
      </c>
      <c r="G1914" s="16">
        <f t="shared" si="106"/>
        <v>40960</v>
      </c>
      <c r="H1914" s="16">
        <v>40960</v>
      </c>
      <c r="I1914" s="16">
        <f t="shared" si="109"/>
        <v>0</v>
      </c>
      <c r="J1914" s="32">
        <v>40960</v>
      </c>
      <c r="K1914" s="69">
        <f t="shared" si="107"/>
        <v>0</v>
      </c>
      <c r="L1914" s="71"/>
      <c r="M1914" s="109"/>
      <c r="N1914" s="110"/>
    </row>
    <row r="1915" spans="1:14" ht="15" hidden="1" thickBot="1" x14ac:dyDescent="0.35">
      <c r="A1915" s="25">
        <v>350</v>
      </c>
      <c r="B1915" s="15" t="s">
        <v>1068</v>
      </c>
      <c r="C1915" s="15" t="s">
        <v>1030</v>
      </c>
      <c r="D1915" s="14" t="s">
        <v>497</v>
      </c>
      <c r="E1915" s="15" t="s">
        <v>14</v>
      </c>
      <c r="F1915" s="15">
        <v>4</v>
      </c>
      <c r="G1915" s="16">
        <f t="shared" si="106"/>
        <v>1637745.5</v>
      </c>
      <c r="H1915" s="16">
        <v>1637745.5</v>
      </c>
      <c r="I1915" s="16">
        <f t="shared" si="109"/>
        <v>0</v>
      </c>
      <c r="J1915" s="32">
        <v>1637745.5</v>
      </c>
      <c r="K1915" s="69">
        <f t="shared" si="107"/>
        <v>0</v>
      </c>
      <c r="L1915" s="71"/>
      <c r="M1915" s="109"/>
      <c r="N1915" s="110"/>
    </row>
    <row r="1916" spans="1:14" ht="15" hidden="1" thickBot="1" x14ac:dyDescent="0.35">
      <c r="A1916" s="25">
        <v>351</v>
      </c>
      <c r="B1916" s="15" t="s">
        <v>1069</v>
      </c>
      <c r="C1916" s="15" t="s">
        <v>989</v>
      </c>
      <c r="D1916" s="14" t="s">
        <v>497</v>
      </c>
      <c r="E1916" s="15" t="s">
        <v>14</v>
      </c>
      <c r="F1916" s="15">
        <v>2</v>
      </c>
      <c r="G1916" s="16">
        <f t="shared" si="106"/>
        <v>136800</v>
      </c>
      <c r="H1916" s="16">
        <v>136800</v>
      </c>
      <c r="I1916" s="16">
        <f t="shared" si="109"/>
        <v>0</v>
      </c>
      <c r="J1916" s="32">
        <v>136800</v>
      </c>
      <c r="K1916" s="69">
        <f t="shared" si="107"/>
        <v>0</v>
      </c>
      <c r="L1916" s="71"/>
      <c r="M1916" s="109"/>
      <c r="N1916" s="110"/>
    </row>
    <row r="1917" spans="1:14" ht="15" hidden="1" thickBot="1" x14ac:dyDescent="0.35">
      <c r="A1917" s="25">
        <v>352</v>
      </c>
      <c r="B1917" s="15" t="s">
        <v>1072</v>
      </c>
      <c r="C1917" s="15" t="s">
        <v>1030</v>
      </c>
      <c r="D1917" s="14" t="s">
        <v>497</v>
      </c>
      <c r="E1917" s="15" t="s">
        <v>14</v>
      </c>
      <c r="F1917" s="15">
        <v>8</v>
      </c>
      <c r="G1917" s="16">
        <f t="shared" si="106"/>
        <v>510900</v>
      </c>
      <c r="H1917" s="16">
        <v>510900</v>
      </c>
      <c r="I1917" s="16">
        <f t="shared" si="109"/>
        <v>0</v>
      </c>
      <c r="J1917" s="32">
        <v>510900</v>
      </c>
      <c r="K1917" s="69">
        <f t="shared" si="107"/>
        <v>0</v>
      </c>
      <c r="L1917" s="71"/>
      <c r="M1917" s="109"/>
      <c r="N1917" s="110"/>
    </row>
    <row r="1918" spans="1:14" ht="15" hidden="1" thickBot="1" x14ac:dyDescent="0.35">
      <c r="A1918" s="25">
        <v>353</v>
      </c>
      <c r="B1918" s="15" t="s">
        <v>1073</v>
      </c>
      <c r="C1918" s="15" t="s">
        <v>989</v>
      </c>
      <c r="D1918" s="14" t="s">
        <v>497</v>
      </c>
      <c r="E1918" s="15" t="s">
        <v>14</v>
      </c>
      <c r="F1918" s="15">
        <v>20</v>
      </c>
      <c r="G1918" s="16">
        <f t="shared" si="106"/>
        <v>912128.8</v>
      </c>
      <c r="H1918" s="16">
        <v>912128.8</v>
      </c>
      <c r="I1918" s="16">
        <f t="shared" si="109"/>
        <v>0</v>
      </c>
      <c r="J1918" s="32">
        <v>912128.8</v>
      </c>
      <c r="K1918" s="69">
        <f t="shared" si="107"/>
        <v>0</v>
      </c>
      <c r="L1918" s="71"/>
      <c r="M1918" s="109"/>
      <c r="N1918" s="110"/>
    </row>
    <row r="1919" spans="1:14" ht="15" hidden="1" thickBot="1" x14ac:dyDescent="0.35">
      <c r="A1919" s="20">
        <v>354</v>
      </c>
      <c r="B1919" s="15" t="s">
        <v>1111</v>
      </c>
      <c r="C1919" s="46" t="s">
        <v>940</v>
      </c>
      <c r="D1919" s="14" t="s">
        <v>1102</v>
      </c>
      <c r="E1919" s="15" t="s">
        <v>500</v>
      </c>
      <c r="F1919" s="15">
        <v>13</v>
      </c>
      <c r="G1919" s="16">
        <f t="shared" si="106"/>
        <v>179029</v>
      </c>
      <c r="H1919" s="16">
        <v>181669</v>
      </c>
      <c r="I1919" s="16">
        <f t="shared" si="109"/>
        <v>0</v>
      </c>
      <c r="J1919" s="32">
        <v>181669</v>
      </c>
      <c r="K1919" s="69">
        <f t="shared" si="107"/>
        <v>0</v>
      </c>
      <c r="L1919" s="71">
        <v>2640</v>
      </c>
      <c r="M1919" s="109">
        <v>2640</v>
      </c>
      <c r="N1919" s="110" t="s">
        <v>1232</v>
      </c>
    </row>
    <row r="1920" spans="1:14" ht="15" hidden="1" thickBot="1" x14ac:dyDescent="0.35">
      <c r="A1920" s="20">
        <v>354</v>
      </c>
      <c r="B1920" s="15" t="s">
        <v>1111</v>
      </c>
      <c r="C1920" s="46" t="s">
        <v>940</v>
      </c>
      <c r="D1920" s="14" t="s">
        <v>1132</v>
      </c>
      <c r="E1920" s="15" t="s">
        <v>500</v>
      </c>
      <c r="F1920" s="15">
        <v>8</v>
      </c>
      <c r="G1920" s="16">
        <f t="shared" si="106"/>
        <v>25278</v>
      </c>
      <c r="H1920" s="16">
        <v>27158</v>
      </c>
      <c r="I1920" s="16">
        <f t="shared" si="109"/>
        <v>0</v>
      </c>
      <c r="J1920" s="32">
        <v>27158</v>
      </c>
      <c r="K1920" s="69">
        <f t="shared" si="107"/>
        <v>0</v>
      </c>
      <c r="L1920" s="71">
        <v>1880</v>
      </c>
      <c r="M1920" s="109">
        <v>1880</v>
      </c>
      <c r="N1920" s="110">
        <v>0.9</v>
      </c>
    </row>
    <row r="1921" spans="1:14" ht="15" hidden="1" thickBot="1" x14ac:dyDescent="0.35">
      <c r="A1921" s="20">
        <v>354</v>
      </c>
      <c r="B1921" s="15" t="s">
        <v>1111</v>
      </c>
      <c r="C1921" s="46" t="s">
        <v>940</v>
      </c>
      <c r="D1921" s="14" t="s">
        <v>980</v>
      </c>
      <c r="E1921" s="15" t="s">
        <v>503</v>
      </c>
      <c r="F1921" s="15">
        <v>15</v>
      </c>
      <c r="G1921" s="16">
        <f t="shared" si="106"/>
        <v>111328</v>
      </c>
      <c r="H1921" s="16">
        <v>118688</v>
      </c>
      <c r="I1921" s="16">
        <f t="shared" si="109"/>
        <v>0</v>
      </c>
      <c r="J1921" s="32">
        <v>118688</v>
      </c>
      <c r="K1921" s="69">
        <f t="shared" si="107"/>
        <v>0</v>
      </c>
      <c r="L1921" s="71">
        <v>7360</v>
      </c>
      <c r="M1921" s="109">
        <v>7360</v>
      </c>
      <c r="N1921" s="110">
        <v>0.9</v>
      </c>
    </row>
    <row r="1922" spans="1:14" ht="15" hidden="1" thickBot="1" x14ac:dyDescent="0.35">
      <c r="A1922" s="20">
        <v>354</v>
      </c>
      <c r="B1922" s="15" t="s">
        <v>1111</v>
      </c>
      <c r="C1922" s="46" t="s">
        <v>940</v>
      </c>
      <c r="D1922" s="14" t="s">
        <v>1226</v>
      </c>
      <c r="E1922" s="15" t="s">
        <v>503</v>
      </c>
      <c r="F1922" s="15">
        <v>8</v>
      </c>
      <c r="G1922" s="16">
        <f t="shared" si="106"/>
        <v>25380</v>
      </c>
      <c r="H1922" s="16">
        <v>25380</v>
      </c>
      <c r="I1922" s="16">
        <f t="shared" si="109"/>
        <v>0</v>
      </c>
      <c r="J1922" s="32">
        <v>25380</v>
      </c>
      <c r="K1922" s="69">
        <f t="shared" si="107"/>
        <v>0</v>
      </c>
      <c r="L1922" s="71"/>
      <c r="M1922" s="109"/>
      <c r="N1922" s="110">
        <v>0.9</v>
      </c>
    </row>
    <row r="1923" spans="1:14" ht="15" hidden="1" thickBot="1" x14ac:dyDescent="0.35">
      <c r="A1923" s="20">
        <v>354</v>
      </c>
      <c r="B1923" s="15" t="s">
        <v>1111</v>
      </c>
      <c r="C1923" s="15" t="s">
        <v>1034</v>
      </c>
      <c r="D1923" s="14" t="s">
        <v>510</v>
      </c>
      <c r="E1923" s="15" t="s">
        <v>500</v>
      </c>
      <c r="F1923" s="15">
        <v>1</v>
      </c>
      <c r="G1923" s="16">
        <f t="shared" si="106"/>
        <v>2376</v>
      </c>
      <c r="H1923" s="16">
        <v>2376</v>
      </c>
      <c r="I1923" s="16">
        <f t="shared" si="109"/>
        <v>0</v>
      </c>
      <c r="J1923" s="32">
        <v>2376</v>
      </c>
      <c r="K1923" s="69">
        <f t="shared" si="107"/>
        <v>0</v>
      </c>
      <c r="L1923" s="71"/>
      <c r="M1923" s="109"/>
      <c r="N1923" s="110"/>
    </row>
    <row r="1924" spans="1:14" ht="15" hidden="1" thickBot="1" x14ac:dyDescent="0.35">
      <c r="A1924" s="20">
        <v>354</v>
      </c>
      <c r="B1924" s="15" t="s">
        <v>1111</v>
      </c>
      <c r="C1924" s="15" t="s">
        <v>1034</v>
      </c>
      <c r="D1924" s="14" t="s">
        <v>614</v>
      </c>
      <c r="E1924" s="15" t="s">
        <v>500</v>
      </c>
      <c r="F1924" s="15">
        <v>1</v>
      </c>
      <c r="G1924" s="16">
        <f t="shared" si="106"/>
        <v>6444</v>
      </c>
      <c r="H1924" s="16">
        <v>6444</v>
      </c>
      <c r="I1924" s="16">
        <f t="shared" si="109"/>
        <v>0</v>
      </c>
      <c r="J1924" s="32">
        <v>6444</v>
      </c>
      <c r="K1924" s="69">
        <f t="shared" si="107"/>
        <v>0</v>
      </c>
      <c r="L1924" s="71"/>
      <c r="M1924" s="109"/>
      <c r="N1924" s="110"/>
    </row>
    <row r="1925" spans="1:14" ht="15" hidden="1" thickBot="1" x14ac:dyDescent="0.35">
      <c r="A1925" s="20">
        <v>355</v>
      </c>
      <c r="B1925" s="15" t="s">
        <v>1074</v>
      </c>
      <c r="C1925" s="15" t="s">
        <v>1034</v>
      </c>
      <c r="D1925" s="14" t="s">
        <v>510</v>
      </c>
      <c r="E1925" s="15" t="s">
        <v>512</v>
      </c>
      <c r="F1925" s="15">
        <v>2</v>
      </c>
      <c r="G1925" s="16">
        <f t="shared" si="106"/>
        <v>3161</v>
      </c>
      <c r="H1925" s="16">
        <v>3161</v>
      </c>
      <c r="I1925" s="16">
        <f t="shared" si="109"/>
        <v>0</v>
      </c>
      <c r="J1925" s="32">
        <v>3161</v>
      </c>
      <c r="K1925" s="69">
        <f t="shared" si="107"/>
        <v>0</v>
      </c>
      <c r="L1925" s="71"/>
      <c r="M1925" s="109"/>
      <c r="N1925" s="110"/>
    </row>
    <row r="1926" spans="1:14" ht="15" hidden="1" thickBot="1" x14ac:dyDescent="0.35">
      <c r="A1926" s="20">
        <v>355</v>
      </c>
      <c r="B1926" s="15" t="s">
        <v>1074</v>
      </c>
      <c r="C1926" s="15" t="s">
        <v>1034</v>
      </c>
      <c r="D1926" s="14" t="s">
        <v>510</v>
      </c>
      <c r="E1926" s="15" t="s">
        <v>509</v>
      </c>
      <c r="F1926" s="15">
        <v>1</v>
      </c>
      <c r="G1926" s="16">
        <f t="shared" si="106"/>
        <v>3161</v>
      </c>
      <c r="H1926" s="16">
        <v>3161</v>
      </c>
      <c r="I1926" s="16">
        <f t="shared" si="109"/>
        <v>0</v>
      </c>
      <c r="J1926" s="32">
        <v>3161</v>
      </c>
      <c r="K1926" s="69">
        <f t="shared" si="107"/>
        <v>0</v>
      </c>
      <c r="L1926" s="71"/>
      <c r="M1926" s="109"/>
      <c r="N1926" s="110"/>
    </row>
    <row r="1927" spans="1:14" ht="15" hidden="1" thickBot="1" x14ac:dyDescent="0.35">
      <c r="A1927" s="20">
        <v>355</v>
      </c>
      <c r="B1927" s="15" t="s">
        <v>1074</v>
      </c>
      <c r="C1927" s="15" t="s">
        <v>1034</v>
      </c>
      <c r="D1927" s="14" t="s">
        <v>614</v>
      </c>
      <c r="E1927" s="15" t="s">
        <v>509</v>
      </c>
      <c r="F1927" s="15">
        <v>1</v>
      </c>
      <c r="G1927" s="16">
        <f t="shared" si="106"/>
        <v>6084</v>
      </c>
      <c r="H1927" s="16">
        <v>6084</v>
      </c>
      <c r="I1927" s="16">
        <f t="shared" si="109"/>
        <v>0</v>
      </c>
      <c r="J1927" s="32">
        <v>6084</v>
      </c>
      <c r="K1927" s="69">
        <f t="shared" si="107"/>
        <v>0</v>
      </c>
      <c r="L1927" s="71"/>
      <c r="M1927" s="109"/>
      <c r="N1927" s="110"/>
    </row>
    <row r="1928" spans="1:14" ht="15" hidden="1" thickBot="1" x14ac:dyDescent="0.35">
      <c r="A1928" s="20">
        <v>355</v>
      </c>
      <c r="B1928" s="15" t="s">
        <v>1074</v>
      </c>
      <c r="C1928" s="15" t="s">
        <v>1034</v>
      </c>
      <c r="D1928" s="14" t="s">
        <v>614</v>
      </c>
      <c r="E1928" s="15" t="s">
        <v>504</v>
      </c>
      <c r="F1928" s="15">
        <v>1</v>
      </c>
      <c r="G1928" s="16">
        <f t="shared" si="106"/>
        <v>6084</v>
      </c>
      <c r="H1928" s="16">
        <v>6084</v>
      </c>
      <c r="I1928" s="16">
        <f t="shared" si="109"/>
        <v>0</v>
      </c>
      <c r="J1928" s="32">
        <v>6084</v>
      </c>
      <c r="K1928" s="69">
        <f t="shared" si="107"/>
        <v>0</v>
      </c>
      <c r="L1928" s="71"/>
      <c r="M1928" s="109"/>
      <c r="N1928" s="110"/>
    </row>
    <row r="1929" spans="1:14" ht="15" hidden="1" thickBot="1" x14ac:dyDescent="0.35">
      <c r="A1929" s="20">
        <v>355</v>
      </c>
      <c r="B1929" s="15" t="s">
        <v>1074</v>
      </c>
      <c r="C1929" s="15" t="s">
        <v>1034</v>
      </c>
      <c r="D1929" s="14" t="s">
        <v>614</v>
      </c>
      <c r="E1929" s="15" t="s">
        <v>512</v>
      </c>
      <c r="F1929" s="15">
        <v>2</v>
      </c>
      <c r="G1929" s="16">
        <f t="shared" si="106"/>
        <v>6084</v>
      </c>
      <c r="H1929" s="16">
        <v>6084</v>
      </c>
      <c r="I1929" s="16">
        <f t="shared" si="109"/>
        <v>0</v>
      </c>
      <c r="J1929" s="32">
        <v>6084</v>
      </c>
      <c r="K1929" s="69">
        <f t="shared" si="107"/>
        <v>0</v>
      </c>
      <c r="L1929" s="71"/>
      <c r="M1929" s="109"/>
      <c r="N1929" s="110"/>
    </row>
    <row r="1930" spans="1:14" ht="15" hidden="1" thickBot="1" x14ac:dyDescent="0.35">
      <c r="A1930" s="20">
        <v>356</v>
      </c>
      <c r="B1930" s="15" t="s">
        <v>1075</v>
      </c>
      <c r="C1930" s="15" t="s">
        <v>940</v>
      </c>
      <c r="D1930" s="14" t="s">
        <v>694</v>
      </c>
      <c r="E1930" s="15" t="s">
        <v>509</v>
      </c>
      <c r="F1930" s="15">
        <v>11</v>
      </c>
      <c r="G1930" s="16">
        <f t="shared" si="106"/>
        <v>89662</v>
      </c>
      <c r="H1930" s="16">
        <v>92342</v>
      </c>
      <c r="I1930" s="16">
        <f t="shared" si="109"/>
        <v>0</v>
      </c>
      <c r="J1930" s="32">
        <v>92342</v>
      </c>
      <c r="K1930" s="69">
        <f t="shared" si="107"/>
        <v>0</v>
      </c>
      <c r="L1930" s="71">
        <v>2680</v>
      </c>
      <c r="M1930" s="109">
        <v>2680</v>
      </c>
      <c r="N1930" s="110" t="s">
        <v>1130</v>
      </c>
    </row>
    <row r="1931" spans="1:14" ht="15" hidden="1" thickBot="1" x14ac:dyDescent="0.35">
      <c r="A1931" s="20">
        <v>356</v>
      </c>
      <c r="B1931" s="15" t="s">
        <v>1075</v>
      </c>
      <c r="C1931" s="15" t="s">
        <v>940</v>
      </c>
      <c r="D1931" s="14" t="s">
        <v>614</v>
      </c>
      <c r="E1931" s="15" t="s">
        <v>502</v>
      </c>
      <c r="F1931" s="15">
        <v>1</v>
      </c>
      <c r="G1931" s="16">
        <f t="shared" si="106"/>
        <v>4550</v>
      </c>
      <c r="H1931" s="16">
        <v>4550</v>
      </c>
      <c r="I1931" s="16">
        <f t="shared" si="109"/>
        <v>0</v>
      </c>
      <c r="J1931" s="32">
        <v>4550</v>
      </c>
      <c r="K1931" s="69">
        <f t="shared" si="107"/>
        <v>0</v>
      </c>
      <c r="L1931" s="71"/>
      <c r="M1931" s="109"/>
      <c r="N1931" s="110"/>
    </row>
    <row r="1932" spans="1:14" ht="15" hidden="1" thickBot="1" x14ac:dyDescent="0.35">
      <c r="A1932" s="20">
        <v>356</v>
      </c>
      <c r="B1932" s="15" t="s">
        <v>1075</v>
      </c>
      <c r="C1932" s="15" t="s">
        <v>940</v>
      </c>
      <c r="D1932" s="14" t="s">
        <v>1061</v>
      </c>
      <c r="E1932" s="15" t="s">
        <v>508</v>
      </c>
      <c r="F1932" s="15">
        <v>14</v>
      </c>
      <c r="G1932" s="16">
        <f t="shared" si="106"/>
        <v>227833</v>
      </c>
      <c r="H1932" s="16">
        <v>228493</v>
      </c>
      <c r="I1932" s="16">
        <f t="shared" si="109"/>
        <v>0</v>
      </c>
      <c r="J1932" s="32">
        <v>228493</v>
      </c>
      <c r="K1932" s="69">
        <f t="shared" si="107"/>
        <v>0</v>
      </c>
      <c r="L1932" s="71">
        <v>660</v>
      </c>
      <c r="M1932" s="109">
        <v>660</v>
      </c>
      <c r="N1932" s="110" t="s">
        <v>1232</v>
      </c>
    </row>
    <row r="1933" spans="1:14" ht="15" hidden="1" thickBot="1" x14ac:dyDescent="0.35">
      <c r="A1933" s="20">
        <v>356</v>
      </c>
      <c r="B1933" s="15" t="s">
        <v>1075</v>
      </c>
      <c r="C1933" s="15" t="s">
        <v>1034</v>
      </c>
      <c r="D1933" s="14" t="s">
        <v>510</v>
      </c>
      <c r="E1933" s="15" t="s">
        <v>508</v>
      </c>
      <c r="F1933" s="15">
        <v>2</v>
      </c>
      <c r="G1933" s="16">
        <f t="shared" si="106"/>
        <v>3154</v>
      </c>
      <c r="H1933" s="16">
        <v>3154</v>
      </c>
      <c r="I1933" s="16">
        <f t="shared" si="109"/>
        <v>0</v>
      </c>
      <c r="J1933" s="32">
        <v>3154</v>
      </c>
      <c r="K1933" s="69">
        <f t="shared" si="107"/>
        <v>0</v>
      </c>
      <c r="L1933" s="71"/>
      <c r="M1933" s="109"/>
      <c r="N1933" s="110"/>
    </row>
    <row r="1934" spans="1:14" ht="15" hidden="1" thickBot="1" x14ac:dyDescent="0.35">
      <c r="A1934" s="20">
        <v>356</v>
      </c>
      <c r="B1934" s="15" t="s">
        <v>1075</v>
      </c>
      <c r="C1934" s="15" t="s">
        <v>1034</v>
      </c>
      <c r="D1934" s="14" t="s">
        <v>614</v>
      </c>
      <c r="E1934" s="15" t="s">
        <v>508</v>
      </c>
      <c r="F1934" s="15">
        <v>3</v>
      </c>
      <c r="G1934" s="16">
        <f t="shared" ref="G1934:G2010" si="110">H1934-M1934</f>
        <v>6314</v>
      </c>
      <c r="H1934" s="16">
        <v>6314</v>
      </c>
      <c r="I1934" s="16">
        <f t="shared" si="109"/>
        <v>0</v>
      </c>
      <c r="J1934" s="32">
        <v>6314</v>
      </c>
      <c r="K1934" s="69">
        <f t="shared" si="107"/>
        <v>0</v>
      </c>
      <c r="L1934" s="71"/>
      <c r="M1934" s="109"/>
      <c r="N1934" s="110"/>
    </row>
    <row r="1935" spans="1:14" ht="15" hidden="1" thickBot="1" x14ac:dyDescent="0.35">
      <c r="A1935" s="25">
        <v>357</v>
      </c>
      <c r="B1935" s="15" t="s">
        <v>1078</v>
      </c>
      <c r="C1935" s="15" t="s">
        <v>664</v>
      </c>
      <c r="D1935" s="14" t="s">
        <v>1054</v>
      </c>
      <c r="E1935" s="15" t="s">
        <v>1054</v>
      </c>
      <c r="F1935" s="15">
        <v>4</v>
      </c>
      <c r="G1935" s="16">
        <f t="shared" si="110"/>
        <v>49294</v>
      </c>
      <c r="H1935" s="16">
        <v>49294</v>
      </c>
      <c r="I1935" s="16">
        <f t="shared" si="109"/>
        <v>0</v>
      </c>
      <c r="J1935" s="32">
        <v>49294</v>
      </c>
      <c r="K1935" s="69">
        <f t="shared" si="107"/>
        <v>0</v>
      </c>
      <c r="L1935" s="71"/>
      <c r="M1935" s="109"/>
      <c r="N1935" s="110">
        <v>0.95</v>
      </c>
    </row>
    <row r="1936" spans="1:14" ht="15" hidden="1" thickBot="1" x14ac:dyDescent="0.35">
      <c r="A1936" s="20">
        <v>358</v>
      </c>
      <c r="B1936" s="15" t="s">
        <v>1079</v>
      </c>
      <c r="C1936" s="15" t="s">
        <v>664</v>
      </c>
      <c r="D1936" s="14" t="s">
        <v>980</v>
      </c>
      <c r="E1936" s="15" t="s">
        <v>503</v>
      </c>
      <c r="F1936" s="15">
        <v>2</v>
      </c>
      <c r="G1936" s="16">
        <f t="shared" si="110"/>
        <v>13242</v>
      </c>
      <c r="H1936" s="16">
        <v>13242</v>
      </c>
      <c r="I1936" s="16">
        <f t="shared" si="109"/>
        <v>0</v>
      </c>
      <c r="J1936" s="32">
        <v>13242</v>
      </c>
      <c r="K1936" s="69">
        <f t="shared" si="107"/>
        <v>0</v>
      </c>
      <c r="L1936" s="71"/>
      <c r="M1936" s="109"/>
      <c r="N1936" s="110"/>
    </row>
    <row r="1937" spans="1:14" ht="15" hidden="1" thickBot="1" x14ac:dyDescent="0.35">
      <c r="A1937" s="20">
        <v>358</v>
      </c>
      <c r="B1937" s="15" t="s">
        <v>1079</v>
      </c>
      <c r="C1937" s="15" t="s">
        <v>664</v>
      </c>
      <c r="D1937" s="14" t="s">
        <v>985</v>
      </c>
      <c r="E1937" s="15" t="s">
        <v>506</v>
      </c>
      <c r="F1937" s="15">
        <v>2</v>
      </c>
      <c r="G1937" s="16">
        <f t="shared" si="110"/>
        <v>21083</v>
      </c>
      <c r="H1937" s="16">
        <v>21203</v>
      </c>
      <c r="I1937" s="16">
        <f t="shared" si="109"/>
        <v>0</v>
      </c>
      <c r="J1937" s="32">
        <v>21203</v>
      </c>
      <c r="K1937" s="69">
        <f t="shared" si="107"/>
        <v>0</v>
      </c>
      <c r="L1937" s="71">
        <v>120</v>
      </c>
      <c r="M1937" s="109">
        <v>120</v>
      </c>
      <c r="N1937" s="110">
        <v>0.9</v>
      </c>
    </row>
    <row r="1938" spans="1:14" ht="15" hidden="1" thickBot="1" x14ac:dyDescent="0.35">
      <c r="A1938" s="25">
        <v>359</v>
      </c>
      <c r="B1938" s="15" t="s">
        <v>1161</v>
      </c>
      <c r="C1938" s="15" t="s">
        <v>1238</v>
      </c>
      <c r="D1938" s="14" t="s">
        <v>694</v>
      </c>
      <c r="E1938" s="15" t="s">
        <v>509</v>
      </c>
      <c r="F1938" s="15">
        <v>3</v>
      </c>
      <c r="G1938" s="16">
        <f t="shared" si="110"/>
        <v>114850</v>
      </c>
      <c r="H1938" s="16">
        <v>114950</v>
      </c>
      <c r="I1938" s="16">
        <f t="shared" si="109"/>
        <v>0</v>
      </c>
      <c r="J1938" s="32">
        <v>114950</v>
      </c>
      <c r="K1938" s="69">
        <f t="shared" si="107"/>
        <v>0</v>
      </c>
      <c r="L1938" s="71">
        <v>100</v>
      </c>
      <c r="M1938" s="109">
        <v>100</v>
      </c>
      <c r="N1938" s="110">
        <v>0.95</v>
      </c>
    </row>
    <row r="1939" spans="1:14" ht="15" hidden="1" thickBot="1" x14ac:dyDescent="0.35">
      <c r="A1939" s="25">
        <v>360</v>
      </c>
      <c r="B1939" s="15" t="s">
        <v>1080</v>
      </c>
      <c r="C1939" s="15" t="s">
        <v>664</v>
      </c>
      <c r="D1939" s="14" t="s">
        <v>1132</v>
      </c>
      <c r="E1939" s="15" t="s">
        <v>500</v>
      </c>
      <c r="F1939" s="15">
        <v>4</v>
      </c>
      <c r="G1939" s="16">
        <f t="shared" si="110"/>
        <v>7733</v>
      </c>
      <c r="H1939" s="16">
        <v>7733</v>
      </c>
      <c r="I1939" s="16">
        <f t="shared" si="109"/>
        <v>0</v>
      </c>
      <c r="J1939" s="32">
        <v>7733</v>
      </c>
      <c r="K1939" s="69">
        <f t="shared" si="107"/>
        <v>0</v>
      </c>
      <c r="L1939" s="71">
        <v>0</v>
      </c>
      <c r="M1939" s="109">
        <v>0</v>
      </c>
      <c r="N1939" s="110">
        <v>0.95</v>
      </c>
    </row>
    <row r="1940" spans="1:14" ht="15" hidden="1" thickBot="1" x14ac:dyDescent="0.35">
      <c r="A1940" s="25">
        <v>360</v>
      </c>
      <c r="B1940" s="15" t="s">
        <v>1080</v>
      </c>
      <c r="C1940" s="15" t="s">
        <v>664</v>
      </c>
      <c r="D1940" s="14" t="s">
        <v>1102</v>
      </c>
      <c r="E1940" s="15" t="s">
        <v>500</v>
      </c>
      <c r="F1940" s="15">
        <v>7</v>
      </c>
      <c r="G1940" s="16">
        <f t="shared" si="110"/>
        <v>51475</v>
      </c>
      <c r="H1940" s="16">
        <v>52375</v>
      </c>
      <c r="I1940" s="16">
        <f t="shared" si="109"/>
        <v>0</v>
      </c>
      <c r="J1940" s="32">
        <v>52375</v>
      </c>
      <c r="K1940" s="69">
        <f t="shared" si="107"/>
        <v>0</v>
      </c>
      <c r="L1940" s="71">
        <v>900</v>
      </c>
      <c r="M1940" s="109">
        <v>900</v>
      </c>
      <c r="N1940" s="110">
        <v>0.95</v>
      </c>
    </row>
    <row r="1941" spans="1:14" ht="15" hidden="1" thickBot="1" x14ac:dyDescent="0.35">
      <c r="A1941" s="20">
        <v>361</v>
      </c>
      <c r="B1941" s="15" t="s">
        <v>1081</v>
      </c>
      <c r="C1941" s="15" t="s">
        <v>906</v>
      </c>
      <c r="D1941" s="14" t="s">
        <v>1178</v>
      </c>
      <c r="E1941" s="15" t="s">
        <v>504</v>
      </c>
      <c r="F1941" s="15">
        <v>6</v>
      </c>
      <c r="G1941" s="16">
        <f t="shared" si="110"/>
        <v>71304</v>
      </c>
      <c r="H1941" s="16">
        <v>71304</v>
      </c>
      <c r="I1941" s="16">
        <f t="shared" si="109"/>
        <v>0</v>
      </c>
      <c r="J1941" s="32">
        <v>71304</v>
      </c>
      <c r="K1941" s="69">
        <f t="shared" si="107"/>
        <v>0</v>
      </c>
      <c r="L1941" s="71"/>
      <c r="M1941" s="109"/>
      <c r="N1941" s="110">
        <v>0.9</v>
      </c>
    </row>
    <row r="1942" spans="1:14" ht="15" hidden="1" thickBot="1" x14ac:dyDescent="0.35">
      <c r="A1942" s="20">
        <v>361</v>
      </c>
      <c r="B1942" s="15" t="s">
        <v>1081</v>
      </c>
      <c r="C1942" s="15" t="s">
        <v>906</v>
      </c>
      <c r="D1942" s="14" t="s">
        <v>1280</v>
      </c>
      <c r="E1942" s="15" t="s">
        <v>504</v>
      </c>
      <c r="F1942" s="15">
        <v>2</v>
      </c>
      <c r="G1942" s="16">
        <f t="shared" si="110"/>
        <v>7600</v>
      </c>
      <c r="H1942" s="16">
        <v>7600</v>
      </c>
      <c r="I1942" s="16">
        <f t="shared" si="109"/>
        <v>0</v>
      </c>
      <c r="J1942" s="32">
        <v>7600</v>
      </c>
      <c r="K1942" s="69">
        <f t="shared" si="107"/>
        <v>0</v>
      </c>
      <c r="L1942" s="71">
        <v>0</v>
      </c>
      <c r="M1942" s="109">
        <v>0</v>
      </c>
      <c r="N1942" s="110">
        <v>0.9</v>
      </c>
    </row>
    <row r="1943" spans="1:14" ht="15" hidden="1" thickBot="1" x14ac:dyDescent="0.35">
      <c r="A1943" s="20">
        <v>361</v>
      </c>
      <c r="B1943" s="15" t="s">
        <v>1081</v>
      </c>
      <c r="C1943" s="15" t="s">
        <v>906</v>
      </c>
      <c r="D1943" s="14" t="s">
        <v>1397</v>
      </c>
      <c r="E1943" s="15" t="s">
        <v>504</v>
      </c>
      <c r="F1943" s="15">
        <v>2</v>
      </c>
      <c r="G1943" s="16">
        <f t="shared" si="110"/>
        <v>23242</v>
      </c>
      <c r="H1943" s="16">
        <v>23242</v>
      </c>
      <c r="I1943" s="16">
        <f t="shared" si="109"/>
        <v>0</v>
      </c>
      <c r="J1943" s="32">
        <v>23242</v>
      </c>
      <c r="K1943" s="69">
        <f t="shared" si="107"/>
        <v>0</v>
      </c>
      <c r="L1943" s="71">
        <v>0</v>
      </c>
      <c r="M1943" s="109">
        <v>0</v>
      </c>
      <c r="N1943" s="110">
        <v>0.9</v>
      </c>
    </row>
    <row r="1944" spans="1:14" ht="15" hidden="1" thickBot="1" x14ac:dyDescent="0.35">
      <c r="A1944" s="20">
        <v>361</v>
      </c>
      <c r="B1944" s="15" t="s">
        <v>1081</v>
      </c>
      <c r="C1944" s="15" t="s">
        <v>906</v>
      </c>
      <c r="D1944" s="14" t="s">
        <v>1105</v>
      </c>
      <c r="E1944" s="15" t="s">
        <v>504</v>
      </c>
      <c r="F1944" s="15">
        <v>8</v>
      </c>
      <c r="G1944" s="16">
        <f t="shared" si="110"/>
        <v>363959</v>
      </c>
      <c r="H1944" s="16">
        <v>370099</v>
      </c>
      <c r="I1944" s="16">
        <f t="shared" si="109"/>
        <v>0</v>
      </c>
      <c r="J1944" s="32">
        <v>370099</v>
      </c>
      <c r="K1944" s="69">
        <f t="shared" si="107"/>
        <v>0</v>
      </c>
      <c r="L1944" s="71">
        <v>6140</v>
      </c>
      <c r="M1944" s="109">
        <v>6140</v>
      </c>
      <c r="N1944" s="110">
        <v>0.93</v>
      </c>
    </row>
    <row r="1945" spans="1:14" ht="15" hidden="1" thickBot="1" x14ac:dyDescent="0.35">
      <c r="A1945" s="20">
        <v>361</v>
      </c>
      <c r="B1945" s="15" t="s">
        <v>1081</v>
      </c>
      <c r="C1945" s="15" t="s">
        <v>906</v>
      </c>
      <c r="D1945" s="14" t="s">
        <v>1226</v>
      </c>
      <c r="E1945" s="15" t="s">
        <v>503</v>
      </c>
      <c r="F1945" s="15">
        <v>3</v>
      </c>
      <c r="G1945" s="16">
        <f t="shared" si="110"/>
        <v>46196</v>
      </c>
      <c r="H1945" s="16">
        <v>46496</v>
      </c>
      <c r="I1945" s="16">
        <f t="shared" si="109"/>
        <v>0</v>
      </c>
      <c r="J1945" s="32">
        <v>46496</v>
      </c>
      <c r="K1945" s="69">
        <f t="shared" si="107"/>
        <v>0</v>
      </c>
      <c r="L1945" s="71">
        <v>300</v>
      </c>
      <c r="M1945" s="109">
        <v>300</v>
      </c>
      <c r="N1945" s="110">
        <v>0.9</v>
      </c>
    </row>
    <row r="1946" spans="1:14" ht="15" hidden="1" thickBot="1" x14ac:dyDescent="0.35">
      <c r="A1946" s="25">
        <v>362</v>
      </c>
      <c r="B1946" s="15" t="s">
        <v>1082</v>
      </c>
      <c r="C1946" s="15" t="s">
        <v>668</v>
      </c>
      <c r="D1946" s="14" t="s">
        <v>1001</v>
      </c>
      <c r="E1946" s="15" t="s">
        <v>504</v>
      </c>
      <c r="F1946" s="15">
        <v>4</v>
      </c>
      <c r="G1946" s="16">
        <f t="shared" si="110"/>
        <v>12920</v>
      </c>
      <c r="H1946" s="16">
        <v>12920</v>
      </c>
      <c r="I1946" s="16">
        <f t="shared" si="109"/>
        <v>0</v>
      </c>
      <c r="J1946" s="32">
        <v>12920</v>
      </c>
      <c r="K1946" s="69">
        <f t="shared" si="107"/>
        <v>0</v>
      </c>
      <c r="L1946" s="71"/>
      <c r="M1946" s="109"/>
      <c r="N1946" s="110">
        <v>0.9</v>
      </c>
    </row>
    <row r="1947" spans="1:14" ht="15" hidden="1" thickBot="1" x14ac:dyDescent="0.35">
      <c r="A1947" s="20">
        <v>363</v>
      </c>
      <c r="B1947" s="15" t="s">
        <v>1084</v>
      </c>
      <c r="C1947" s="15" t="s">
        <v>602</v>
      </c>
      <c r="D1947" s="14" t="s">
        <v>1570</v>
      </c>
      <c r="E1947" s="15" t="s">
        <v>504</v>
      </c>
      <c r="F1947" s="15">
        <v>6</v>
      </c>
      <c r="G1947" s="16">
        <f t="shared" si="110"/>
        <v>13338</v>
      </c>
      <c r="H1947" s="16">
        <v>13748</v>
      </c>
      <c r="I1947" s="16">
        <f t="shared" si="109"/>
        <v>0</v>
      </c>
      <c r="J1947" s="32">
        <v>13748</v>
      </c>
      <c r="K1947" s="69">
        <f t="shared" ref="K1947:K2029" si="111">M1947-L1947</f>
        <v>0</v>
      </c>
      <c r="L1947" s="71">
        <v>410</v>
      </c>
      <c r="M1947" s="109">
        <v>410</v>
      </c>
      <c r="N1947" s="110">
        <v>0.93500000000000005</v>
      </c>
    </row>
    <row r="1948" spans="1:14" ht="15" hidden="1" thickBot="1" x14ac:dyDescent="0.35">
      <c r="A1948" s="20">
        <v>363</v>
      </c>
      <c r="B1948" s="15" t="s">
        <v>1084</v>
      </c>
      <c r="C1948" s="15" t="s">
        <v>602</v>
      </c>
      <c r="D1948" s="14" t="s">
        <v>1102</v>
      </c>
      <c r="E1948" s="15" t="s">
        <v>500</v>
      </c>
      <c r="F1948" s="15">
        <v>13</v>
      </c>
      <c r="G1948" s="16">
        <f t="shared" si="110"/>
        <v>52485</v>
      </c>
      <c r="H1948" s="16">
        <v>52485</v>
      </c>
      <c r="I1948" s="16">
        <f t="shared" si="109"/>
        <v>0</v>
      </c>
      <c r="J1948" s="32">
        <v>52485</v>
      </c>
      <c r="K1948" s="69">
        <f t="shared" si="111"/>
        <v>0</v>
      </c>
      <c r="L1948" s="71"/>
      <c r="M1948" s="109"/>
      <c r="N1948" s="110" t="s">
        <v>1229</v>
      </c>
    </row>
    <row r="1949" spans="1:14" ht="15" hidden="1" thickBot="1" x14ac:dyDescent="0.35">
      <c r="A1949" s="20">
        <v>363</v>
      </c>
      <c r="B1949" s="15" t="s">
        <v>1084</v>
      </c>
      <c r="C1949" s="15" t="s">
        <v>602</v>
      </c>
      <c r="D1949" s="14" t="s">
        <v>618</v>
      </c>
      <c r="E1949" s="15" t="s">
        <v>509</v>
      </c>
      <c r="F1949" s="15">
        <v>10</v>
      </c>
      <c r="G1949" s="16">
        <f t="shared" si="110"/>
        <v>41720</v>
      </c>
      <c r="H1949" s="16">
        <v>42140</v>
      </c>
      <c r="I1949" s="16">
        <f t="shared" si="109"/>
        <v>0</v>
      </c>
      <c r="J1949" s="32">
        <v>42140</v>
      </c>
      <c r="K1949" s="69">
        <f t="shared" si="111"/>
        <v>0</v>
      </c>
      <c r="L1949" s="71">
        <v>420</v>
      </c>
      <c r="M1949" s="109">
        <v>420</v>
      </c>
      <c r="N1949" s="110">
        <v>0.9</v>
      </c>
    </row>
    <row r="1950" spans="1:14" ht="15" hidden="1" thickBot="1" x14ac:dyDescent="0.35">
      <c r="A1950" s="25">
        <v>364</v>
      </c>
      <c r="B1950" s="15" t="s">
        <v>1070</v>
      </c>
      <c r="C1950" s="15" t="s">
        <v>1060</v>
      </c>
      <c r="D1950" s="14" t="s">
        <v>497</v>
      </c>
      <c r="E1950" s="15" t="s">
        <v>14</v>
      </c>
      <c r="F1950" s="15">
        <v>1</v>
      </c>
      <c r="G1950" s="16">
        <f t="shared" si="110"/>
        <v>13560</v>
      </c>
      <c r="H1950" s="16">
        <v>13560</v>
      </c>
      <c r="I1950" s="16">
        <f t="shared" si="109"/>
        <v>0</v>
      </c>
      <c r="J1950" s="32">
        <v>13560</v>
      </c>
      <c r="K1950" s="69">
        <f t="shared" si="111"/>
        <v>0</v>
      </c>
      <c r="L1950" s="71"/>
      <c r="M1950" s="109"/>
      <c r="N1950" s="110"/>
    </row>
    <row r="1951" spans="1:14" ht="15" hidden="1" thickBot="1" x14ac:dyDescent="0.35">
      <c r="A1951" s="20">
        <v>365</v>
      </c>
      <c r="B1951" s="15" t="s">
        <v>1090</v>
      </c>
      <c r="C1951" s="15" t="s">
        <v>940</v>
      </c>
      <c r="D1951" s="14" t="s">
        <v>1105</v>
      </c>
      <c r="E1951" s="15" t="s">
        <v>504</v>
      </c>
      <c r="F1951" s="15">
        <v>13</v>
      </c>
      <c r="G1951" s="16">
        <f t="shared" si="110"/>
        <v>143185</v>
      </c>
      <c r="H1951" s="16">
        <v>144245</v>
      </c>
      <c r="I1951" s="16">
        <f t="shared" si="109"/>
        <v>0</v>
      </c>
      <c r="J1951" s="32">
        <v>144245</v>
      </c>
      <c r="K1951" s="69">
        <f t="shared" si="111"/>
        <v>0</v>
      </c>
      <c r="L1951" s="71">
        <v>1060</v>
      </c>
      <c r="M1951" s="109">
        <v>1060</v>
      </c>
      <c r="N1951" s="110" t="s">
        <v>1130</v>
      </c>
    </row>
    <row r="1952" spans="1:14" ht="15" hidden="1" thickBot="1" x14ac:dyDescent="0.35">
      <c r="A1952" s="20">
        <v>365</v>
      </c>
      <c r="B1952" s="15" t="s">
        <v>1090</v>
      </c>
      <c r="C1952" s="15" t="s">
        <v>940</v>
      </c>
      <c r="D1952" s="14" t="s">
        <v>1178</v>
      </c>
      <c r="E1952" s="15" t="s">
        <v>504</v>
      </c>
      <c r="F1952" s="15">
        <v>7</v>
      </c>
      <c r="G1952" s="16">
        <f t="shared" si="110"/>
        <v>25159</v>
      </c>
      <c r="H1952" s="16">
        <v>25779</v>
      </c>
      <c r="I1952" s="16">
        <f t="shared" si="109"/>
        <v>0</v>
      </c>
      <c r="J1952" s="32">
        <v>25779</v>
      </c>
      <c r="K1952" s="69">
        <f t="shared" si="111"/>
        <v>0</v>
      </c>
      <c r="L1952" s="71">
        <v>620</v>
      </c>
      <c r="M1952" s="109">
        <v>620</v>
      </c>
      <c r="N1952" s="110">
        <v>0.9</v>
      </c>
    </row>
    <row r="1953" spans="1:16" ht="15" hidden="1" thickBot="1" x14ac:dyDescent="0.35">
      <c r="A1953" s="20">
        <v>365</v>
      </c>
      <c r="B1953" s="15" t="s">
        <v>1090</v>
      </c>
      <c r="C1953" s="15" t="s">
        <v>940</v>
      </c>
      <c r="D1953" s="14" t="s">
        <v>1570</v>
      </c>
      <c r="E1953" s="15" t="s">
        <v>504</v>
      </c>
      <c r="F1953" s="15">
        <v>6</v>
      </c>
      <c r="G1953" s="16">
        <f t="shared" si="110"/>
        <v>24014</v>
      </c>
      <c r="H1953" s="16">
        <v>24014</v>
      </c>
      <c r="I1953" s="16">
        <f t="shared" si="109"/>
        <v>0</v>
      </c>
      <c r="J1953" s="32">
        <v>24014</v>
      </c>
      <c r="K1953" s="69">
        <f t="shared" si="111"/>
        <v>0</v>
      </c>
      <c r="L1953" s="71"/>
      <c r="M1953" s="109"/>
      <c r="N1953" s="110" t="s">
        <v>1130</v>
      </c>
    </row>
    <row r="1954" spans="1:16" ht="15" hidden="1" thickBot="1" x14ac:dyDescent="0.35">
      <c r="A1954" s="25">
        <v>366</v>
      </c>
      <c r="B1954" s="15" t="s">
        <v>1092</v>
      </c>
      <c r="C1954" s="15" t="s">
        <v>730</v>
      </c>
      <c r="D1954" s="14" t="s">
        <v>981</v>
      </c>
      <c r="E1954" s="15" t="s">
        <v>502</v>
      </c>
      <c r="F1954" s="15">
        <v>10</v>
      </c>
      <c r="G1954" s="16">
        <f t="shared" si="110"/>
        <v>86810</v>
      </c>
      <c r="H1954" s="16">
        <v>90525</v>
      </c>
      <c r="I1954" s="16">
        <f t="shared" si="109"/>
        <v>0</v>
      </c>
      <c r="J1954" s="32">
        <v>90525</v>
      </c>
      <c r="K1954" s="69">
        <f t="shared" si="111"/>
        <v>0</v>
      </c>
      <c r="L1954" s="71">
        <v>3715</v>
      </c>
      <c r="M1954" s="109">
        <v>3715</v>
      </c>
      <c r="N1954" s="110">
        <v>0.85</v>
      </c>
    </row>
    <row r="1955" spans="1:16" ht="15" hidden="1" thickBot="1" x14ac:dyDescent="0.35">
      <c r="A1955" s="25">
        <v>366</v>
      </c>
      <c r="B1955" s="15" t="s">
        <v>1092</v>
      </c>
      <c r="C1955" s="15" t="s">
        <v>730</v>
      </c>
      <c r="D1955" s="14" t="s">
        <v>980</v>
      </c>
      <c r="E1955" s="15" t="s">
        <v>503</v>
      </c>
      <c r="F1955" s="15">
        <v>10</v>
      </c>
      <c r="G1955" s="16">
        <f t="shared" si="110"/>
        <v>104306</v>
      </c>
      <c r="H1955" s="16">
        <v>104666</v>
      </c>
      <c r="I1955" s="16">
        <f t="shared" si="109"/>
        <v>0</v>
      </c>
      <c r="J1955" s="32">
        <v>104666</v>
      </c>
      <c r="K1955" s="69">
        <f t="shared" si="111"/>
        <v>0</v>
      </c>
      <c r="L1955" s="71">
        <v>360</v>
      </c>
      <c r="M1955" s="109">
        <v>360</v>
      </c>
      <c r="N1955" s="110">
        <v>0.9</v>
      </c>
    </row>
    <row r="1956" spans="1:16" ht="15" hidden="1" thickBot="1" x14ac:dyDescent="0.35">
      <c r="A1956" s="25">
        <v>367</v>
      </c>
      <c r="B1956" s="15" t="s">
        <v>1093</v>
      </c>
      <c r="C1956" s="15" t="s">
        <v>664</v>
      </c>
      <c r="D1956" s="14" t="s">
        <v>1336</v>
      </c>
      <c r="E1956" s="15" t="s">
        <v>500</v>
      </c>
      <c r="F1956" s="15">
        <v>10</v>
      </c>
      <c r="G1956" s="16">
        <f t="shared" si="110"/>
        <v>62985</v>
      </c>
      <c r="H1956" s="16">
        <v>62985</v>
      </c>
      <c r="I1956" s="16">
        <f t="shared" si="109"/>
        <v>0</v>
      </c>
      <c r="J1956" s="32">
        <v>62985</v>
      </c>
      <c r="K1956" s="69">
        <f t="shared" si="111"/>
        <v>0</v>
      </c>
      <c r="L1956" s="71"/>
      <c r="M1956" s="109"/>
      <c r="N1956" s="110">
        <v>0.95</v>
      </c>
    </row>
    <row r="1957" spans="1:16" ht="15" hidden="1" thickBot="1" x14ac:dyDescent="0.35">
      <c r="A1957" s="25">
        <v>368</v>
      </c>
      <c r="B1957" s="15" t="s">
        <v>1094</v>
      </c>
      <c r="C1957" s="15" t="s">
        <v>575</v>
      </c>
      <c r="D1957" s="14" t="s">
        <v>497</v>
      </c>
      <c r="E1957" s="15" t="s">
        <v>14</v>
      </c>
      <c r="F1957" s="15">
        <v>2</v>
      </c>
      <c r="G1957" s="16">
        <f t="shared" si="110"/>
        <v>183375.5</v>
      </c>
      <c r="H1957" s="16">
        <v>183375.5</v>
      </c>
      <c r="I1957" s="16">
        <f t="shared" si="109"/>
        <v>0</v>
      </c>
      <c r="J1957" s="32">
        <v>183375.5</v>
      </c>
      <c r="K1957" s="69">
        <f t="shared" si="111"/>
        <v>0</v>
      </c>
      <c r="L1957" s="71"/>
      <c r="M1957" s="109"/>
      <c r="N1957" s="110"/>
    </row>
    <row r="1958" spans="1:16" ht="15" hidden="1" thickBot="1" x14ac:dyDescent="0.35">
      <c r="A1958" s="25">
        <v>369</v>
      </c>
      <c r="B1958" s="15" t="s">
        <v>1095</v>
      </c>
      <c r="C1958" s="15" t="s">
        <v>533</v>
      </c>
      <c r="D1958" s="14" t="s">
        <v>497</v>
      </c>
      <c r="E1958" s="15" t="s">
        <v>14</v>
      </c>
      <c r="F1958" s="15">
        <v>7</v>
      </c>
      <c r="G1958" s="16">
        <f t="shared" si="110"/>
        <v>353306.5</v>
      </c>
      <c r="H1958" s="16">
        <v>353306.5</v>
      </c>
      <c r="I1958" s="16">
        <f t="shared" si="109"/>
        <v>0</v>
      </c>
      <c r="J1958" s="32">
        <v>353306.5</v>
      </c>
      <c r="K1958" s="69">
        <f t="shared" si="111"/>
        <v>0</v>
      </c>
      <c r="L1958" s="71"/>
      <c r="M1958" s="109"/>
      <c r="N1958" s="110"/>
    </row>
    <row r="1959" spans="1:16" ht="15" hidden="1" thickBot="1" x14ac:dyDescent="0.35">
      <c r="A1959" s="25">
        <v>370</v>
      </c>
      <c r="B1959" s="15" t="s">
        <v>1098</v>
      </c>
      <c r="C1959" s="15" t="s">
        <v>891</v>
      </c>
      <c r="D1959" s="14" t="s">
        <v>1570</v>
      </c>
      <c r="E1959" s="15" t="s">
        <v>504</v>
      </c>
      <c r="F1959" s="15">
        <v>5</v>
      </c>
      <c r="G1959" s="16">
        <f t="shared" si="110"/>
        <v>33690.25</v>
      </c>
      <c r="H1959" s="16">
        <v>36365.25</v>
      </c>
      <c r="I1959" s="16">
        <f t="shared" si="109"/>
        <v>0</v>
      </c>
      <c r="J1959" s="32">
        <v>36365.25</v>
      </c>
      <c r="K1959" s="69">
        <f t="shared" si="111"/>
        <v>0</v>
      </c>
      <c r="L1959" s="71">
        <v>2675</v>
      </c>
      <c r="M1959" s="109">
        <v>2675</v>
      </c>
      <c r="N1959" s="110">
        <v>0.98</v>
      </c>
    </row>
    <row r="1960" spans="1:16" ht="15" hidden="1" thickBot="1" x14ac:dyDescent="0.35">
      <c r="A1960" s="25">
        <v>370</v>
      </c>
      <c r="B1960" s="15" t="s">
        <v>1098</v>
      </c>
      <c r="C1960" s="15" t="s">
        <v>891</v>
      </c>
      <c r="D1960" s="14" t="s">
        <v>1102</v>
      </c>
      <c r="E1960" s="15" t="s">
        <v>500</v>
      </c>
      <c r="F1960" s="15">
        <v>6</v>
      </c>
      <c r="G1960" s="16">
        <f t="shared" si="110"/>
        <v>175957</v>
      </c>
      <c r="H1960" s="16">
        <v>175957</v>
      </c>
      <c r="I1960" s="16">
        <f t="shared" si="109"/>
        <v>0</v>
      </c>
      <c r="J1960" s="32">
        <v>175957</v>
      </c>
      <c r="K1960" s="69">
        <f t="shared" si="111"/>
        <v>0</v>
      </c>
      <c r="L1960" s="71"/>
      <c r="M1960" s="109"/>
      <c r="N1960" s="110">
        <v>0.8</v>
      </c>
    </row>
    <row r="1961" spans="1:16" ht="15" hidden="1" thickBot="1" x14ac:dyDescent="0.35">
      <c r="A1961" s="25">
        <v>371</v>
      </c>
      <c r="B1961" s="15" t="s">
        <v>1104</v>
      </c>
      <c r="C1961" s="15" t="s">
        <v>550</v>
      </c>
      <c r="D1961" s="14" t="s">
        <v>497</v>
      </c>
      <c r="E1961" s="15" t="s">
        <v>14</v>
      </c>
      <c r="F1961" s="15">
        <v>12</v>
      </c>
      <c r="G1961" s="16">
        <f t="shared" si="110"/>
        <v>485315</v>
      </c>
      <c r="H1961" s="16">
        <v>496625</v>
      </c>
      <c r="I1961" s="16">
        <f t="shared" si="109"/>
        <v>0</v>
      </c>
      <c r="J1961" s="32">
        <v>496625</v>
      </c>
      <c r="K1961" s="69">
        <f t="shared" si="111"/>
        <v>0</v>
      </c>
      <c r="L1961" s="71">
        <v>11310</v>
      </c>
      <c r="M1961" s="109">
        <v>11310</v>
      </c>
      <c r="N1961" s="110"/>
      <c r="P1961" s="156">
        <f>J1961-M1961</f>
        <v>485315</v>
      </c>
    </row>
    <row r="1962" spans="1:16" ht="15" hidden="1" thickBot="1" x14ac:dyDescent="0.35">
      <c r="A1962" s="25">
        <v>372</v>
      </c>
      <c r="B1962" s="15" t="s">
        <v>1106</v>
      </c>
      <c r="C1962" s="15" t="s">
        <v>906</v>
      </c>
      <c r="D1962" s="14" t="s">
        <v>1045</v>
      </c>
      <c r="E1962" s="15" t="s">
        <v>506</v>
      </c>
      <c r="F1962" s="15">
        <v>4</v>
      </c>
      <c r="G1962" s="16">
        <f t="shared" si="110"/>
        <v>37836</v>
      </c>
      <c r="H1962" s="16">
        <v>41436</v>
      </c>
      <c r="I1962" s="16">
        <f t="shared" si="109"/>
        <v>0</v>
      </c>
      <c r="J1962" s="32">
        <v>41436</v>
      </c>
      <c r="K1962" s="69">
        <f t="shared" si="111"/>
        <v>0</v>
      </c>
      <c r="L1962" s="71">
        <v>3600</v>
      </c>
      <c r="M1962" s="109">
        <v>3600</v>
      </c>
      <c r="N1962" s="110">
        <v>0.9</v>
      </c>
    </row>
    <row r="1963" spans="1:16" ht="15" hidden="1" thickBot="1" x14ac:dyDescent="0.35">
      <c r="A1963" s="25">
        <v>372</v>
      </c>
      <c r="B1963" s="15" t="s">
        <v>1106</v>
      </c>
      <c r="C1963" s="15" t="s">
        <v>906</v>
      </c>
      <c r="D1963" s="14" t="s">
        <v>1467</v>
      </c>
      <c r="E1963" s="15" t="s">
        <v>506</v>
      </c>
      <c r="F1963" s="15">
        <v>3</v>
      </c>
      <c r="G1963" s="16">
        <f t="shared" si="110"/>
        <v>21147</v>
      </c>
      <c r="H1963" s="16">
        <v>21267</v>
      </c>
      <c r="I1963" s="16">
        <f t="shared" si="109"/>
        <v>0</v>
      </c>
      <c r="J1963" s="32">
        <v>21267</v>
      </c>
      <c r="K1963" s="69">
        <f t="shared" si="111"/>
        <v>0</v>
      </c>
      <c r="L1963" s="71">
        <v>120</v>
      </c>
      <c r="M1963" s="109">
        <v>120</v>
      </c>
      <c r="N1963" s="110">
        <v>0.95</v>
      </c>
    </row>
    <row r="1964" spans="1:16" ht="15" hidden="1" thickBot="1" x14ac:dyDescent="0.35">
      <c r="A1964" s="25">
        <v>373</v>
      </c>
      <c r="B1964" s="15" t="s">
        <v>1110</v>
      </c>
      <c r="C1964" s="15" t="s">
        <v>1026</v>
      </c>
      <c r="D1964" s="14" t="s">
        <v>497</v>
      </c>
      <c r="E1964" s="15" t="s">
        <v>14</v>
      </c>
      <c r="F1964" s="15">
        <v>1</v>
      </c>
      <c r="G1964" s="16">
        <f t="shared" si="110"/>
        <v>31620</v>
      </c>
      <c r="H1964" s="16">
        <v>31620</v>
      </c>
      <c r="I1964" s="16">
        <f t="shared" si="109"/>
        <v>0</v>
      </c>
      <c r="J1964" s="32">
        <v>31620</v>
      </c>
      <c r="K1964" s="69">
        <f t="shared" si="111"/>
        <v>0</v>
      </c>
      <c r="L1964" s="71"/>
      <c r="M1964" s="109"/>
      <c r="N1964" s="110"/>
    </row>
    <row r="1965" spans="1:16" ht="15" hidden="1" thickBot="1" x14ac:dyDescent="0.35">
      <c r="A1965" s="14">
        <v>374</v>
      </c>
      <c r="B1965" s="15" t="s">
        <v>1122</v>
      </c>
      <c r="C1965" s="15" t="s">
        <v>664</v>
      </c>
      <c r="D1965" s="14" t="s">
        <v>980</v>
      </c>
      <c r="E1965" s="15" t="s">
        <v>503</v>
      </c>
      <c r="F1965" s="15">
        <v>2</v>
      </c>
      <c r="G1965" s="16">
        <f t="shared" si="110"/>
        <v>11519</v>
      </c>
      <c r="H1965" s="16">
        <v>11519</v>
      </c>
      <c r="I1965" s="16">
        <f t="shared" si="109"/>
        <v>0</v>
      </c>
      <c r="J1965" s="32">
        <v>11519</v>
      </c>
      <c r="K1965" s="69">
        <f t="shared" si="111"/>
        <v>0</v>
      </c>
      <c r="L1965" s="71"/>
      <c r="M1965" s="109"/>
      <c r="N1965" s="110">
        <v>0.85</v>
      </c>
    </row>
    <row r="1966" spans="1:16" ht="15" hidden="1" thickBot="1" x14ac:dyDescent="0.35">
      <c r="A1966" s="19">
        <v>374</v>
      </c>
      <c r="B1966" s="15" t="s">
        <v>1122</v>
      </c>
      <c r="C1966" s="22" t="s">
        <v>940</v>
      </c>
      <c r="D1966" s="14" t="s">
        <v>980</v>
      </c>
      <c r="E1966" s="15" t="s">
        <v>503</v>
      </c>
      <c r="F1966" s="15">
        <v>4</v>
      </c>
      <c r="G1966" s="16">
        <f t="shared" si="110"/>
        <v>42276</v>
      </c>
      <c r="H1966" s="16">
        <v>42396</v>
      </c>
      <c r="I1966" s="16">
        <f t="shared" si="109"/>
        <v>0</v>
      </c>
      <c r="J1966" s="32">
        <v>42396</v>
      </c>
      <c r="K1966" s="69">
        <f t="shared" si="111"/>
        <v>0</v>
      </c>
      <c r="L1966" s="71">
        <v>120</v>
      </c>
      <c r="M1966" s="109">
        <v>120</v>
      </c>
      <c r="N1966" s="110">
        <v>0.9</v>
      </c>
    </row>
    <row r="1967" spans="1:16" ht="15" hidden="1" thickBot="1" x14ac:dyDescent="0.35">
      <c r="A1967" s="25">
        <v>375</v>
      </c>
      <c r="B1967" s="15" t="s">
        <v>1126</v>
      </c>
      <c r="C1967" s="15" t="s">
        <v>664</v>
      </c>
      <c r="D1967" s="14" t="s">
        <v>980</v>
      </c>
      <c r="E1967" s="15" t="s">
        <v>503</v>
      </c>
      <c r="F1967" s="15">
        <v>5</v>
      </c>
      <c r="G1967" s="16">
        <f t="shared" si="110"/>
        <v>60127</v>
      </c>
      <c r="H1967" s="16">
        <v>60397</v>
      </c>
      <c r="I1967" s="16">
        <f t="shared" ref="I1967:I2030" si="112">J1967-H1967</f>
        <v>0</v>
      </c>
      <c r="J1967" s="32">
        <v>60397</v>
      </c>
      <c r="K1967" s="69">
        <f t="shared" si="111"/>
        <v>0</v>
      </c>
      <c r="L1967" s="71">
        <v>270</v>
      </c>
      <c r="M1967" s="109">
        <f>120+150</f>
        <v>270</v>
      </c>
      <c r="N1967" s="110">
        <v>0.95</v>
      </c>
    </row>
    <row r="1968" spans="1:16" ht="15" hidden="1" thickBot="1" x14ac:dyDescent="0.35">
      <c r="A1968" s="25">
        <v>375</v>
      </c>
      <c r="B1968" s="15" t="s">
        <v>1126</v>
      </c>
      <c r="C1968" s="15" t="s">
        <v>664</v>
      </c>
      <c r="D1968" s="14" t="s">
        <v>1226</v>
      </c>
      <c r="E1968" s="15" t="s">
        <v>503</v>
      </c>
      <c r="F1968" s="15">
        <v>3</v>
      </c>
      <c r="G1968" s="16">
        <f t="shared" si="110"/>
        <v>10463</v>
      </c>
      <c r="H1968" s="16">
        <v>10463</v>
      </c>
      <c r="I1968" s="16">
        <f t="shared" si="112"/>
        <v>0</v>
      </c>
      <c r="J1968" s="32">
        <v>10463</v>
      </c>
      <c r="K1968" s="69">
        <f t="shared" si="111"/>
        <v>0</v>
      </c>
      <c r="L1968" s="71">
        <v>0</v>
      </c>
      <c r="M1968" s="109">
        <v>0</v>
      </c>
      <c r="N1968" s="110">
        <v>0.95</v>
      </c>
    </row>
    <row r="1969" spans="1:14" ht="15" hidden="1" thickBot="1" x14ac:dyDescent="0.35">
      <c r="A1969" s="25">
        <v>376</v>
      </c>
      <c r="B1969" s="15" t="s">
        <v>1128</v>
      </c>
      <c r="C1969" s="15" t="s">
        <v>940</v>
      </c>
      <c r="D1969" s="14" t="s">
        <v>1336</v>
      </c>
      <c r="E1969" s="15" t="s">
        <v>500</v>
      </c>
      <c r="F1969" s="15">
        <v>9</v>
      </c>
      <c r="G1969" s="16">
        <f t="shared" si="110"/>
        <v>55080</v>
      </c>
      <c r="H1969" s="16">
        <v>55080</v>
      </c>
      <c r="I1969" s="16">
        <f t="shared" si="112"/>
        <v>0</v>
      </c>
      <c r="J1969" s="32">
        <v>55080</v>
      </c>
      <c r="K1969" s="69">
        <f t="shared" si="111"/>
        <v>0</v>
      </c>
      <c r="L1969" s="71"/>
      <c r="M1969" s="109"/>
      <c r="N1969" s="110">
        <v>0.9</v>
      </c>
    </row>
    <row r="1970" spans="1:14" ht="15" hidden="1" thickBot="1" x14ac:dyDescent="0.35">
      <c r="A1970" s="25">
        <v>376</v>
      </c>
      <c r="B1970" s="15" t="s">
        <v>1128</v>
      </c>
      <c r="C1970" s="15" t="s">
        <v>719</v>
      </c>
      <c r="D1970" s="14" t="s">
        <v>1336</v>
      </c>
      <c r="E1970" s="15" t="s">
        <v>500</v>
      </c>
      <c r="F1970" s="15">
        <v>2</v>
      </c>
      <c r="G1970" s="16">
        <f t="shared" si="110"/>
        <v>6057</v>
      </c>
      <c r="H1970" s="16">
        <v>6057</v>
      </c>
      <c r="I1970" s="16">
        <f t="shared" si="112"/>
        <v>0</v>
      </c>
      <c r="J1970" s="32">
        <v>6057</v>
      </c>
      <c r="K1970" s="69">
        <f t="shared" si="111"/>
        <v>0</v>
      </c>
      <c r="L1970" s="71"/>
      <c r="M1970" s="109"/>
      <c r="N1970" s="110">
        <v>0.9</v>
      </c>
    </row>
    <row r="1971" spans="1:14" ht="15" hidden="1" thickBot="1" x14ac:dyDescent="0.35">
      <c r="A1971" s="25">
        <v>377</v>
      </c>
      <c r="B1971" s="15" t="s">
        <v>1129</v>
      </c>
      <c r="C1971" s="15" t="s">
        <v>906</v>
      </c>
      <c r="D1971" s="14" t="s">
        <v>1336</v>
      </c>
      <c r="E1971" s="15" t="s">
        <v>500</v>
      </c>
      <c r="F1971" s="15">
        <v>8</v>
      </c>
      <c r="G1971" s="16">
        <f t="shared" si="110"/>
        <v>87139</v>
      </c>
      <c r="H1971" s="16">
        <v>87859</v>
      </c>
      <c r="I1971" s="16">
        <f t="shared" si="112"/>
        <v>0</v>
      </c>
      <c r="J1971" s="32">
        <v>87859</v>
      </c>
      <c r="K1971" s="69">
        <f t="shared" si="111"/>
        <v>0</v>
      </c>
      <c r="L1971" s="71">
        <v>720</v>
      </c>
      <c r="M1971" s="109">
        <v>720</v>
      </c>
      <c r="N1971" s="110" t="s">
        <v>1130</v>
      </c>
    </row>
    <row r="1972" spans="1:14" ht="15" hidden="1" thickBot="1" x14ac:dyDescent="0.35">
      <c r="A1972" s="25">
        <v>377</v>
      </c>
      <c r="B1972" s="15" t="s">
        <v>1129</v>
      </c>
      <c r="C1972" s="15" t="s">
        <v>906</v>
      </c>
      <c r="D1972" s="14" t="s">
        <v>1265</v>
      </c>
      <c r="E1972" s="15" t="s">
        <v>500</v>
      </c>
      <c r="F1972" s="15">
        <v>2</v>
      </c>
      <c r="G1972" s="16">
        <f t="shared" si="110"/>
        <v>-120</v>
      </c>
      <c r="H1972" s="16">
        <v>0</v>
      </c>
      <c r="I1972" s="16">
        <f t="shared" si="112"/>
        <v>0</v>
      </c>
      <c r="J1972" s="32">
        <v>0</v>
      </c>
      <c r="K1972" s="69">
        <f t="shared" si="111"/>
        <v>0</v>
      </c>
      <c r="L1972" s="71">
        <v>120</v>
      </c>
      <c r="M1972" s="109">
        <v>120</v>
      </c>
      <c r="N1972" s="110" t="s">
        <v>1328</v>
      </c>
    </row>
    <row r="1973" spans="1:14" ht="15" hidden="1" thickBot="1" x14ac:dyDescent="0.35">
      <c r="A1973" s="25">
        <v>378</v>
      </c>
      <c r="B1973" s="15" t="s">
        <v>1101</v>
      </c>
      <c r="C1973" s="15" t="s">
        <v>1030</v>
      </c>
      <c r="D1973" s="14" t="s">
        <v>497</v>
      </c>
      <c r="E1973" s="15" t="s">
        <v>14</v>
      </c>
      <c r="F1973" s="15">
        <v>2</v>
      </c>
      <c r="G1973" s="16">
        <f t="shared" si="110"/>
        <v>0</v>
      </c>
      <c r="H1973" s="16">
        <v>0</v>
      </c>
      <c r="I1973" s="16">
        <f t="shared" si="112"/>
        <v>0</v>
      </c>
      <c r="J1973" s="32">
        <v>0</v>
      </c>
      <c r="K1973" s="69">
        <f t="shared" si="111"/>
        <v>0</v>
      </c>
      <c r="L1973" s="71"/>
      <c r="M1973" s="109"/>
      <c r="N1973" s="110"/>
    </row>
    <row r="1974" spans="1:14" ht="15" hidden="1" thickBot="1" x14ac:dyDescent="0.35">
      <c r="A1974" s="20">
        <v>379</v>
      </c>
      <c r="B1974" s="15" t="s">
        <v>1135</v>
      </c>
      <c r="C1974" s="15" t="s">
        <v>730</v>
      </c>
      <c r="D1974" s="14" t="s">
        <v>1102</v>
      </c>
      <c r="E1974" s="15" t="s">
        <v>500</v>
      </c>
      <c r="F1974" s="15">
        <v>6</v>
      </c>
      <c r="G1974" s="16">
        <f t="shared" si="110"/>
        <v>51379</v>
      </c>
      <c r="H1974" s="16">
        <v>51379</v>
      </c>
      <c r="I1974" s="16">
        <f t="shared" si="112"/>
        <v>0</v>
      </c>
      <c r="J1974" s="32">
        <v>51379</v>
      </c>
      <c r="K1974" s="69">
        <f t="shared" si="111"/>
        <v>0</v>
      </c>
      <c r="L1974" s="71"/>
      <c r="M1974" s="109"/>
      <c r="N1974" s="110">
        <v>0.92</v>
      </c>
    </row>
    <row r="1975" spans="1:14" ht="15" hidden="1" thickBot="1" x14ac:dyDescent="0.35">
      <c r="A1975" s="20">
        <v>379</v>
      </c>
      <c r="B1975" s="15" t="s">
        <v>1135</v>
      </c>
      <c r="C1975" s="15" t="s">
        <v>730</v>
      </c>
      <c r="D1975" s="14" t="s">
        <v>670</v>
      </c>
      <c r="E1975" s="15" t="s">
        <v>506</v>
      </c>
      <c r="F1975" s="15">
        <v>9</v>
      </c>
      <c r="G1975" s="16">
        <f t="shared" si="110"/>
        <v>150883</v>
      </c>
      <c r="H1975" s="16">
        <v>154383</v>
      </c>
      <c r="I1975" s="16">
        <f t="shared" si="112"/>
        <v>0</v>
      </c>
      <c r="J1975" s="32">
        <v>154383</v>
      </c>
      <c r="K1975" s="69">
        <f t="shared" si="111"/>
        <v>0</v>
      </c>
      <c r="L1975" s="71">
        <v>3500</v>
      </c>
      <c r="M1975" s="109">
        <v>3500</v>
      </c>
      <c r="N1975" s="110" t="s">
        <v>1769</v>
      </c>
    </row>
    <row r="1976" spans="1:14" ht="15" hidden="1" thickBot="1" x14ac:dyDescent="0.35">
      <c r="A1976" s="25">
        <v>380</v>
      </c>
      <c r="B1976" s="15" t="s">
        <v>1136</v>
      </c>
      <c r="C1976" s="15" t="s">
        <v>730</v>
      </c>
      <c r="D1976" s="14" t="s">
        <v>618</v>
      </c>
      <c r="E1976" s="15" t="s">
        <v>509</v>
      </c>
      <c r="F1976" s="15">
        <v>8</v>
      </c>
      <c r="G1976" s="16">
        <f t="shared" si="110"/>
        <v>98862</v>
      </c>
      <c r="H1976" s="16">
        <v>106172</v>
      </c>
      <c r="I1976" s="16">
        <f t="shared" si="112"/>
        <v>0</v>
      </c>
      <c r="J1976" s="32">
        <v>106172</v>
      </c>
      <c r="K1976" s="69">
        <f t="shared" si="111"/>
        <v>0</v>
      </c>
      <c r="L1976" s="71">
        <v>7310</v>
      </c>
      <c r="M1976" s="109">
        <v>7310</v>
      </c>
      <c r="N1976" s="110">
        <v>0.85</v>
      </c>
    </row>
    <row r="1977" spans="1:14" ht="15" hidden="1" thickBot="1" x14ac:dyDescent="0.35">
      <c r="A1977" s="25">
        <v>380</v>
      </c>
      <c r="B1977" s="15" t="s">
        <v>1136</v>
      </c>
      <c r="C1977" s="15" t="s">
        <v>730</v>
      </c>
      <c r="D1977" s="14" t="s">
        <v>1105</v>
      </c>
      <c r="E1977" s="15" t="s">
        <v>504</v>
      </c>
      <c r="F1977" s="15">
        <v>11</v>
      </c>
      <c r="G1977" s="16">
        <f t="shared" si="110"/>
        <v>99995</v>
      </c>
      <c r="H1977" s="16">
        <v>101175</v>
      </c>
      <c r="I1977" s="16">
        <f t="shared" si="112"/>
        <v>0</v>
      </c>
      <c r="J1977" s="32">
        <v>101175</v>
      </c>
      <c r="K1977" s="69">
        <f t="shared" si="111"/>
        <v>0</v>
      </c>
      <c r="L1977" s="71">
        <v>1180</v>
      </c>
      <c r="M1977" s="109">
        <v>1180</v>
      </c>
      <c r="N1977" s="110">
        <v>0.9</v>
      </c>
    </row>
    <row r="1978" spans="1:14" ht="15" hidden="1" thickBot="1" x14ac:dyDescent="0.35">
      <c r="A1978" s="20">
        <v>381</v>
      </c>
      <c r="B1978" s="15" t="s">
        <v>1138</v>
      </c>
      <c r="C1978" s="15" t="s">
        <v>664</v>
      </c>
      <c r="D1978" s="14" t="s">
        <v>1076</v>
      </c>
      <c r="E1978" s="15" t="s">
        <v>512</v>
      </c>
      <c r="F1978" s="15">
        <v>8</v>
      </c>
      <c r="G1978" s="16">
        <f t="shared" si="110"/>
        <v>84474</v>
      </c>
      <c r="H1978" s="16">
        <v>84594</v>
      </c>
      <c r="I1978" s="16">
        <f t="shared" si="112"/>
        <v>0</v>
      </c>
      <c r="J1978" s="32">
        <v>84594</v>
      </c>
      <c r="K1978" s="69">
        <f t="shared" si="111"/>
        <v>0</v>
      </c>
      <c r="L1978" s="71">
        <v>120</v>
      </c>
      <c r="M1978" s="109">
        <v>120</v>
      </c>
      <c r="N1978" s="110">
        <v>0.95</v>
      </c>
    </row>
    <row r="1979" spans="1:14" ht="15" hidden="1" thickBot="1" x14ac:dyDescent="0.35">
      <c r="A1979" s="20">
        <v>381</v>
      </c>
      <c r="B1979" s="15" t="s">
        <v>1138</v>
      </c>
      <c r="C1979" s="15" t="s">
        <v>664</v>
      </c>
      <c r="D1979" s="14" t="s">
        <v>1273</v>
      </c>
      <c r="E1979" s="15" t="s">
        <v>512</v>
      </c>
      <c r="F1979" s="15">
        <v>3</v>
      </c>
      <c r="G1979" s="16">
        <f t="shared" si="110"/>
        <v>12120</v>
      </c>
      <c r="H1979" s="16">
        <v>12120</v>
      </c>
      <c r="I1979" s="16">
        <f t="shared" si="112"/>
        <v>0</v>
      </c>
      <c r="J1979" s="32">
        <v>12120</v>
      </c>
      <c r="K1979" s="69">
        <f t="shared" si="111"/>
        <v>0</v>
      </c>
      <c r="L1979" s="71"/>
      <c r="M1979" s="109"/>
      <c r="N1979" s="110">
        <v>0.95</v>
      </c>
    </row>
    <row r="1980" spans="1:14" ht="15" hidden="1" thickBot="1" x14ac:dyDescent="0.35">
      <c r="A1980" s="20">
        <v>381</v>
      </c>
      <c r="B1980" s="15" t="s">
        <v>1138</v>
      </c>
      <c r="C1980" s="15" t="s">
        <v>664</v>
      </c>
      <c r="D1980" s="14" t="s">
        <v>638</v>
      </c>
      <c r="E1980" s="15" t="s">
        <v>504</v>
      </c>
      <c r="F1980" s="15">
        <v>5</v>
      </c>
      <c r="G1980" s="16">
        <f t="shared" si="110"/>
        <v>33464</v>
      </c>
      <c r="H1980" s="16">
        <v>33704</v>
      </c>
      <c r="I1980" s="16">
        <f t="shared" si="112"/>
        <v>0</v>
      </c>
      <c r="J1980" s="32">
        <v>33704</v>
      </c>
      <c r="K1980" s="69">
        <f t="shared" si="111"/>
        <v>0</v>
      </c>
      <c r="L1980" s="71">
        <v>240</v>
      </c>
      <c r="M1980" s="109">
        <v>240</v>
      </c>
      <c r="N1980" s="110">
        <v>0.95</v>
      </c>
    </row>
    <row r="1981" spans="1:14" ht="15" hidden="1" thickBot="1" x14ac:dyDescent="0.35">
      <c r="A1981" s="25">
        <v>382</v>
      </c>
      <c r="B1981" s="15" t="s">
        <v>1160</v>
      </c>
      <c r="C1981" s="15" t="s">
        <v>108</v>
      </c>
      <c r="D1981" s="14" t="s">
        <v>497</v>
      </c>
      <c r="E1981" s="15" t="s">
        <v>14</v>
      </c>
      <c r="F1981" s="15">
        <v>1</v>
      </c>
      <c r="G1981" s="16">
        <f t="shared" si="110"/>
        <v>4075400</v>
      </c>
      <c r="H1981" s="16">
        <v>4075400</v>
      </c>
      <c r="I1981" s="16">
        <f t="shared" si="112"/>
        <v>0</v>
      </c>
      <c r="J1981" s="32">
        <v>4075400</v>
      </c>
      <c r="K1981" s="69">
        <f t="shared" si="111"/>
        <v>0</v>
      </c>
      <c r="L1981" s="71"/>
      <c r="M1981" s="109"/>
      <c r="N1981" s="110"/>
    </row>
    <row r="1982" spans="1:14" ht="18" hidden="1" customHeight="1" thickBot="1" x14ac:dyDescent="0.35">
      <c r="A1982" s="20">
        <v>383</v>
      </c>
      <c r="B1982" s="15" t="s">
        <v>1108</v>
      </c>
      <c r="C1982" s="15" t="s">
        <v>900</v>
      </c>
      <c r="D1982" s="14" t="s">
        <v>614</v>
      </c>
      <c r="E1982" s="15" t="s">
        <v>502</v>
      </c>
      <c r="F1982" s="15">
        <v>2</v>
      </c>
      <c r="G1982" s="16">
        <f t="shared" si="110"/>
        <v>13192</v>
      </c>
      <c r="H1982" s="16">
        <v>13192</v>
      </c>
      <c r="I1982" s="16">
        <f t="shared" si="112"/>
        <v>0</v>
      </c>
      <c r="J1982" s="32">
        <v>13192</v>
      </c>
      <c r="K1982" s="69">
        <f t="shared" si="111"/>
        <v>0</v>
      </c>
      <c r="L1982" s="71"/>
      <c r="M1982" s="109"/>
      <c r="N1982" s="110">
        <v>0.97</v>
      </c>
    </row>
    <row r="1983" spans="1:14" ht="18" hidden="1" customHeight="1" thickBot="1" x14ac:dyDescent="0.35">
      <c r="A1983" s="20">
        <v>383</v>
      </c>
      <c r="B1983" s="15" t="s">
        <v>1108</v>
      </c>
      <c r="C1983" s="15" t="s">
        <v>900</v>
      </c>
      <c r="D1983" s="14" t="s">
        <v>510</v>
      </c>
      <c r="E1983" s="15" t="s">
        <v>502</v>
      </c>
      <c r="F1983" s="15">
        <v>2</v>
      </c>
      <c r="G1983" s="16">
        <f t="shared" si="110"/>
        <v>9564.2000000000007</v>
      </c>
      <c r="H1983" s="16">
        <v>9564.2000000000007</v>
      </c>
      <c r="I1983" s="16">
        <f t="shared" si="112"/>
        <v>0</v>
      </c>
      <c r="J1983" s="32">
        <v>9564.2000000000007</v>
      </c>
      <c r="K1983" s="69">
        <f t="shared" si="111"/>
        <v>0</v>
      </c>
      <c r="L1983" s="71"/>
      <c r="M1983" s="109"/>
      <c r="N1983" s="110">
        <v>0.97</v>
      </c>
    </row>
    <row r="1984" spans="1:14" ht="18" hidden="1" customHeight="1" thickBot="1" x14ac:dyDescent="0.35">
      <c r="A1984" s="20">
        <v>383</v>
      </c>
      <c r="B1984" s="15" t="s">
        <v>1108</v>
      </c>
      <c r="C1984" s="15" t="s">
        <v>900</v>
      </c>
      <c r="D1984" s="14" t="s">
        <v>547</v>
      </c>
      <c r="E1984" s="15" t="s">
        <v>502</v>
      </c>
      <c r="F1984" s="15">
        <v>2</v>
      </c>
      <c r="G1984" s="16">
        <f t="shared" si="110"/>
        <v>5936</v>
      </c>
      <c r="H1984" s="16">
        <v>5936</v>
      </c>
      <c r="I1984" s="16">
        <f t="shared" si="112"/>
        <v>0</v>
      </c>
      <c r="J1984" s="32">
        <v>5936</v>
      </c>
      <c r="K1984" s="69">
        <f t="shared" si="111"/>
        <v>0</v>
      </c>
      <c r="L1984" s="71"/>
      <c r="M1984" s="109"/>
      <c r="N1984" s="110">
        <v>0.97</v>
      </c>
    </row>
    <row r="1985" spans="1:15" ht="18" hidden="1" customHeight="1" thickBot="1" x14ac:dyDescent="0.35">
      <c r="A1985" s="20">
        <v>383</v>
      </c>
      <c r="B1985" s="15" t="s">
        <v>1108</v>
      </c>
      <c r="C1985" s="15" t="s">
        <v>900</v>
      </c>
      <c r="D1985" s="14" t="s">
        <v>510</v>
      </c>
      <c r="E1985" s="15" t="s">
        <v>499</v>
      </c>
      <c r="F1985" s="15">
        <v>2</v>
      </c>
      <c r="G1985" s="16">
        <f t="shared" si="110"/>
        <v>9564</v>
      </c>
      <c r="H1985" s="16">
        <v>9564</v>
      </c>
      <c r="I1985" s="16">
        <f t="shared" si="112"/>
        <v>0</v>
      </c>
      <c r="J1985" s="32">
        <v>9564</v>
      </c>
      <c r="K1985" s="69">
        <f t="shared" si="111"/>
        <v>0</v>
      </c>
      <c r="L1985" s="71"/>
      <c r="M1985" s="109"/>
      <c r="N1985" s="110">
        <v>0.97</v>
      </c>
    </row>
    <row r="1986" spans="1:15" ht="18" hidden="1" customHeight="1" thickBot="1" x14ac:dyDescent="0.35">
      <c r="A1986" s="20">
        <v>383</v>
      </c>
      <c r="B1986" s="15" t="s">
        <v>1108</v>
      </c>
      <c r="C1986" s="15" t="s">
        <v>900</v>
      </c>
      <c r="D1986" s="14" t="s">
        <v>510</v>
      </c>
      <c r="E1986" s="15" t="s">
        <v>508</v>
      </c>
      <c r="F1986" s="15">
        <v>2</v>
      </c>
      <c r="G1986" s="16">
        <f t="shared" si="110"/>
        <v>9564</v>
      </c>
      <c r="H1986" s="16">
        <v>9564</v>
      </c>
      <c r="I1986" s="16">
        <f t="shared" si="112"/>
        <v>0</v>
      </c>
      <c r="J1986" s="32">
        <v>9564</v>
      </c>
      <c r="K1986" s="69">
        <f t="shared" si="111"/>
        <v>0</v>
      </c>
      <c r="L1986" s="71"/>
      <c r="M1986" s="109"/>
      <c r="N1986" s="110">
        <v>0.97</v>
      </c>
    </row>
    <row r="1987" spans="1:15" ht="18" hidden="1" customHeight="1" thickBot="1" x14ac:dyDescent="0.35">
      <c r="A1987" s="20">
        <v>383</v>
      </c>
      <c r="B1987" s="15" t="s">
        <v>1108</v>
      </c>
      <c r="C1987" s="15" t="s">
        <v>900</v>
      </c>
      <c r="D1987" s="14" t="s">
        <v>614</v>
      </c>
      <c r="E1987" s="15" t="s">
        <v>499</v>
      </c>
      <c r="F1987" s="15">
        <v>2</v>
      </c>
      <c r="G1987" s="16">
        <f t="shared" si="110"/>
        <v>13192</v>
      </c>
      <c r="H1987" s="16">
        <v>13192</v>
      </c>
      <c r="I1987" s="16">
        <f t="shared" si="112"/>
        <v>0</v>
      </c>
      <c r="J1987" s="32">
        <v>13192</v>
      </c>
      <c r="K1987" s="69">
        <f t="shared" si="111"/>
        <v>0</v>
      </c>
      <c r="L1987" s="71"/>
      <c r="M1987" s="109"/>
      <c r="N1987" s="110">
        <v>0.97</v>
      </c>
    </row>
    <row r="1988" spans="1:15" ht="18" hidden="1" customHeight="1" thickBot="1" x14ac:dyDescent="0.35">
      <c r="A1988" s="20">
        <v>383</v>
      </c>
      <c r="B1988" s="15" t="s">
        <v>1108</v>
      </c>
      <c r="C1988" s="15" t="s">
        <v>900</v>
      </c>
      <c r="D1988" s="14" t="s">
        <v>614</v>
      </c>
      <c r="E1988" s="15" t="s">
        <v>508</v>
      </c>
      <c r="F1988" s="15">
        <v>2</v>
      </c>
      <c r="G1988" s="16">
        <f t="shared" si="110"/>
        <v>13192</v>
      </c>
      <c r="H1988" s="16">
        <v>13192</v>
      </c>
      <c r="I1988" s="16">
        <f t="shared" si="112"/>
        <v>0</v>
      </c>
      <c r="J1988" s="32">
        <v>13192</v>
      </c>
      <c r="K1988" s="69">
        <f t="shared" si="111"/>
        <v>0</v>
      </c>
      <c r="L1988" s="71"/>
      <c r="M1988" s="109"/>
      <c r="N1988" s="110">
        <v>0.97</v>
      </c>
    </row>
    <row r="1989" spans="1:15" ht="18" hidden="1" customHeight="1" thickBot="1" x14ac:dyDescent="0.35">
      <c r="A1989" s="20">
        <v>383</v>
      </c>
      <c r="B1989" s="15" t="s">
        <v>1108</v>
      </c>
      <c r="C1989" s="15" t="s">
        <v>900</v>
      </c>
      <c r="D1989" s="14" t="s">
        <v>523</v>
      </c>
      <c r="E1989" s="15" t="s">
        <v>508</v>
      </c>
      <c r="F1989" s="15">
        <v>2</v>
      </c>
      <c r="G1989" s="16">
        <f t="shared" si="110"/>
        <v>5936.4</v>
      </c>
      <c r="H1989" s="16">
        <v>5936.4</v>
      </c>
      <c r="I1989" s="16">
        <f t="shared" si="112"/>
        <v>0</v>
      </c>
      <c r="J1989" s="32">
        <v>5936.4</v>
      </c>
      <c r="K1989" s="69">
        <f t="shared" si="111"/>
        <v>0</v>
      </c>
      <c r="L1989" s="71"/>
      <c r="M1989" s="109"/>
      <c r="N1989" s="110">
        <v>0.97</v>
      </c>
    </row>
    <row r="1990" spans="1:15" ht="18" hidden="1" customHeight="1" thickBot="1" x14ac:dyDescent="0.35">
      <c r="A1990" s="20">
        <v>383</v>
      </c>
      <c r="B1990" s="15" t="s">
        <v>1108</v>
      </c>
      <c r="C1990" s="15" t="s">
        <v>900</v>
      </c>
      <c r="D1990" s="14" t="s">
        <v>545</v>
      </c>
      <c r="E1990" s="15"/>
      <c r="F1990" s="15">
        <v>1</v>
      </c>
      <c r="G1990" s="16">
        <f t="shared" si="110"/>
        <v>5508</v>
      </c>
      <c r="H1990" s="16">
        <v>5508</v>
      </c>
      <c r="I1990" s="16">
        <f t="shared" si="112"/>
        <v>0</v>
      </c>
      <c r="J1990" s="32">
        <v>5508</v>
      </c>
      <c r="K1990" s="69">
        <f t="shared" si="111"/>
        <v>0</v>
      </c>
      <c r="L1990" s="71"/>
      <c r="M1990" s="109"/>
      <c r="N1990" s="110">
        <v>0.9</v>
      </c>
    </row>
    <row r="1991" spans="1:15" ht="18" hidden="1" customHeight="1" thickBot="1" x14ac:dyDescent="0.35">
      <c r="A1991" s="20">
        <v>383</v>
      </c>
      <c r="B1991" s="15" t="s">
        <v>1108</v>
      </c>
      <c r="C1991" s="15" t="s">
        <v>900</v>
      </c>
      <c r="D1991" s="14" t="s">
        <v>522</v>
      </c>
      <c r="E1991" s="15" t="s">
        <v>502</v>
      </c>
      <c r="F1991" s="15">
        <v>2</v>
      </c>
      <c r="G1991" s="16">
        <f t="shared" si="110"/>
        <v>5936</v>
      </c>
      <c r="H1991" s="16">
        <v>5936</v>
      </c>
      <c r="I1991" s="16">
        <f t="shared" si="112"/>
        <v>0</v>
      </c>
      <c r="J1991" s="32">
        <v>5936</v>
      </c>
      <c r="K1991" s="69">
        <f t="shared" si="111"/>
        <v>0</v>
      </c>
      <c r="L1991" s="71"/>
      <c r="M1991" s="109"/>
      <c r="N1991" s="110">
        <v>0.97</v>
      </c>
    </row>
    <row r="1992" spans="1:15" ht="15.6" hidden="1" customHeight="1" thickBot="1" x14ac:dyDescent="0.35">
      <c r="A1992" s="20">
        <v>383</v>
      </c>
      <c r="B1992" s="15" t="s">
        <v>1108</v>
      </c>
      <c r="C1992" s="15" t="s">
        <v>900</v>
      </c>
      <c r="D1992" s="14" t="s">
        <v>614</v>
      </c>
      <c r="E1992" s="15" t="s">
        <v>506</v>
      </c>
      <c r="F1992" s="15">
        <v>1</v>
      </c>
      <c r="G1992" s="16">
        <f t="shared" si="110"/>
        <v>13192</v>
      </c>
      <c r="H1992" s="16">
        <v>13192</v>
      </c>
      <c r="I1992" s="16">
        <f t="shared" si="112"/>
        <v>0</v>
      </c>
      <c r="J1992" s="32">
        <v>13192</v>
      </c>
      <c r="K1992" s="69">
        <f t="shared" si="111"/>
        <v>0</v>
      </c>
      <c r="L1992" s="71"/>
      <c r="M1992" s="109"/>
      <c r="N1992" s="110">
        <v>0.97</v>
      </c>
    </row>
    <row r="1993" spans="1:15" ht="18" hidden="1" customHeight="1" thickBot="1" x14ac:dyDescent="0.35">
      <c r="A1993" s="20">
        <v>383</v>
      </c>
      <c r="B1993" s="15" t="s">
        <v>1108</v>
      </c>
      <c r="C1993" s="15" t="s">
        <v>900</v>
      </c>
      <c r="D1993" s="14" t="s">
        <v>614</v>
      </c>
      <c r="E1993" s="15" t="s">
        <v>503</v>
      </c>
      <c r="F1993" s="15">
        <v>1</v>
      </c>
      <c r="G1993" s="16">
        <f t="shared" si="110"/>
        <v>13192</v>
      </c>
      <c r="H1993" s="16">
        <v>13192</v>
      </c>
      <c r="I1993" s="16">
        <f t="shared" si="112"/>
        <v>0</v>
      </c>
      <c r="J1993" s="32">
        <v>13192</v>
      </c>
      <c r="K1993" s="69">
        <f t="shared" si="111"/>
        <v>0</v>
      </c>
      <c r="L1993" s="71"/>
      <c r="M1993" s="109"/>
      <c r="N1993" s="110">
        <v>0.97</v>
      </c>
    </row>
    <row r="1994" spans="1:15" ht="18" hidden="1" customHeight="1" thickBot="1" x14ac:dyDescent="0.35">
      <c r="A1994" s="20">
        <v>383</v>
      </c>
      <c r="B1994" s="15" t="s">
        <v>1108</v>
      </c>
      <c r="C1994" s="15" t="s">
        <v>900</v>
      </c>
      <c r="D1994" s="14" t="s">
        <v>510</v>
      </c>
      <c r="E1994" s="15" t="s">
        <v>503</v>
      </c>
      <c r="F1994" s="15">
        <v>1</v>
      </c>
      <c r="G1994" s="16">
        <f t="shared" si="110"/>
        <v>9564</v>
      </c>
      <c r="H1994" s="16">
        <v>9564</v>
      </c>
      <c r="I1994" s="16">
        <f t="shared" si="112"/>
        <v>0</v>
      </c>
      <c r="J1994" s="32">
        <v>9564</v>
      </c>
      <c r="K1994" s="69">
        <f t="shared" si="111"/>
        <v>0</v>
      </c>
      <c r="L1994" s="71"/>
      <c r="M1994" s="109"/>
      <c r="N1994" s="110">
        <v>0.97</v>
      </c>
    </row>
    <row r="1995" spans="1:15" ht="13.2" hidden="1" customHeight="1" thickBot="1" x14ac:dyDescent="0.35">
      <c r="A1995" s="20">
        <v>383</v>
      </c>
      <c r="B1995" s="15" t="s">
        <v>1108</v>
      </c>
      <c r="C1995" s="15" t="s">
        <v>900</v>
      </c>
      <c r="D1995" s="14" t="s">
        <v>510</v>
      </c>
      <c r="E1995" s="15" t="s">
        <v>506</v>
      </c>
      <c r="F1995" s="15">
        <v>1</v>
      </c>
      <c r="G1995" s="16">
        <f t="shared" si="110"/>
        <v>9564</v>
      </c>
      <c r="H1995" s="16">
        <v>9564</v>
      </c>
      <c r="I1995" s="16">
        <f t="shared" si="112"/>
        <v>0</v>
      </c>
      <c r="J1995" s="32">
        <v>9564</v>
      </c>
      <c r="K1995" s="69">
        <f t="shared" si="111"/>
        <v>0</v>
      </c>
      <c r="L1995" s="71"/>
      <c r="M1995" s="109"/>
      <c r="N1995" s="110">
        <v>0.97</v>
      </c>
    </row>
    <row r="1996" spans="1:15" ht="18" hidden="1" customHeight="1" thickBot="1" x14ac:dyDescent="0.35">
      <c r="A1996" s="20">
        <v>383</v>
      </c>
      <c r="B1996" s="15" t="s">
        <v>1108</v>
      </c>
      <c r="C1996" s="15" t="s">
        <v>900</v>
      </c>
      <c r="D1996" s="14" t="s">
        <v>513</v>
      </c>
      <c r="E1996" s="15" t="s">
        <v>512</v>
      </c>
      <c r="F1996" s="15">
        <v>2</v>
      </c>
      <c r="G1996" s="16">
        <f t="shared" si="110"/>
        <v>0</v>
      </c>
      <c r="H1996" s="16">
        <v>0</v>
      </c>
      <c r="I1996" s="16">
        <f t="shared" si="112"/>
        <v>0</v>
      </c>
      <c r="J1996" s="32">
        <v>0</v>
      </c>
      <c r="K1996" s="69">
        <f t="shared" si="111"/>
        <v>0</v>
      </c>
      <c r="L1996" s="71"/>
      <c r="M1996" s="109"/>
      <c r="N1996" s="110">
        <v>0.97</v>
      </c>
    </row>
    <row r="1997" spans="1:15" ht="18" hidden="1" customHeight="1" thickBot="1" x14ac:dyDescent="0.35">
      <c r="A1997" s="20">
        <v>383</v>
      </c>
      <c r="B1997" s="15" t="s">
        <v>1108</v>
      </c>
      <c r="C1997" s="15" t="s">
        <v>900</v>
      </c>
      <c r="D1997" s="14" t="s">
        <v>524</v>
      </c>
      <c r="E1997" s="15" t="s">
        <v>503</v>
      </c>
      <c r="F1997" s="15">
        <v>1</v>
      </c>
      <c r="G1997" s="16">
        <f t="shared" si="110"/>
        <v>5936</v>
      </c>
      <c r="H1997" s="16">
        <v>5936</v>
      </c>
      <c r="I1997" s="16">
        <f t="shared" si="112"/>
        <v>0</v>
      </c>
      <c r="J1997" s="32">
        <v>5936</v>
      </c>
      <c r="K1997" s="69">
        <f t="shared" si="111"/>
        <v>0</v>
      </c>
      <c r="L1997" s="71"/>
      <c r="M1997" s="109"/>
      <c r="N1997" s="110">
        <v>0.97</v>
      </c>
    </row>
    <row r="1998" spans="1:15" ht="18" hidden="1" customHeight="1" thickBot="1" x14ac:dyDescent="0.35">
      <c r="A1998" s="20">
        <v>384</v>
      </c>
      <c r="B1998" s="15" t="s">
        <v>1171</v>
      </c>
      <c r="C1998" s="15" t="s">
        <v>978</v>
      </c>
      <c r="D1998" s="14" t="s">
        <v>1043</v>
      </c>
      <c r="E1998" s="15" t="s">
        <v>500</v>
      </c>
      <c r="F1998" s="15">
        <v>9</v>
      </c>
      <c r="G1998" s="16">
        <f t="shared" si="110"/>
        <v>55148</v>
      </c>
      <c r="H1998" s="16">
        <v>55568</v>
      </c>
      <c r="I1998" s="16">
        <f t="shared" si="112"/>
        <v>0</v>
      </c>
      <c r="J1998" s="32">
        <v>55568</v>
      </c>
      <c r="K1998" s="69">
        <f t="shared" si="111"/>
        <v>0</v>
      </c>
      <c r="L1998" s="71">
        <v>420</v>
      </c>
      <c r="M1998" s="109">
        <v>420</v>
      </c>
      <c r="N1998" s="110">
        <v>0.63</v>
      </c>
      <c r="O1998" s="363"/>
    </row>
    <row r="1999" spans="1:15" ht="15" hidden="1" thickBot="1" x14ac:dyDescent="0.35">
      <c r="A1999" s="20">
        <v>384</v>
      </c>
      <c r="B1999" s="15" t="s">
        <v>1171</v>
      </c>
      <c r="C1999" s="15" t="s">
        <v>978</v>
      </c>
      <c r="D1999" s="14" t="s">
        <v>1105</v>
      </c>
      <c r="E1999" s="15" t="s">
        <v>504</v>
      </c>
      <c r="F1999" s="15">
        <v>8</v>
      </c>
      <c r="G1999" s="16">
        <f t="shared" si="110"/>
        <v>57856</v>
      </c>
      <c r="H1999" s="16">
        <v>58216</v>
      </c>
      <c r="I1999" s="16">
        <f t="shared" si="112"/>
        <v>0</v>
      </c>
      <c r="J1999" s="32">
        <v>58216</v>
      </c>
      <c r="K1999" s="69">
        <f t="shared" si="111"/>
        <v>0</v>
      </c>
      <c r="L1999" s="71">
        <v>360</v>
      </c>
      <c r="M1999" s="109">
        <v>360</v>
      </c>
      <c r="N1999" s="110">
        <v>0.55000000000000004</v>
      </c>
      <c r="O1999" s="363"/>
    </row>
    <row r="2000" spans="1:15" ht="15" hidden="1" thickBot="1" x14ac:dyDescent="0.35">
      <c r="A2000" s="14">
        <v>384</v>
      </c>
      <c r="B2000" s="15" t="s">
        <v>1171</v>
      </c>
      <c r="C2000" s="15" t="s">
        <v>978</v>
      </c>
      <c r="D2000" s="14" t="s">
        <v>1178</v>
      </c>
      <c r="E2000" s="15" t="s">
        <v>504</v>
      </c>
      <c r="F2000" s="15">
        <v>1</v>
      </c>
      <c r="G2000" s="16">
        <f t="shared" si="110"/>
        <v>375</v>
      </c>
      <c r="H2000" s="16">
        <v>375</v>
      </c>
      <c r="I2000" s="16">
        <f t="shared" si="112"/>
        <v>0</v>
      </c>
      <c r="J2000" s="32">
        <v>375</v>
      </c>
      <c r="K2000" s="69">
        <f t="shared" si="111"/>
        <v>0</v>
      </c>
      <c r="L2000" s="71"/>
      <c r="M2000" s="109"/>
      <c r="N2000" s="110">
        <v>0.25</v>
      </c>
      <c r="O2000" s="363"/>
    </row>
    <row r="2001" spans="1:14" ht="15" hidden="1" thickBot="1" x14ac:dyDescent="0.35">
      <c r="A2001" s="25">
        <v>385</v>
      </c>
      <c r="B2001" s="15" t="s">
        <v>1172</v>
      </c>
      <c r="C2001" s="15" t="s">
        <v>940</v>
      </c>
      <c r="D2001" s="14" t="s">
        <v>1076</v>
      </c>
      <c r="E2001" s="15" t="s">
        <v>512</v>
      </c>
      <c r="F2001" s="15">
        <v>17</v>
      </c>
      <c r="G2001" s="16">
        <f t="shared" si="110"/>
        <v>157900</v>
      </c>
      <c r="H2001" s="16">
        <v>158460</v>
      </c>
      <c r="I2001" s="16">
        <f t="shared" si="112"/>
        <v>0</v>
      </c>
      <c r="J2001" s="32">
        <v>158460</v>
      </c>
      <c r="K2001" s="69">
        <f t="shared" si="111"/>
        <v>0</v>
      </c>
      <c r="L2001" s="71">
        <v>560</v>
      </c>
      <c r="M2001" s="109">
        <v>560</v>
      </c>
      <c r="N2001" s="110" t="s">
        <v>1279</v>
      </c>
    </row>
    <row r="2002" spans="1:14" ht="15" hidden="1" thickBot="1" x14ac:dyDescent="0.35">
      <c r="A2002" s="25">
        <v>385</v>
      </c>
      <c r="B2002" s="15" t="s">
        <v>1172</v>
      </c>
      <c r="C2002" s="15" t="s">
        <v>940</v>
      </c>
      <c r="D2002" s="14" t="s">
        <v>1273</v>
      </c>
      <c r="E2002" s="15" t="s">
        <v>512</v>
      </c>
      <c r="F2002" s="15">
        <v>11</v>
      </c>
      <c r="G2002" s="16">
        <f t="shared" si="110"/>
        <v>37790</v>
      </c>
      <c r="H2002" s="16">
        <v>39910</v>
      </c>
      <c r="I2002" s="16">
        <f t="shared" si="112"/>
        <v>0</v>
      </c>
      <c r="J2002" s="32">
        <v>39910</v>
      </c>
      <c r="K2002" s="69">
        <f t="shared" si="111"/>
        <v>0</v>
      </c>
      <c r="L2002" s="71">
        <v>2120</v>
      </c>
      <c r="M2002" s="109">
        <v>2120</v>
      </c>
      <c r="N2002" s="110">
        <v>0.9</v>
      </c>
    </row>
    <row r="2003" spans="1:14" ht="15" hidden="1" thickBot="1" x14ac:dyDescent="0.35">
      <c r="A2003" s="25">
        <v>386</v>
      </c>
      <c r="B2003" s="15" t="s">
        <v>1173</v>
      </c>
      <c r="C2003" s="15" t="s">
        <v>719</v>
      </c>
      <c r="D2003" s="14" t="s">
        <v>1102</v>
      </c>
      <c r="E2003" s="15" t="s">
        <v>500</v>
      </c>
      <c r="F2003" s="15">
        <v>6</v>
      </c>
      <c r="G2003" s="16">
        <f t="shared" si="110"/>
        <v>52741</v>
      </c>
      <c r="H2003" s="16">
        <v>55741</v>
      </c>
      <c r="I2003" s="16">
        <f t="shared" si="112"/>
        <v>0</v>
      </c>
      <c r="J2003" s="32">
        <v>55741</v>
      </c>
      <c r="K2003" s="69">
        <f t="shared" si="111"/>
        <v>0</v>
      </c>
      <c r="L2003" s="71">
        <v>3000</v>
      </c>
      <c r="M2003" s="109">
        <v>3000</v>
      </c>
      <c r="N2003" s="110">
        <v>0.85</v>
      </c>
    </row>
    <row r="2004" spans="1:14" ht="15" hidden="1" thickBot="1" x14ac:dyDescent="0.35">
      <c r="A2004" s="25">
        <v>386</v>
      </c>
      <c r="B2004" s="15" t="s">
        <v>1173</v>
      </c>
      <c r="C2004" s="15" t="s">
        <v>719</v>
      </c>
      <c r="D2004" s="14" t="s">
        <v>679</v>
      </c>
      <c r="E2004" s="15" t="s">
        <v>502</v>
      </c>
      <c r="F2004" s="15">
        <v>5</v>
      </c>
      <c r="G2004" s="16">
        <f t="shared" si="110"/>
        <v>28482</v>
      </c>
      <c r="H2004" s="16">
        <v>35772</v>
      </c>
      <c r="I2004" s="16">
        <f t="shared" si="112"/>
        <v>0</v>
      </c>
      <c r="J2004" s="32">
        <v>35772</v>
      </c>
      <c r="K2004" s="69">
        <f t="shared" si="111"/>
        <v>0</v>
      </c>
      <c r="L2004" s="71">
        <v>7290</v>
      </c>
      <c r="M2004" s="109">
        <v>7290</v>
      </c>
      <c r="N2004" s="110">
        <v>1</v>
      </c>
    </row>
    <row r="2005" spans="1:14" ht="15" hidden="1" thickBot="1" x14ac:dyDescent="0.35">
      <c r="A2005" s="25">
        <v>387</v>
      </c>
      <c r="B2005" s="15" t="s">
        <v>1174</v>
      </c>
      <c r="C2005" s="15" t="s">
        <v>940</v>
      </c>
      <c r="D2005" s="14" t="s">
        <v>1043</v>
      </c>
      <c r="E2005" s="15" t="s">
        <v>500</v>
      </c>
      <c r="F2005" s="15">
        <v>14</v>
      </c>
      <c r="G2005" s="16">
        <f t="shared" si="110"/>
        <v>135208</v>
      </c>
      <c r="H2005" s="16">
        <v>152918</v>
      </c>
      <c r="I2005" s="16">
        <f t="shared" si="112"/>
        <v>0</v>
      </c>
      <c r="J2005" s="32">
        <v>152918</v>
      </c>
      <c r="K2005" s="69">
        <f t="shared" si="111"/>
        <v>0</v>
      </c>
      <c r="L2005" s="71">
        <v>17710</v>
      </c>
      <c r="M2005" s="109">
        <v>17710</v>
      </c>
      <c r="N2005" s="110" t="s">
        <v>1291</v>
      </c>
    </row>
    <row r="2006" spans="1:14" ht="15" hidden="1" thickBot="1" x14ac:dyDescent="0.35">
      <c r="A2006" s="25">
        <v>387</v>
      </c>
      <c r="B2006" s="15" t="s">
        <v>1174</v>
      </c>
      <c r="C2006" s="15" t="s">
        <v>940</v>
      </c>
      <c r="D2006" s="14" t="s">
        <v>1228</v>
      </c>
      <c r="E2006" s="15" t="s">
        <v>500</v>
      </c>
      <c r="F2006" s="15">
        <v>8</v>
      </c>
      <c r="G2006" s="16">
        <f t="shared" si="110"/>
        <v>32400</v>
      </c>
      <c r="H2006" s="16">
        <v>32400</v>
      </c>
      <c r="I2006" s="16">
        <f t="shared" si="112"/>
        <v>37</v>
      </c>
      <c r="J2006" s="32">
        <v>32437</v>
      </c>
      <c r="K2006" s="69">
        <f t="shared" si="111"/>
        <v>0</v>
      </c>
      <c r="L2006" s="71">
        <v>0</v>
      </c>
      <c r="M2006" s="109">
        <v>0</v>
      </c>
      <c r="N2006" s="110">
        <v>1</v>
      </c>
    </row>
    <row r="2007" spans="1:14" ht="0.6" hidden="1" customHeight="1" thickBot="1" x14ac:dyDescent="0.35">
      <c r="A2007" s="25">
        <v>388</v>
      </c>
      <c r="B2007" s="15" t="s">
        <v>1175</v>
      </c>
      <c r="C2007" s="15" t="s">
        <v>719</v>
      </c>
      <c r="D2007" s="14" t="s">
        <v>981</v>
      </c>
      <c r="E2007" s="15" t="s">
        <v>502</v>
      </c>
      <c r="F2007" s="15">
        <v>3</v>
      </c>
      <c r="G2007" s="16">
        <f t="shared" si="110"/>
        <v>12086</v>
      </c>
      <c r="H2007" s="16">
        <v>12996</v>
      </c>
      <c r="I2007" s="16">
        <f t="shared" si="112"/>
        <v>0</v>
      </c>
      <c r="J2007" s="32">
        <v>12996</v>
      </c>
      <c r="K2007" s="69">
        <f t="shared" si="111"/>
        <v>0</v>
      </c>
      <c r="L2007" s="71">
        <v>910</v>
      </c>
      <c r="M2007" s="109">
        <v>910</v>
      </c>
      <c r="N2007" s="110">
        <v>0.95</v>
      </c>
    </row>
    <row r="2008" spans="1:14" ht="15" hidden="1" thickBot="1" x14ac:dyDescent="0.35">
      <c r="A2008" s="25">
        <v>388</v>
      </c>
      <c r="B2008" s="15" t="s">
        <v>1175</v>
      </c>
      <c r="C2008" s="15" t="s">
        <v>719</v>
      </c>
      <c r="D2008" s="14" t="s">
        <v>670</v>
      </c>
      <c r="E2008" s="15" t="s">
        <v>506</v>
      </c>
      <c r="F2008" s="15">
        <v>2</v>
      </c>
      <c r="G2008" s="16">
        <f t="shared" si="110"/>
        <v>17712</v>
      </c>
      <c r="H2008" s="16">
        <v>17712</v>
      </c>
      <c r="I2008" s="16">
        <f t="shared" si="112"/>
        <v>0</v>
      </c>
      <c r="J2008" s="32">
        <v>17712</v>
      </c>
      <c r="K2008" s="69">
        <f t="shared" si="111"/>
        <v>0</v>
      </c>
      <c r="L2008" s="71"/>
      <c r="M2008" s="109"/>
      <c r="N2008" s="110">
        <v>0.9</v>
      </c>
    </row>
    <row r="2009" spans="1:14" ht="15" hidden="1" thickBot="1" x14ac:dyDescent="0.35">
      <c r="A2009" s="25">
        <v>388</v>
      </c>
      <c r="B2009" s="15" t="s">
        <v>1175</v>
      </c>
      <c r="C2009" s="15" t="s">
        <v>719</v>
      </c>
      <c r="D2009" s="14" t="s">
        <v>980</v>
      </c>
      <c r="E2009" s="15" t="s">
        <v>503</v>
      </c>
      <c r="F2009" s="15">
        <v>3</v>
      </c>
      <c r="G2009" s="16">
        <f t="shared" si="110"/>
        <v>17024</v>
      </c>
      <c r="H2009" s="16">
        <v>19024</v>
      </c>
      <c r="I2009" s="16">
        <f t="shared" si="112"/>
        <v>0</v>
      </c>
      <c r="J2009" s="32">
        <v>19024</v>
      </c>
      <c r="K2009" s="69">
        <f t="shared" si="111"/>
        <v>0</v>
      </c>
      <c r="L2009" s="71">
        <v>2000</v>
      </c>
      <c r="M2009" s="109">
        <v>2000</v>
      </c>
      <c r="N2009" s="110">
        <v>0.9</v>
      </c>
    </row>
    <row r="2010" spans="1:14" ht="15" hidden="1" thickBot="1" x14ac:dyDescent="0.35">
      <c r="A2010" s="25">
        <v>388</v>
      </c>
      <c r="B2010" s="15" t="s">
        <v>1175</v>
      </c>
      <c r="C2010" s="15" t="s">
        <v>1470</v>
      </c>
      <c r="D2010" s="14" t="s">
        <v>1105</v>
      </c>
      <c r="E2010" s="15" t="s">
        <v>504</v>
      </c>
      <c r="F2010" s="15">
        <v>2</v>
      </c>
      <c r="G2010" s="16">
        <f t="shared" si="110"/>
        <v>1440</v>
      </c>
      <c r="H2010" s="16">
        <v>5200</v>
      </c>
      <c r="I2010" s="16">
        <f t="shared" si="112"/>
        <v>0</v>
      </c>
      <c r="J2010" s="32">
        <v>5200</v>
      </c>
      <c r="K2010" s="69">
        <f t="shared" si="111"/>
        <v>0</v>
      </c>
      <c r="L2010" s="71">
        <v>3760</v>
      </c>
      <c r="M2010" s="109">
        <v>3760</v>
      </c>
      <c r="N2010" s="110">
        <v>1</v>
      </c>
    </row>
    <row r="2011" spans="1:14" ht="15" hidden="1" thickBot="1" x14ac:dyDescent="0.35">
      <c r="A2011" s="25">
        <v>388</v>
      </c>
      <c r="B2011" s="15" t="s">
        <v>1175</v>
      </c>
      <c r="C2011" s="15" t="s">
        <v>1470</v>
      </c>
      <c r="D2011" s="14" t="s">
        <v>1061</v>
      </c>
      <c r="E2011" s="15" t="s">
        <v>508</v>
      </c>
      <c r="F2011" s="15">
        <v>3</v>
      </c>
      <c r="G2011" s="16">
        <f t="shared" ref="G2011:G2095" si="113">H2011-M2011</f>
        <v>8975</v>
      </c>
      <c r="H2011" s="16">
        <v>9715</v>
      </c>
      <c r="I2011" s="16">
        <f t="shared" si="112"/>
        <v>0</v>
      </c>
      <c r="J2011" s="32">
        <v>9715</v>
      </c>
      <c r="K2011" s="69">
        <f t="shared" si="111"/>
        <v>0</v>
      </c>
      <c r="L2011" s="71">
        <v>740</v>
      </c>
      <c r="M2011" s="109">
        <v>740</v>
      </c>
      <c r="N2011" s="110">
        <v>0.9</v>
      </c>
    </row>
    <row r="2012" spans="1:14" ht="15" hidden="1" thickBot="1" x14ac:dyDescent="0.35">
      <c r="A2012" s="25">
        <v>388</v>
      </c>
      <c r="B2012" s="15" t="s">
        <v>1175</v>
      </c>
      <c r="C2012" s="15" t="s">
        <v>1470</v>
      </c>
      <c r="D2012" s="14" t="s">
        <v>980</v>
      </c>
      <c r="E2012" s="15" t="s">
        <v>503</v>
      </c>
      <c r="F2012" s="15">
        <v>3</v>
      </c>
      <c r="G2012" s="16">
        <f t="shared" si="113"/>
        <v>6420</v>
      </c>
      <c r="H2012" s="16">
        <v>6660</v>
      </c>
      <c r="I2012" s="16">
        <f t="shared" si="112"/>
        <v>0</v>
      </c>
      <c r="J2012" s="32">
        <v>6660</v>
      </c>
      <c r="K2012" s="69">
        <f t="shared" si="111"/>
        <v>0</v>
      </c>
      <c r="L2012" s="71">
        <v>240</v>
      </c>
      <c r="M2012" s="109">
        <v>240</v>
      </c>
      <c r="N2012" s="110">
        <v>0.9</v>
      </c>
    </row>
    <row r="2013" spans="1:14" ht="15" hidden="1" thickBot="1" x14ac:dyDescent="0.35">
      <c r="A2013" s="25">
        <v>388</v>
      </c>
      <c r="B2013" s="15" t="s">
        <v>1175</v>
      </c>
      <c r="C2013" s="15" t="s">
        <v>1470</v>
      </c>
      <c r="D2013" s="14" t="s">
        <v>679</v>
      </c>
      <c r="E2013" s="15" t="s">
        <v>502</v>
      </c>
      <c r="F2013" s="15">
        <v>1</v>
      </c>
      <c r="G2013" s="16">
        <f t="shared" si="113"/>
        <v>4770</v>
      </c>
      <c r="H2013" s="16">
        <v>4770</v>
      </c>
      <c r="I2013" s="16">
        <f t="shared" si="112"/>
        <v>0</v>
      </c>
      <c r="J2013" s="32">
        <v>4770</v>
      </c>
      <c r="K2013" s="69">
        <f t="shared" si="111"/>
        <v>0</v>
      </c>
      <c r="L2013" s="71"/>
      <c r="M2013" s="109"/>
      <c r="N2013" s="110">
        <v>0.9</v>
      </c>
    </row>
    <row r="2014" spans="1:14" ht="15" hidden="1" thickBot="1" x14ac:dyDescent="0.35">
      <c r="A2014" s="25">
        <v>389</v>
      </c>
      <c r="B2014" s="15" t="s">
        <v>1176</v>
      </c>
      <c r="C2014" s="15" t="s">
        <v>643</v>
      </c>
      <c r="D2014" s="14" t="s">
        <v>985</v>
      </c>
      <c r="E2014" s="15" t="s">
        <v>506</v>
      </c>
      <c r="F2014" s="15">
        <v>12</v>
      </c>
      <c r="G2014" s="16">
        <f t="shared" si="113"/>
        <v>238064</v>
      </c>
      <c r="H2014" s="16">
        <v>240094</v>
      </c>
      <c r="I2014" s="16">
        <f t="shared" si="112"/>
        <v>0</v>
      </c>
      <c r="J2014" s="32">
        <v>240094</v>
      </c>
      <c r="K2014" s="69">
        <f t="shared" si="111"/>
        <v>0</v>
      </c>
      <c r="L2014" s="71">
        <v>2030</v>
      </c>
      <c r="M2014" s="109">
        <v>2030</v>
      </c>
      <c r="N2014" s="110">
        <v>0.9</v>
      </c>
    </row>
    <row r="2015" spans="1:14" ht="15" hidden="1" thickBot="1" x14ac:dyDescent="0.35">
      <c r="A2015" s="25">
        <v>389</v>
      </c>
      <c r="B2015" s="15" t="s">
        <v>1176</v>
      </c>
      <c r="C2015" s="15" t="s">
        <v>643</v>
      </c>
      <c r="D2015" s="14" t="s">
        <v>980</v>
      </c>
      <c r="E2015" s="15" t="s">
        <v>503</v>
      </c>
      <c r="F2015" s="15">
        <v>9</v>
      </c>
      <c r="G2015" s="16">
        <f t="shared" si="113"/>
        <v>240235</v>
      </c>
      <c r="H2015" s="16">
        <v>240475</v>
      </c>
      <c r="I2015" s="16">
        <f t="shared" si="112"/>
        <v>0</v>
      </c>
      <c r="J2015" s="32">
        <v>240475</v>
      </c>
      <c r="K2015" s="69">
        <f t="shared" si="111"/>
        <v>0</v>
      </c>
      <c r="L2015" s="71">
        <v>240</v>
      </c>
      <c r="M2015" s="109">
        <v>240</v>
      </c>
      <c r="N2015" s="110">
        <v>0.8</v>
      </c>
    </row>
    <row r="2016" spans="1:14" ht="15" hidden="1" thickBot="1" x14ac:dyDescent="0.35">
      <c r="A2016" s="25">
        <v>390</v>
      </c>
      <c r="B2016" s="15" t="s">
        <v>1180</v>
      </c>
      <c r="C2016" s="15" t="s">
        <v>1181</v>
      </c>
      <c r="D2016" s="14" t="s">
        <v>980</v>
      </c>
      <c r="E2016" s="15" t="s">
        <v>503</v>
      </c>
      <c r="F2016" s="15">
        <v>11</v>
      </c>
      <c r="G2016" s="16">
        <f t="shared" si="113"/>
        <v>34005</v>
      </c>
      <c r="H2016" s="16">
        <v>34425</v>
      </c>
      <c r="I2016" s="16">
        <f t="shared" si="112"/>
        <v>0</v>
      </c>
      <c r="J2016" s="32">
        <v>34425</v>
      </c>
      <c r="K2016" s="69">
        <f t="shared" si="111"/>
        <v>0</v>
      </c>
      <c r="L2016" s="71">
        <v>420</v>
      </c>
      <c r="M2016" s="109">
        <v>420</v>
      </c>
      <c r="N2016" s="110">
        <v>0.64</v>
      </c>
    </row>
    <row r="2017" spans="1:14" ht="15" hidden="1" thickBot="1" x14ac:dyDescent="0.35">
      <c r="A2017" s="25">
        <v>391</v>
      </c>
      <c r="B2017" s="15" t="s">
        <v>1182</v>
      </c>
      <c r="C2017" s="15" t="s">
        <v>643</v>
      </c>
      <c r="D2017" s="14" t="s">
        <v>679</v>
      </c>
      <c r="E2017" s="15" t="s">
        <v>502</v>
      </c>
      <c r="F2017" s="15">
        <v>11</v>
      </c>
      <c r="G2017" s="16">
        <f t="shared" si="113"/>
        <v>227144</v>
      </c>
      <c r="H2017" s="16">
        <v>230164</v>
      </c>
      <c r="I2017" s="16">
        <f t="shared" si="112"/>
        <v>0</v>
      </c>
      <c r="J2017" s="32">
        <v>230164</v>
      </c>
      <c r="K2017" s="69">
        <f t="shared" si="111"/>
        <v>0</v>
      </c>
      <c r="L2017" s="71">
        <v>3020</v>
      </c>
      <c r="M2017" s="109">
        <v>3020</v>
      </c>
      <c r="N2017" s="110">
        <v>0.9</v>
      </c>
    </row>
    <row r="2018" spans="1:14" ht="15" hidden="1" thickBot="1" x14ac:dyDescent="0.35">
      <c r="A2018" s="25">
        <v>391</v>
      </c>
      <c r="B2018" s="15" t="s">
        <v>1182</v>
      </c>
      <c r="C2018" s="15" t="s">
        <v>643</v>
      </c>
      <c r="D2018" s="14" t="s">
        <v>1061</v>
      </c>
      <c r="E2018" s="15" t="s">
        <v>508</v>
      </c>
      <c r="F2018" s="15">
        <v>12</v>
      </c>
      <c r="G2018" s="16">
        <f t="shared" si="113"/>
        <v>274536</v>
      </c>
      <c r="H2018" s="16">
        <v>274776</v>
      </c>
      <c r="I2018" s="16">
        <f t="shared" si="112"/>
        <v>0</v>
      </c>
      <c r="J2018" s="32">
        <v>274776</v>
      </c>
      <c r="K2018" s="69">
        <f t="shared" si="111"/>
        <v>0</v>
      </c>
      <c r="L2018" s="71">
        <v>240</v>
      </c>
      <c r="M2018" s="109">
        <v>240</v>
      </c>
      <c r="N2018" s="110">
        <v>0.9</v>
      </c>
    </row>
    <row r="2019" spans="1:14" ht="15" hidden="1" thickBot="1" x14ac:dyDescent="0.35">
      <c r="A2019" s="25">
        <v>391</v>
      </c>
      <c r="B2019" s="15" t="s">
        <v>1182</v>
      </c>
      <c r="C2019" s="15" t="s">
        <v>643</v>
      </c>
      <c r="D2019" s="14" t="s">
        <v>1102</v>
      </c>
      <c r="E2019" s="15" t="s">
        <v>500</v>
      </c>
      <c r="F2019" s="15">
        <v>10</v>
      </c>
      <c r="G2019" s="16">
        <f t="shared" si="113"/>
        <v>286128</v>
      </c>
      <c r="H2019" s="16">
        <v>287178</v>
      </c>
      <c r="I2019" s="16">
        <f t="shared" si="112"/>
        <v>0</v>
      </c>
      <c r="J2019" s="32">
        <v>287178</v>
      </c>
      <c r="K2019" s="69">
        <f t="shared" si="111"/>
        <v>0</v>
      </c>
      <c r="L2019" s="71">
        <v>1050</v>
      </c>
      <c r="M2019" s="109">
        <v>1050</v>
      </c>
      <c r="N2019" s="110">
        <v>0.9</v>
      </c>
    </row>
    <row r="2020" spans="1:14" ht="15" hidden="1" thickBot="1" x14ac:dyDescent="0.35">
      <c r="A2020" s="25">
        <v>391</v>
      </c>
      <c r="B2020" s="15" t="s">
        <v>1182</v>
      </c>
      <c r="C2020" s="15" t="s">
        <v>643</v>
      </c>
      <c r="D2020" s="14" t="s">
        <v>981</v>
      </c>
      <c r="E2020" s="15" t="s">
        <v>502</v>
      </c>
      <c r="F2020" s="15">
        <v>11</v>
      </c>
      <c r="G2020" s="16">
        <f t="shared" si="113"/>
        <v>228239</v>
      </c>
      <c r="H2020" s="16">
        <v>230164</v>
      </c>
      <c r="I2020" s="16">
        <f t="shared" si="112"/>
        <v>0</v>
      </c>
      <c r="J2020" s="32">
        <v>230164</v>
      </c>
      <c r="K2020" s="69">
        <f t="shared" si="111"/>
        <v>0</v>
      </c>
      <c r="L2020" s="71">
        <v>1925</v>
      </c>
      <c r="M2020" s="109">
        <v>1925</v>
      </c>
      <c r="N2020" s="110">
        <v>0.9</v>
      </c>
    </row>
    <row r="2021" spans="1:14" ht="15" hidden="1" thickBot="1" x14ac:dyDescent="0.35">
      <c r="A2021" s="25">
        <v>391</v>
      </c>
      <c r="B2021" s="15" t="s">
        <v>1182</v>
      </c>
      <c r="C2021" s="15" t="s">
        <v>643</v>
      </c>
      <c r="D2021" s="158" t="s">
        <v>1076</v>
      </c>
      <c r="E2021" s="15" t="s">
        <v>512</v>
      </c>
      <c r="F2021" s="15">
        <v>7</v>
      </c>
      <c r="G2021" s="16">
        <f t="shared" si="113"/>
        <v>218190</v>
      </c>
      <c r="H2021" s="16">
        <v>220410</v>
      </c>
      <c r="I2021" s="16">
        <f t="shared" si="112"/>
        <v>0</v>
      </c>
      <c r="J2021" s="32">
        <v>220410</v>
      </c>
      <c r="K2021" s="69">
        <f t="shared" si="111"/>
        <v>0</v>
      </c>
      <c r="L2021" s="71">
        <v>2220</v>
      </c>
      <c r="M2021" s="109">
        <v>2220</v>
      </c>
      <c r="N2021" s="110">
        <v>0.8</v>
      </c>
    </row>
    <row r="2022" spans="1:14" ht="15" hidden="1" thickBot="1" x14ac:dyDescent="0.35">
      <c r="A2022" s="25">
        <v>391</v>
      </c>
      <c r="B2022" s="15" t="s">
        <v>1182</v>
      </c>
      <c r="C2022" s="15" t="s">
        <v>643</v>
      </c>
      <c r="D2022" s="14" t="s">
        <v>865</v>
      </c>
      <c r="E2022" s="15" t="s">
        <v>184</v>
      </c>
      <c r="F2022" s="15">
        <v>1</v>
      </c>
      <c r="G2022" s="16">
        <f t="shared" si="113"/>
        <v>93700</v>
      </c>
      <c r="H2022" s="16">
        <v>93700</v>
      </c>
      <c r="I2022" s="16">
        <f t="shared" si="112"/>
        <v>0</v>
      </c>
      <c r="J2022" s="32">
        <v>93700</v>
      </c>
      <c r="K2022" s="69">
        <f t="shared" si="111"/>
        <v>0</v>
      </c>
      <c r="L2022" s="71">
        <v>0</v>
      </c>
      <c r="M2022" s="109">
        <v>0</v>
      </c>
      <c r="N2022" s="110">
        <v>1</v>
      </c>
    </row>
    <row r="2023" spans="1:14" ht="15" hidden="1" thickBot="1" x14ac:dyDescent="0.35">
      <c r="A2023" s="25">
        <v>392</v>
      </c>
      <c r="B2023" s="15" t="s">
        <v>1184</v>
      </c>
      <c r="C2023" s="15" t="s">
        <v>891</v>
      </c>
      <c r="D2023" s="14" t="s">
        <v>985</v>
      </c>
      <c r="E2023" s="15" t="s">
        <v>506</v>
      </c>
      <c r="F2023" s="15">
        <v>15</v>
      </c>
      <c r="G2023" s="16">
        <f t="shared" si="113"/>
        <v>489255</v>
      </c>
      <c r="H2023" s="16">
        <v>494555</v>
      </c>
      <c r="I2023" s="16">
        <f t="shared" si="112"/>
        <v>0</v>
      </c>
      <c r="J2023" s="32">
        <v>494555</v>
      </c>
      <c r="K2023" s="69">
        <f t="shared" si="111"/>
        <v>0</v>
      </c>
      <c r="L2023" s="71">
        <v>5300</v>
      </c>
      <c r="M2023" s="109">
        <v>5300</v>
      </c>
      <c r="N2023" s="110">
        <v>0.9</v>
      </c>
    </row>
    <row r="2024" spans="1:14" ht="15" hidden="1" thickBot="1" x14ac:dyDescent="0.35">
      <c r="A2024" s="25">
        <v>392</v>
      </c>
      <c r="B2024" s="15" t="s">
        <v>1184</v>
      </c>
      <c r="C2024" s="15" t="s">
        <v>891</v>
      </c>
      <c r="D2024" s="14" t="s">
        <v>981</v>
      </c>
      <c r="E2024" s="15" t="s">
        <v>502</v>
      </c>
      <c r="F2024" s="15">
        <v>2</v>
      </c>
      <c r="G2024" s="16">
        <f t="shared" si="113"/>
        <v>9627</v>
      </c>
      <c r="H2024" s="16">
        <v>9627</v>
      </c>
      <c r="I2024" s="16">
        <f t="shared" si="112"/>
        <v>0</v>
      </c>
      <c r="J2024" s="32">
        <v>9627</v>
      </c>
      <c r="K2024" s="69">
        <f t="shared" si="111"/>
        <v>0</v>
      </c>
      <c r="L2024" s="71">
        <v>0</v>
      </c>
      <c r="M2024" s="109">
        <v>0</v>
      </c>
      <c r="N2024" s="110" t="s">
        <v>1803</v>
      </c>
    </row>
    <row r="2025" spans="1:14" ht="15" hidden="1" thickBot="1" x14ac:dyDescent="0.35">
      <c r="A2025" s="25">
        <v>392</v>
      </c>
      <c r="B2025" s="15" t="s">
        <v>1184</v>
      </c>
      <c r="C2025" s="15" t="s">
        <v>891</v>
      </c>
      <c r="D2025" s="14" t="s">
        <v>670</v>
      </c>
      <c r="E2025" s="15" t="s">
        <v>506</v>
      </c>
      <c r="F2025" s="15">
        <v>4</v>
      </c>
      <c r="G2025" s="16">
        <f t="shared" si="113"/>
        <v>43170</v>
      </c>
      <c r="H2025" s="16">
        <v>43170</v>
      </c>
      <c r="I2025" s="16">
        <f t="shared" si="112"/>
        <v>0</v>
      </c>
      <c r="J2025" s="32">
        <v>43170</v>
      </c>
      <c r="K2025" s="69">
        <f t="shared" si="111"/>
        <v>0</v>
      </c>
      <c r="L2025" s="71">
        <v>0</v>
      </c>
      <c r="M2025" s="109">
        <v>0</v>
      </c>
      <c r="N2025" s="110">
        <v>1</v>
      </c>
    </row>
    <row r="2026" spans="1:14" ht="15" hidden="1" thickBot="1" x14ac:dyDescent="0.35">
      <c r="A2026" s="25">
        <v>392</v>
      </c>
      <c r="B2026" s="15" t="s">
        <v>1184</v>
      </c>
      <c r="C2026" s="15" t="s">
        <v>891</v>
      </c>
      <c r="D2026" s="14" t="s">
        <v>980</v>
      </c>
      <c r="E2026" s="15" t="s">
        <v>503</v>
      </c>
      <c r="F2026" s="15">
        <v>8</v>
      </c>
      <c r="G2026" s="16">
        <f t="shared" si="113"/>
        <v>323426</v>
      </c>
      <c r="H2026" s="16">
        <v>324931</v>
      </c>
      <c r="I2026" s="16">
        <f t="shared" si="112"/>
        <v>0</v>
      </c>
      <c r="J2026" s="32">
        <v>324931</v>
      </c>
      <c r="K2026" s="69">
        <f t="shared" si="111"/>
        <v>0</v>
      </c>
      <c r="L2026" s="71">
        <v>1505</v>
      </c>
      <c r="M2026" s="109">
        <v>1505</v>
      </c>
      <c r="N2026" s="110" t="s">
        <v>1553</v>
      </c>
    </row>
    <row r="2027" spans="1:14" ht="15" hidden="1" thickBot="1" x14ac:dyDescent="0.35">
      <c r="A2027" s="25">
        <v>392</v>
      </c>
      <c r="B2027" s="15" t="s">
        <v>1184</v>
      </c>
      <c r="C2027" s="15" t="s">
        <v>891</v>
      </c>
      <c r="D2027" s="14" t="s">
        <v>1076</v>
      </c>
      <c r="E2027" s="15" t="s">
        <v>512</v>
      </c>
      <c r="F2027" s="15">
        <v>5</v>
      </c>
      <c r="G2027" s="16">
        <f t="shared" si="113"/>
        <v>178354</v>
      </c>
      <c r="H2027" s="16">
        <v>178354</v>
      </c>
      <c r="I2027" s="16">
        <f t="shared" si="112"/>
        <v>0</v>
      </c>
      <c r="J2027" s="32">
        <v>178354</v>
      </c>
      <c r="K2027" s="69">
        <f t="shared" si="111"/>
        <v>0</v>
      </c>
      <c r="L2027" s="71">
        <v>0</v>
      </c>
      <c r="M2027" s="109">
        <v>0</v>
      </c>
      <c r="N2027" s="110">
        <v>0.87</v>
      </c>
    </row>
    <row r="2028" spans="1:14" ht="15" hidden="1" thickBot="1" x14ac:dyDescent="0.35">
      <c r="A2028" s="25">
        <v>392</v>
      </c>
      <c r="B2028" s="15" t="s">
        <v>1184</v>
      </c>
      <c r="C2028" s="15" t="s">
        <v>891</v>
      </c>
      <c r="D2028" s="14" t="s">
        <v>679</v>
      </c>
      <c r="E2028" s="15" t="s">
        <v>502</v>
      </c>
      <c r="F2028" s="15">
        <v>3</v>
      </c>
      <c r="G2028" s="16">
        <f t="shared" si="113"/>
        <v>39966</v>
      </c>
      <c r="H2028" s="16">
        <v>39966</v>
      </c>
      <c r="I2028" s="16">
        <f t="shared" si="112"/>
        <v>0</v>
      </c>
      <c r="J2028" s="32">
        <v>39966</v>
      </c>
      <c r="K2028" s="69">
        <f t="shared" si="111"/>
        <v>0</v>
      </c>
      <c r="L2028" s="71">
        <v>0</v>
      </c>
      <c r="M2028" s="109">
        <v>0</v>
      </c>
      <c r="N2028" s="110" t="s">
        <v>1803</v>
      </c>
    </row>
    <row r="2029" spans="1:14" ht="15" hidden="1" customHeight="1" thickBot="1" x14ac:dyDescent="0.35">
      <c r="A2029" s="25">
        <v>393</v>
      </c>
      <c r="B2029" s="15" t="s">
        <v>1218</v>
      </c>
      <c r="C2029" s="15" t="s">
        <v>1219</v>
      </c>
      <c r="D2029" s="14" t="s">
        <v>1001</v>
      </c>
      <c r="E2029" s="15" t="s">
        <v>504</v>
      </c>
      <c r="F2029" s="15">
        <v>3</v>
      </c>
      <c r="G2029" s="16">
        <f t="shared" si="113"/>
        <v>28301</v>
      </c>
      <c r="H2029" s="16">
        <v>28301</v>
      </c>
      <c r="I2029" s="16">
        <f t="shared" si="112"/>
        <v>0</v>
      </c>
      <c r="J2029" s="32">
        <v>28301</v>
      </c>
      <c r="K2029" s="69">
        <f t="shared" si="111"/>
        <v>0</v>
      </c>
      <c r="L2029" s="71"/>
      <c r="M2029" s="109"/>
      <c r="N2029" s="110">
        <v>0.9</v>
      </c>
    </row>
    <row r="2030" spans="1:14" ht="15" hidden="1" customHeight="1" thickBot="1" x14ac:dyDescent="0.35">
      <c r="A2030" s="25">
        <v>393</v>
      </c>
      <c r="B2030" s="15" t="s">
        <v>1218</v>
      </c>
      <c r="C2030" s="15" t="s">
        <v>1219</v>
      </c>
      <c r="D2030" s="14" t="s">
        <v>1091</v>
      </c>
      <c r="E2030" s="15" t="s">
        <v>504</v>
      </c>
      <c r="F2030" s="15">
        <v>6</v>
      </c>
      <c r="G2030" s="16">
        <f t="shared" si="113"/>
        <v>22325</v>
      </c>
      <c r="H2030" s="16">
        <v>22325</v>
      </c>
      <c r="I2030" s="16">
        <f t="shared" si="112"/>
        <v>0</v>
      </c>
      <c r="J2030" s="32">
        <v>22325</v>
      </c>
      <c r="K2030" s="69">
        <f t="shared" ref="K2030:K2093" si="114">M2030-L2030</f>
        <v>0</v>
      </c>
      <c r="L2030" s="71"/>
      <c r="M2030" s="109"/>
      <c r="N2030" s="110">
        <v>0.95</v>
      </c>
    </row>
    <row r="2031" spans="1:14" ht="15" hidden="1" customHeight="1" thickBot="1" x14ac:dyDescent="0.35">
      <c r="A2031" s="25">
        <v>394</v>
      </c>
      <c r="B2031" s="15" t="s">
        <v>1223</v>
      </c>
      <c r="C2031" s="15" t="s">
        <v>604</v>
      </c>
      <c r="D2031" s="14" t="s">
        <v>1091</v>
      </c>
      <c r="E2031" s="15" t="s">
        <v>504</v>
      </c>
      <c r="F2031" s="15">
        <v>2</v>
      </c>
      <c r="G2031" s="16">
        <f t="shared" si="113"/>
        <v>1025</v>
      </c>
      <c r="H2031" s="16">
        <v>1025</v>
      </c>
      <c r="I2031" s="16">
        <f t="shared" ref="I2031:I2094" si="115">J2031-H2031</f>
        <v>0</v>
      </c>
      <c r="J2031" s="32">
        <v>1025</v>
      </c>
      <c r="K2031" s="69">
        <f t="shared" si="114"/>
        <v>0</v>
      </c>
      <c r="L2031" s="71"/>
      <c r="M2031" s="109"/>
      <c r="N2031" s="110">
        <v>0.25</v>
      </c>
    </row>
    <row r="2032" spans="1:14" ht="15" hidden="1" customHeight="1" thickBot="1" x14ac:dyDescent="0.35">
      <c r="A2032" s="25">
        <v>394</v>
      </c>
      <c r="B2032" s="15" t="s">
        <v>1223</v>
      </c>
      <c r="C2032" s="15" t="s">
        <v>604</v>
      </c>
      <c r="D2032" s="14" t="s">
        <v>1001</v>
      </c>
      <c r="E2032" s="15" t="s">
        <v>504</v>
      </c>
      <c r="F2032" s="15">
        <v>12</v>
      </c>
      <c r="G2032" s="16">
        <f t="shared" si="113"/>
        <v>97201</v>
      </c>
      <c r="H2032" s="16">
        <v>99091</v>
      </c>
      <c r="I2032" s="16">
        <f t="shared" si="115"/>
        <v>0</v>
      </c>
      <c r="J2032" s="32">
        <v>99091</v>
      </c>
      <c r="K2032" s="69">
        <f t="shared" si="114"/>
        <v>0</v>
      </c>
      <c r="L2032" s="71">
        <v>1890</v>
      </c>
      <c r="M2032" s="109">
        <v>1890</v>
      </c>
      <c r="N2032" s="110">
        <v>0.78</v>
      </c>
    </row>
    <row r="2033" spans="1:14" ht="15" hidden="1" customHeight="1" thickBot="1" x14ac:dyDescent="0.35">
      <c r="A2033" s="25">
        <v>395</v>
      </c>
      <c r="B2033" s="15" t="s">
        <v>1224</v>
      </c>
      <c r="C2033" s="15" t="s">
        <v>604</v>
      </c>
      <c r="D2033" s="14" t="s">
        <v>1076</v>
      </c>
      <c r="E2033" s="15" t="s">
        <v>512</v>
      </c>
      <c r="F2033" s="15">
        <v>18</v>
      </c>
      <c r="G2033" s="16">
        <f t="shared" si="113"/>
        <v>102987</v>
      </c>
      <c r="H2033" s="16">
        <v>104607</v>
      </c>
      <c r="I2033" s="16">
        <f t="shared" si="115"/>
        <v>0</v>
      </c>
      <c r="J2033" s="32">
        <v>104607</v>
      </c>
      <c r="K2033" s="69">
        <f t="shared" si="114"/>
        <v>0</v>
      </c>
      <c r="L2033" s="71">
        <v>1620</v>
      </c>
      <c r="M2033" s="109">
        <v>1620</v>
      </c>
      <c r="N2033" s="110">
        <v>0.85</v>
      </c>
    </row>
    <row r="2034" spans="1:14" ht="15" hidden="1" customHeight="1" thickBot="1" x14ac:dyDescent="0.35">
      <c r="A2034" s="25">
        <v>395</v>
      </c>
      <c r="B2034" s="15" t="s">
        <v>1224</v>
      </c>
      <c r="C2034" s="15" t="s">
        <v>604</v>
      </c>
      <c r="D2034" s="14" t="s">
        <v>1273</v>
      </c>
      <c r="E2034" s="15" t="s">
        <v>512</v>
      </c>
      <c r="F2034" s="15">
        <v>4</v>
      </c>
      <c r="G2034" s="16">
        <f t="shared" si="113"/>
        <v>1913</v>
      </c>
      <c r="H2034" s="16">
        <v>1913</v>
      </c>
      <c r="I2034" s="16">
        <f t="shared" si="115"/>
        <v>0</v>
      </c>
      <c r="J2034" s="32">
        <v>1913</v>
      </c>
      <c r="K2034" s="69">
        <f t="shared" si="114"/>
        <v>0</v>
      </c>
      <c r="L2034" s="71">
        <v>0</v>
      </c>
      <c r="M2034" s="109">
        <v>0</v>
      </c>
      <c r="N2034" s="110">
        <v>0.75</v>
      </c>
    </row>
    <row r="2035" spans="1:14" ht="15" hidden="1" customHeight="1" thickBot="1" x14ac:dyDescent="0.35">
      <c r="A2035" s="25">
        <v>396</v>
      </c>
      <c r="B2035" s="15" t="s">
        <v>1225</v>
      </c>
      <c r="C2035" s="15" t="s">
        <v>605</v>
      </c>
      <c r="D2035" s="14" t="s">
        <v>1001</v>
      </c>
      <c r="E2035" s="15" t="s">
        <v>504</v>
      </c>
      <c r="F2035" s="15">
        <v>14</v>
      </c>
      <c r="G2035" s="16">
        <f t="shared" si="113"/>
        <v>34080</v>
      </c>
      <c r="H2035" s="16">
        <v>35910</v>
      </c>
      <c r="I2035" s="16">
        <f t="shared" si="115"/>
        <v>0</v>
      </c>
      <c r="J2035" s="32">
        <v>35910</v>
      </c>
      <c r="K2035" s="69">
        <f t="shared" si="114"/>
        <v>0</v>
      </c>
      <c r="L2035" s="71">
        <v>1830</v>
      </c>
      <c r="M2035" s="109">
        <v>1830</v>
      </c>
      <c r="N2035" s="110">
        <v>0.87</v>
      </c>
    </row>
    <row r="2036" spans="1:14" ht="15" hidden="1" customHeight="1" thickBot="1" x14ac:dyDescent="0.35">
      <c r="A2036" s="25">
        <v>397</v>
      </c>
      <c r="B2036" s="15" t="s">
        <v>1236</v>
      </c>
      <c r="C2036" s="15" t="s">
        <v>108</v>
      </c>
      <c r="D2036" s="14" t="s">
        <v>14</v>
      </c>
      <c r="E2036" s="15" t="s">
        <v>14</v>
      </c>
      <c r="F2036" s="15">
        <v>2</v>
      </c>
      <c r="G2036" s="16">
        <f t="shared" si="113"/>
        <v>327000</v>
      </c>
      <c r="H2036" s="16">
        <v>327000</v>
      </c>
      <c r="I2036" s="16">
        <f t="shared" si="115"/>
        <v>0</v>
      </c>
      <c r="J2036" s="32">
        <v>327000</v>
      </c>
      <c r="K2036" s="69">
        <f t="shared" si="114"/>
        <v>0</v>
      </c>
      <c r="L2036" s="71"/>
      <c r="M2036" s="109"/>
      <c r="N2036" s="110">
        <v>1</v>
      </c>
    </row>
    <row r="2037" spans="1:14" ht="15" hidden="1" customHeight="1" thickBot="1" x14ac:dyDescent="0.35">
      <c r="A2037" s="25">
        <v>398</v>
      </c>
      <c r="B2037" s="15" t="s">
        <v>1362</v>
      </c>
      <c r="C2037" s="15" t="s">
        <v>539</v>
      </c>
      <c r="D2037" s="14" t="s">
        <v>14</v>
      </c>
      <c r="E2037" s="15" t="s">
        <v>14</v>
      </c>
      <c r="F2037" s="15">
        <v>15</v>
      </c>
      <c r="G2037" s="16">
        <f t="shared" si="113"/>
        <v>1863635.4</v>
      </c>
      <c r="H2037" s="16">
        <v>1863635.4</v>
      </c>
      <c r="I2037" s="16">
        <f t="shared" si="115"/>
        <v>0</v>
      </c>
      <c r="J2037" s="32">
        <v>1863635.4</v>
      </c>
      <c r="K2037" s="69">
        <f t="shared" si="114"/>
        <v>0</v>
      </c>
      <c r="L2037" s="71"/>
      <c r="M2037" s="109"/>
      <c r="N2037" s="110">
        <v>1</v>
      </c>
    </row>
    <row r="2038" spans="1:14" ht="15" hidden="1" customHeight="1" thickBot="1" x14ac:dyDescent="0.35">
      <c r="A2038" s="25">
        <v>399</v>
      </c>
      <c r="B2038" s="15" t="s">
        <v>1237</v>
      </c>
      <c r="C2038" s="15" t="s">
        <v>1238</v>
      </c>
      <c r="D2038" s="14" t="s">
        <v>1076</v>
      </c>
      <c r="E2038" s="15" t="s">
        <v>512</v>
      </c>
      <c r="F2038" s="15">
        <v>5</v>
      </c>
      <c r="G2038" s="16">
        <f t="shared" si="113"/>
        <v>149493</v>
      </c>
      <c r="H2038" s="16">
        <v>149853</v>
      </c>
      <c r="I2038" s="16">
        <f t="shared" si="115"/>
        <v>0</v>
      </c>
      <c r="J2038" s="32">
        <v>149853</v>
      </c>
      <c r="K2038" s="69">
        <f t="shared" si="114"/>
        <v>0</v>
      </c>
      <c r="L2038" s="71">
        <v>360</v>
      </c>
      <c r="M2038" s="109">
        <v>360</v>
      </c>
      <c r="N2038" s="110">
        <v>0.9</v>
      </c>
    </row>
    <row r="2039" spans="1:14" ht="15" hidden="1" customHeight="1" thickBot="1" x14ac:dyDescent="0.35">
      <c r="A2039" s="25">
        <v>400</v>
      </c>
      <c r="B2039" s="15" t="s">
        <v>1239</v>
      </c>
      <c r="C2039" s="15" t="s">
        <v>602</v>
      </c>
      <c r="D2039" s="15" t="s">
        <v>980</v>
      </c>
      <c r="E2039" s="15" t="s">
        <v>503</v>
      </c>
      <c r="F2039" s="15">
        <v>11</v>
      </c>
      <c r="G2039" s="16">
        <f t="shared" si="113"/>
        <v>44269</v>
      </c>
      <c r="H2039" s="16">
        <v>44269</v>
      </c>
      <c r="I2039" s="16">
        <f t="shared" si="115"/>
        <v>0</v>
      </c>
      <c r="J2039" s="32">
        <v>44269</v>
      </c>
      <c r="K2039" s="69">
        <f t="shared" si="114"/>
        <v>0</v>
      </c>
      <c r="L2039" s="71"/>
      <c r="M2039" s="109"/>
      <c r="N2039" s="110" t="s">
        <v>1793</v>
      </c>
    </row>
    <row r="2040" spans="1:14" ht="15" hidden="1" customHeight="1" thickBot="1" x14ac:dyDescent="0.35">
      <c r="A2040" s="25">
        <v>400</v>
      </c>
      <c r="B2040" s="15" t="s">
        <v>1239</v>
      </c>
      <c r="C2040" s="15" t="s">
        <v>602</v>
      </c>
      <c r="D2040" s="15" t="s">
        <v>670</v>
      </c>
      <c r="E2040" s="15" t="s">
        <v>506</v>
      </c>
      <c r="F2040" s="15">
        <v>5</v>
      </c>
      <c r="G2040" s="16">
        <f t="shared" si="113"/>
        <v>18000</v>
      </c>
      <c r="H2040" s="16">
        <v>18000</v>
      </c>
      <c r="I2040" s="16">
        <f t="shared" si="115"/>
        <v>0</v>
      </c>
      <c r="J2040" s="32">
        <v>18000</v>
      </c>
      <c r="K2040" s="69">
        <f t="shared" si="114"/>
        <v>0</v>
      </c>
      <c r="L2040" s="71"/>
      <c r="M2040" s="109"/>
      <c r="N2040" s="110">
        <v>0.9</v>
      </c>
    </row>
    <row r="2041" spans="1:14" ht="15" hidden="1" customHeight="1" thickBot="1" x14ac:dyDescent="0.35">
      <c r="A2041" s="25">
        <v>401</v>
      </c>
      <c r="B2041" s="15" t="s">
        <v>1253</v>
      </c>
      <c r="C2041" s="15" t="s">
        <v>575</v>
      </c>
      <c r="D2041" s="15" t="s">
        <v>14</v>
      </c>
      <c r="E2041" s="15" t="s">
        <v>14</v>
      </c>
      <c r="F2041" s="15">
        <v>3</v>
      </c>
      <c r="G2041" s="16">
        <f t="shared" si="113"/>
        <v>269640</v>
      </c>
      <c r="H2041" s="16">
        <v>269640</v>
      </c>
      <c r="I2041" s="16">
        <f t="shared" si="115"/>
        <v>0</v>
      </c>
      <c r="J2041" s="32">
        <v>269640</v>
      </c>
      <c r="K2041" s="69">
        <f t="shared" si="114"/>
        <v>0</v>
      </c>
      <c r="L2041" s="71"/>
      <c r="M2041" s="109"/>
      <c r="N2041" s="110">
        <v>1</v>
      </c>
    </row>
    <row r="2042" spans="1:14" ht="15" hidden="1" customHeight="1" thickBot="1" x14ac:dyDescent="0.35">
      <c r="A2042" s="25">
        <v>402</v>
      </c>
      <c r="B2042" s="15" t="s">
        <v>1254</v>
      </c>
      <c r="C2042" s="15" t="s">
        <v>891</v>
      </c>
      <c r="D2042" s="15" t="s">
        <v>670</v>
      </c>
      <c r="E2042" s="15" t="s">
        <v>506</v>
      </c>
      <c r="F2042" s="15">
        <v>10</v>
      </c>
      <c r="G2042" s="16">
        <f t="shared" si="113"/>
        <v>571278</v>
      </c>
      <c r="H2042" s="16">
        <v>632318</v>
      </c>
      <c r="I2042" s="16">
        <f t="shared" si="115"/>
        <v>0</v>
      </c>
      <c r="J2042" s="32">
        <v>632318</v>
      </c>
      <c r="K2042" s="69">
        <f t="shared" si="114"/>
        <v>0</v>
      </c>
      <c r="L2042" s="71">
        <v>61040</v>
      </c>
      <c r="M2042" s="109">
        <v>61040</v>
      </c>
      <c r="N2042" s="110">
        <v>0.88</v>
      </c>
    </row>
    <row r="2043" spans="1:14" ht="15" hidden="1" customHeight="1" thickBot="1" x14ac:dyDescent="0.35">
      <c r="A2043" s="25">
        <v>402</v>
      </c>
      <c r="B2043" s="15" t="s">
        <v>1254</v>
      </c>
      <c r="C2043" s="15" t="s">
        <v>891</v>
      </c>
      <c r="D2043" s="15" t="s">
        <v>980</v>
      </c>
      <c r="E2043" s="15" t="s">
        <v>503</v>
      </c>
      <c r="F2043" s="15">
        <v>6</v>
      </c>
      <c r="G2043" s="16">
        <f t="shared" si="113"/>
        <v>152391</v>
      </c>
      <c r="H2043" s="16">
        <v>213746</v>
      </c>
      <c r="I2043" s="16">
        <f t="shared" si="115"/>
        <v>0</v>
      </c>
      <c r="J2043" s="32">
        <v>213746</v>
      </c>
      <c r="K2043" s="69">
        <f t="shared" si="114"/>
        <v>0</v>
      </c>
      <c r="L2043" s="71">
        <v>61355</v>
      </c>
      <c r="M2043" s="109">
        <v>61355</v>
      </c>
      <c r="N2043" s="110">
        <v>0.75</v>
      </c>
    </row>
    <row r="2044" spans="1:14" ht="15" hidden="1" customHeight="1" thickBot="1" x14ac:dyDescent="0.35">
      <c r="A2044" s="25">
        <v>403</v>
      </c>
      <c r="B2044" s="15" t="s">
        <v>1255</v>
      </c>
      <c r="C2044" s="15" t="s">
        <v>550</v>
      </c>
      <c r="D2044" s="15" t="s">
        <v>14</v>
      </c>
      <c r="E2044" s="15" t="s">
        <v>14</v>
      </c>
      <c r="F2044" s="15">
        <v>5</v>
      </c>
      <c r="G2044" s="16">
        <f t="shared" si="113"/>
        <v>87470</v>
      </c>
      <c r="H2044" s="16">
        <v>87470</v>
      </c>
      <c r="I2044" s="16">
        <f t="shared" si="115"/>
        <v>0</v>
      </c>
      <c r="J2044" s="32">
        <v>87470</v>
      </c>
      <c r="K2044" s="69">
        <f t="shared" si="114"/>
        <v>0</v>
      </c>
      <c r="L2044" s="71"/>
      <c r="M2044" s="109"/>
      <c r="N2044" s="110">
        <v>1</v>
      </c>
    </row>
    <row r="2045" spans="1:14" ht="15" hidden="1" customHeight="1" thickBot="1" x14ac:dyDescent="0.35">
      <c r="A2045" s="25">
        <v>404</v>
      </c>
      <c r="B2045" s="15" t="s">
        <v>1270</v>
      </c>
      <c r="C2045" s="15" t="s">
        <v>1298</v>
      </c>
      <c r="D2045" s="15" t="s">
        <v>638</v>
      </c>
      <c r="E2045" s="15" t="s">
        <v>504</v>
      </c>
      <c r="F2045" s="15">
        <v>4</v>
      </c>
      <c r="G2045" s="16">
        <f t="shared" si="113"/>
        <v>41861</v>
      </c>
      <c r="H2045" s="16">
        <v>42561</v>
      </c>
      <c r="I2045" s="16">
        <f t="shared" si="115"/>
        <v>0</v>
      </c>
      <c r="J2045" s="32">
        <v>42561</v>
      </c>
      <c r="K2045" s="69">
        <f t="shared" si="114"/>
        <v>0</v>
      </c>
      <c r="L2045" s="71">
        <v>700</v>
      </c>
      <c r="M2045" s="109">
        <v>700</v>
      </c>
      <c r="N2045" s="110">
        <v>0.85</v>
      </c>
    </row>
    <row r="2046" spans="1:14" ht="15" hidden="1" customHeight="1" thickBot="1" x14ac:dyDescent="0.35">
      <c r="A2046" s="25">
        <v>404</v>
      </c>
      <c r="B2046" s="15" t="s">
        <v>1270</v>
      </c>
      <c r="C2046" s="15" t="s">
        <v>1258</v>
      </c>
      <c r="D2046" s="15" t="s">
        <v>14</v>
      </c>
      <c r="E2046" s="15" t="s">
        <v>14</v>
      </c>
      <c r="F2046" s="15">
        <v>5</v>
      </c>
      <c r="G2046" s="16">
        <f t="shared" si="113"/>
        <v>129840</v>
      </c>
      <c r="H2046" s="16">
        <v>129840</v>
      </c>
      <c r="I2046" s="151">
        <f t="shared" si="115"/>
        <v>0</v>
      </c>
      <c r="J2046" s="32">
        <v>129840</v>
      </c>
      <c r="K2046" s="69">
        <f t="shared" si="114"/>
        <v>0</v>
      </c>
      <c r="L2046" s="71"/>
      <c r="M2046" s="109"/>
      <c r="N2046" s="110">
        <v>1</v>
      </c>
    </row>
    <row r="2047" spans="1:14" ht="15" hidden="1" customHeight="1" thickBot="1" x14ac:dyDescent="0.35">
      <c r="A2047" s="25">
        <v>405</v>
      </c>
      <c r="B2047" s="15" t="s">
        <v>1259</v>
      </c>
      <c r="C2047" s="15" t="s">
        <v>730</v>
      </c>
      <c r="D2047" s="15" t="s">
        <v>1061</v>
      </c>
      <c r="E2047" s="15" t="s">
        <v>508</v>
      </c>
      <c r="F2047" s="15">
        <v>9</v>
      </c>
      <c r="G2047" s="16">
        <f t="shared" si="113"/>
        <v>175089</v>
      </c>
      <c r="H2047" s="16">
        <v>175209</v>
      </c>
      <c r="I2047" s="16">
        <f t="shared" si="115"/>
        <v>0</v>
      </c>
      <c r="J2047" s="32">
        <v>175209</v>
      </c>
      <c r="K2047" s="69">
        <f t="shared" si="114"/>
        <v>0</v>
      </c>
      <c r="L2047" s="71">
        <v>120</v>
      </c>
      <c r="M2047" s="109">
        <v>120</v>
      </c>
      <c r="N2047" s="110">
        <v>0.9</v>
      </c>
    </row>
    <row r="2048" spans="1:14" ht="15" hidden="1" customHeight="1" thickBot="1" x14ac:dyDescent="0.35">
      <c r="A2048" s="25">
        <v>406</v>
      </c>
      <c r="B2048" s="15" t="s">
        <v>1261</v>
      </c>
      <c r="C2048" s="15" t="s">
        <v>730</v>
      </c>
      <c r="D2048" s="15" t="s">
        <v>1043</v>
      </c>
      <c r="E2048" s="15" t="s">
        <v>500</v>
      </c>
      <c r="F2048" s="15">
        <v>12</v>
      </c>
      <c r="G2048" s="16">
        <f t="shared" si="113"/>
        <v>100390</v>
      </c>
      <c r="H2048" s="16">
        <v>102450</v>
      </c>
      <c r="I2048" s="16">
        <f t="shared" si="115"/>
        <v>12301</v>
      </c>
      <c r="J2048" s="32">
        <v>114751</v>
      </c>
      <c r="K2048" s="69">
        <f t="shared" si="114"/>
        <v>1700</v>
      </c>
      <c r="L2048" s="71">
        <v>360</v>
      </c>
      <c r="M2048" s="109">
        <v>2060</v>
      </c>
      <c r="N2048" s="110">
        <v>1</v>
      </c>
    </row>
    <row r="2049" spans="1:14" ht="15" hidden="1" customHeight="1" thickBot="1" x14ac:dyDescent="0.35">
      <c r="A2049" s="25">
        <v>406</v>
      </c>
      <c r="B2049" s="15" t="s">
        <v>1261</v>
      </c>
      <c r="C2049" s="15" t="s">
        <v>730</v>
      </c>
      <c r="D2049" s="15" t="s">
        <v>1001</v>
      </c>
      <c r="E2049" s="15" t="s">
        <v>504</v>
      </c>
      <c r="F2049" s="15">
        <v>14</v>
      </c>
      <c r="G2049" s="16">
        <f t="shared" si="113"/>
        <v>121110</v>
      </c>
      <c r="H2049" s="16">
        <v>123690</v>
      </c>
      <c r="I2049" s="16">
        <f t="shared" si="115"/>
        <v>15956</v>
      </c>
      <c r="J2049" s="32">
        <v>139646</v>
      </c>
      <c r="K2049" s="69">
        <f t="shared" si="114"/>
        <v>2280</v>
      </c>
      <c r="L2049" s="71">
        <v>300</v>
      </c>
      <c r="M2049" s="109">
        <v>2580</v>
      </c>
      <c r="N2049" s="110">
        <v>1</v>
      </c>
    </row>
    <row r="2050" spans="1:14" ht="15" hidden="1" customHeight="1" thickBot="1" x14ac:dyDescent="0.35">
      <c r="A2050" s="25">
        <v>406</v>
      </c>
      <c r="B2050" s="15" t="s">
        <v>1261</v>
      </c>
      <c r="C2050" s="15" t="s">
        <v>730</v>
      </c>
      <c r="D2050" s="15" t="s">
        <v>1076</v>
      </c>
      <c r="E2050" s="15" t="s">
        <v>512</v>
      </c>
      <c r="F2050" s="15">
        <v>14</v>
      </c>
      <c r="G2050" s="16">
        <f t="shared" si="113"/>
        <v>120391</v>
      </c>
      <c r="H2050" s="16">
        <v>123011</v>
      </c>
      <c r="I2050" s="16">
        <f t="shared" si="115"/>
        <v>14643</v>
      </c>
      <c r="J2050" s="32">
        <v>137654</v>
      </c>
      <c r="K2050" s="69">
        <f t="shared" si="114"/>
        <v>2110</v>
      </c>
      <c r="L2050" s="71">
        <v>510</v>
      </c>
      <c r="M2050" s="109">
        <v>2620</v>
      </c>
      <c r="N2050" s="110">
        <v>1</v>
      </c>
    </row>
    <row r="2051" spans="1:14" ht="15" hidden="1" customHeight="1" thickBot="1" x14ac:dyDescent="0.35">
      <c r="A2051" s="25">
        <v>406</v>
      </c>
      <c r="B2051" s="15" t="s">
        <v>1261</v>
      </c>
      <c r="C2051" s="15" t="s">
        <v>1266</v>
      </c>
      <c r="D2051" s="15" t="s">
        <v>1228</v>
      </c>
      <c r="E2051" s="15" t="s">
        <v>500</v>
      </c>
      <c r="F2051" s="15">
        <v>2</v>
      </c>
      <c r="G2051" s="16">
        <f t="shared" si="113"/>
        <v>3587</v>
      </c>
      <c r="H2051" s="16">
        <v>3587</v>
      </c>
      <c r="I2051" s="16">
        <f t="shared" si="115"/>
        <v>398</v>
      </c>
      <c r="J2051" s="32">
        <v>3985</v>
      </c>
      <c r="K2051" s="69">
        <f t="shared" si="114"/>
        <v>0</v>
      </c>
      <c r="L2051" s="71"/>
      <c r="M2051" s="109"/>
      <c r="N2051" s="110">
        <v>1</v>
      </c>
    </row>
    <row r="2052" spans="1:14" ht="15" hidden="1" customHeight="1" thickBot="1" x14ac:dyDescent="0.35">
      <c r="A2052" s="25">
        <v>407</v>
      </c>
      <c r="B2052" s="15" t="s">
        <v>1262</v>
      </c>
      <c r="C2052" s="15" t="s">
        <v>730</v>
      </c>
      <c r="D2052" s="15" t="s">
        <v>638</v>
      </c>
      <c r="E2052" s="15" t="s">
        <v>504</v>
      </c>
      <c r="F2052" s="15">
        <v>6</v>
      </c>
      <c r="G2052" s="16">
        <f t="shared" si="113"/>
        <v>55101</v>
      </c>
      <c r="H2052" s="16">
        <v>55701</v>
      </c>
      <c r="I2052" s="16">
        <f t="shared" si="115"/>
        <v>0</v>
      </c>
      <c r="J2052" s="32">
        <v>55701</v>
      </c>
      <c r="K2052" s="69">
        <f t="shared" si="114"/>
        <v>0</v>
      </c>
      <c r="L2052" s="71">
        <v>600</v>
      </c>
      <c r="M2052" s="109">
        <v>600</v>
      </c>
      <c r="N2052" s="110">
        <v>0.85</v>
      </c>
    </row>
    <row r="2053" spans="1:14" ht="15" hidden="1" customHeight="1" thickBot="1" x14ac:dyDescent="0.35">
      <c r="A2053" s="25">
        <v>407</v>
      </c>
      <c r="B2053" s="15" t="s">
        <v>1262</v>
      </c>
      <c r="C2053" s="15" t="s">
        <v>730</v>
      </c>
      <c r="D2053" s="15" t="s">
        <v>1102</v>
      </c>
      <c r="E2053" s="15" t="s">
        <v>500</v>
      </c>
      <c r="F2053" s="15">
        <v>5</v>
      </c>
      <c r="G2053" s="16">
        <f t="shared" si="113"/>
        <v>41197</v>
      </c>
      <c r="H2053" s="16">
        <v>41917</v>
      </c>
      <c r="I2053" s="16">
        <f t="shared" si="115"/>
        <v>0</v>
      </c>
      <c r="J2053" s="32">
        <v>41917</v>
      </c>
      <c r="K2053" s="69">
        <f t="shared" si="114"/>
        <v>0</v>
      </c>
      <c r="L2053" s="71">
        <v>720</v>
      </c>
      <c r="M2053" s="109">
        <v>720</v>
      </c>
      <c r="N2053" s="110">
        <v>0.85</v>
      </c>
    </row>
    <row r="2054" spans="1:14" ht="15" hidden="1" customHeight="1" thickBot="1" x14ac:dyDescent="0.35">
      <c r="A2054" s="25">
        <v>408</v>
      </c>
      <c r="B2054" s="15" t="s">
        <v>1263</v>
      </c>
      <c r="C2054" s="15" t="s">
        <v>602</v>
      </c>
      <c r="D2054" s="15" t="s">
        <v>1076</v>
      </c>
      <c r="E2054" s="15" t="s">
        <v>512</v>
      </c>
      <c r="F2054" s="15">
        <v>13</v>
      </c>
      <c r="G2054" s="16">
        <f t="shared" si="113"/>
        <v>43673</v>
      </c>
      <c r="H2054" s="16">
        <v>43823</v>
      </c>
      <c r="I2054" s="16">
        <f t="shared" si="115"/>
        <v>0</v>
      </c>
      <c r="J2054" s="32">
        <v>43823</v>
      </c>
      <c r="K2054" s="69">
        <f t="shared" si="114"/>
        <v>0</v>
      </c>
      <c r="L2054" s="71">
        <v>150</v>
      </c>
      <c r="M2054" s="109">
        <v>150</v>
      </c>
      <c r="N2054" s="110" t="s">
        <v>1793</v>
      </c>
    </row>
    <row r="2055" spans="1:14" ht="15" hidden="1" customHeight="1" thickBot="1" x14ac:dyDescent="0.35">
      <c r="A2055" s="25">
        <v>408</v>
      </c>
      <c r="B2055" s="15" t="s">
        <v>1263</v>
      </c>
      <c r="C2055" s="15" t="s">
        <v>602</v>
      </c>
      <c r="D2055" s="15" t="s">
        <v>985</v>
      </c>
      <c r="E2055" s="15" t="s">
        <v>506</v>
      </c>
      <c r="F2055" s="15">
        <v>5</v>
      </c>
      <c r="G2055" s="16">
        <f t="shared" si="113"/>
        <v>13500</v>
      </c>
      <c r="H2055" s="16">
        <v>13500</v>
      </c>
      <c r="I2055" s="16">
        <f t="shared" si="115"/>
        <v>0</v>
      </c>
      <c r="J2055" s="32">
        <v>13500</v>
      </c>
      <c r="K2055" s="69">
        <f t="shared" si="114"/>
        <v>0</v>
      </c>
      <c r="L2055" s="71"/>
      <c r="M2055" s="109"/>
      <c r="N2055" s="110">
        <v>0.9</v>
      </c>
    </row>
    <row r="2056" spans="1:14" ht="15" hidden="1" customHeight="1" thickBot="1" x14ac:dyDescent="0.35">
      <c r="A2056" s="25">
        <v>409</v>
      </c>
      <c r="B2056" s="15" t="s">
        <v>1264</v>
      </c>
      <c r="C2056" s="15" t="s">
        <v>940</v>
      </c>
      <c r="D2056" s="15" t="s">
        <v>1001</v>
      </c>
      <c r="E2056" s="15" t="s">
        <v>504</v>
      </c>
      <c r="F2056" s="15">
        <v>10</v>
      </c>
      <c r="G2056" s="16">
        <f t="shared" si="113"/>
        <v>38130</v>
      </c>
      <c r="H2056" s="16">
        <v>38130</v>
      </c>
      <c r="I2056" s="16">
        <f t="shared" si="115"/>
        <v>0</v>
      </c>
      <c r="J2056" s="32">
        <v>38130</v>
      </c>
      <c r="K2056" s="69">
        <f t="shared" si="114"/>
        <v>0</v>
      </c>
      <c r="L2056" s="71"/>
      <c r="M2056" s="109"/>
      <c r="N2056" s="110" t="s">
        <v>1442</v>
      </c>
    </row>
    <row r="2057" spans="1:14" ht="15" hidden="1" customHeight="1" thickBot="1" x14ac:dyDescent="0.35">
      <c r="A2057" s="25">
        <v>410</v>
      </c>
      <c r="B2057" s="15" t="s">
        <v>1271</v>
      </c>
      <c r="C2057" s="15" t="s">
        <v>1272</v>
      </c>
      <c r="D2057" s="15" t="s">
        <v>981</v>
      </c>
      <c r="E2057" s="15" t="s">
        <v>502</v>
      </c>
      <c r="F2057" s="15">
        <v>4</v>
      </c>
      <c r="G2057" s="16">
        <f t="shared" si="113"/>
        <v>233247.21</v>
      </c>
      <c r="H2057" s="16">
        <v>233567.21</v>
      </c>
      <c r="I2057" s="16">
        <f t="shared" si="115"/>
        <v>0</v>
      </c>
      <c r="J2057" s="32">
        <v>233567.21</v>
      </c>
      <c r="K2057" s="69">
        <f t="shared" si="114"/>
        <v>0</v>
      </c>
      <c r="L2057" s="71">
        <v>320</v>
      </c>
      <c r="M2057" s="109">
        <v>320</v>
      </c>
      <c r="N2057" s="110">
        <v>0.88</v>
      </c>
    </row>
    <row r="2058" spans="1:14" ht="15" hidden="1" customHeight="1" thickBot="1" x14ac:dyDescent="0.35">
      <c r="A2058" s="25">
        <v>410</v>
      </c>
      <c r="B2058" s="15" t="s">
        <v>1271</v>
      </c>
      <c r="C2058" s="15" t="s">
        <v>1272</v>
      </c>
      <c r="D2058" s="15" t="s">
        <v>679</v>
      </c>
      <c r="E2058" s="15" t="s">
        <v>502</v>
      </c>
      <c r="F2058" s="15">
        <v>4</v>
      </c>
      <c r="G2058" s="16">
        <f t="shared" si="113"/>
        <v>228484</v>
      </c>
      <c r="H2058" s="16">
        <v>229484</v>
      </c>
      <c r="I2058" s="16">
        <f t="shared" si="115"/>
        <v>0</v>
      </c>
      <c r="J2058" s="32">
        <v>229484</v>
      </c>
      <c r="K2058" s="69">
        <f t="shared" si="114"/>
        <v>0</v>
      </c>
      <c r="L2058" s="71">
        <v>1000</v>
      </c>
      <c r="M2058" s="109">
        <v>1000</v>
      </c>
      <c r="N2058" s="110">
        <v>0.88</v>
      </c>
    </row>
    <row r="2059" spans="1:14" ht="15" hidden="1" customHeight="1" thickBot="1" x14ac:dyDescent="0.35">
      <c r="A2059" s="25">
        <v>410</v>
      </c>
      <c r="B2059" s="15" t="s">
        <v>1271</v>
      </c>
      <c r="C2059" s="15" t="s">
        <v>1272</v>
      </c>
      <c r="D2059" s="15" t="s">
        <v>694</v>
      </c>
      <c r="E2059" s="15" t="s">
        <v>509</v>
      </c>
      <c r="F2059" s="15">
        <v>3</v>
      </c>
      <c r="G2059" s="16">
        <f t="shared" si="113"/>
        <v>230146.5</v>
      </c>
      <c r="H2059" s="16">
        <v>230506.5</v>
      </c>
      <c r="I2059" s="16">
        <f t="shared" si="115"/>
        <v>0</v>
      </c>
      <c r="J2059" s="32">
        <v>230506.5</v>
      </c>
      <c r="K2059" s="69">
        <f t="shared" si="114"/>
        <v>0</v>
      </c>
      <c r="L2059" s="71">
        <v>360</v>
      </c>
      <c r="M2059" s="109">
        <v>360</v>
      </c>
      <c r="N2059" s="110">
        <v>0.88</v>
      </c>
    </row>
    <row r="2060" spans="1:14" ht="15" hidden="1" customHeight="1" thickBot="1" x14ac:dyDescent="0.35">
      <c r="A2060" s="25">
        <v>410</v>
      </c>
      <c r="B2060" s="15" t="s">
        <v>1271</v>
      </c>
      <c r="C2060" s="15" t="s">
        <v>1272</v>
      </c>
      <c r="D2060" s="15" t="s">
        <v>1076</v>
      </c>
      <c r="E2060" s="15" t="s">
        <v>512</v>
      </c>
      <c r="F2060" s="15">
        <v>2</v>
      </c>
      <c r="G2060" s="16">
        <f t="shared" si="113"/>
        <v>270848</v>
      </c>
      <c r="H2060" s="16">
        <v>270848</v>
      </c>
      <c r="I2060" s="16">
        <f t="shared" si="115"/>
        <v>0</v>
      </c>
      <c r="J2060" s="32">
        <v>270848</v>
      </c>
      <c r="K2060" s="69">
        <f t="shared" si="114"/>
        <v>0</v>
      </c>
      <c r="L2060" s="71"/>
      <c r="M2060" s="109"/>
      <c r="N2060" s="110">
        <v>0.88</v>
      </c>
    </row>
    <row r="2061" spans="1:14" ht="15" hidden="1" customHeight="1" thickBot="1" x14ac:dyDescent="0.35">
      <c r="A2061" s="25">
        <v>410</v>
      </c>
      <c r="B2061" s="15" t="s">
        <v>1271</v>
      </c>
      <c r="C2061" s="15" t="s">
        <v>1272</v>
      </c>
      <c r="D2061" s="15" t="s">
        <v>1001</v>
      </c>
      <c r="E2061" s="15" t="s">
        <v>504</v>
      </c>
      <c r="F2061" s="15">
        <v>2</v>
      </c>
      <c r="G2061" s="16">
        <f t="shared" si="113"/>
        <v>272310</v>
      </c>
      <c r="H2061" s="16">
        <v>273230</v>
      </c>
      <c r="I2061" s="16">
        <f t="shared" si="115"/>
        <v>0</v>
      </c>
      <c r="J2061" s="32">
        <v>273230</v>
      </c>
      <c r="K2061" s="69">
        <f t="shared" si="114"/>
        <v>0</v>
      </c>
      <c r="L2061" s="71">
        <v>920</v>
      </c>
      <c r="M2061" s="109">
        <v>920</v>
      </c>
      <c r="N2061" s="110">
        <v>0.88</v>
      </c>
    </row>
    <row r="2062" spans="1:14" ht="15" hidden="1" customHeight="1" thickBot="1" x14ac:dyDescent="0.35">
      <c r="A2062" s="25">
        <v>410</v>
      </c>
      <c r="B2062" s="15" t="s">
        <v>1271</v>
      </c>
      <c r="C2062" s="15" t="s">
        <v>1272</v>
      </c>
      <c r="D2062" s="15" t="s">
        <v>980</v>
      </c>
      <c r="E2062" s="15" t="s">
        <v>503</v>
      </c>
      <c r="F2062" s="15">
        <v>2</v>
      </c>
      <c r="G2062" s="16">
        <f t="shared" si="113"/>
        <v>270615.2</v>
      </c>
      <c r="H2062" s="16">
        <v>270855.2</v>
      </c>
      <c r="I2062" s="16">
        <f t="shared" si="115"/>
        <v>0</v>
      </c>
      <c r="J2062" s="32">
        <v>270855.2</v>
      </c>
      <c r="K2062" s="69">
        <f t="shared" si="114"/>
        <v>0</v>
      </c>
      <c r="L2062" s="71">
        <v>240</v>
      </c>
      <c r="M2062" s="109">
        <v>240</v>
      </c>
      <c r="N2062" s="110">
        <v>0.88</v>
      </c>
    </row>
    <row r="2063" spans="1:14" ht="15" hidden="1" customHeight="1" thickBot="1" x14ac:dyDescent="0.35">
      <c r="A2063" s="25">
        <v>410</v>
      </c>
      <c r="B2063" s="15" t="s">
        <v>1271</v>
      </c>
      <c r="C2063" s="15" t="s">
        <v>1272</v>
      </c>
      <c r="D2063" s="15" t="s">
        <v>985</v>
      </c>
      <c r="E2063" s="15" t="s">
        <v>506</v>
      </c>
      <c r="F2063" s="15">
        <v>3</v>
      </c>
      <c r="G2063" s="16">
        <f t="shared" si="113"/>
        <v>276347.5</v>
      </c>
      <c r="H2063" s="16">
        <v>276587.5</v>
      </c>
      <c r="I2063" s="16">
        <f t="shared" si="115"/>
        <v>0</v>
      </c>
      <c r="J2063" s="32">
        <v>276587.5</v>
      </c>
      <c r="K2063" s="69">
        <f t="shared" si="114"/>
        <v>0</v>
      </c>
      <c r="L2063" s="71">
        <v>240</v>
      </c>
      <c r="M2063" s="109">
        <v>240</v>
      </c>
      <c r="N2063" s="110">
        <v>0.88</v>
      </c>
    </row>
    <row r="2064" spans="1:14" ht="15" hidden="1" customHeight="1" thickBot="1" x14ac:dyDescent="0.35">
      <c r="A2064" s="25">
        <v>410</v>
      </c>
      <c r="B2064" s="15" t="s">
        <v>1271</v>
      </c>
      <c r="C2064" s="15" t="s">
        <v>1272</v>
      </c>
      <c r="D2064" s="15" t="s">
        <v>618</v>
      </c>
      <c r="E2064" s="15" t="s">
        <v>509</v>
      </c>
      <c r="F2064" s="15">
        <v>3</v>
      </c>
      <c r="G2064" s="16">
        <f t="shared" si="113"/>
        <v>227652</v>
      </c>
      <c r="H2064" s="16">
        <v>227652</v>
      </c>
      <c r="I2064" s="16">
        <f t="shared" si="115"/>
        <v>0</v>
      </c>
      <c r="J2064" s="32">
        <v>227652</v>
      </c>
      <c r="K2064" s="69">
        <f t="shared" si="114"/>
        <v>0</v>
      </c>
      <c r="L2064" s="71"/>
      <c r="M2064" s="109"/>
      <c r="N2064" s="110">
        <v>0.88</v>
      </c>
    </row>
    <row r="2065" spans="1:14" ht="15" hidden="1" customHeight="1" thickBot="1" x14ac:dyDescent="0.35">
      <c r="A2065" s="25">
        <v>410</v>
      </c>
      <c r="B2065" s="15" t="s">
        <v>1271</v>
      </c>
      <c r="C2065" s="15" t="s">
        <v>1272</v>
      </c>
      <c r="D2065" s="15" t="s">
        <v>670</v>
      </c>
      <c r="E2065" s="15" t="s">
        <v>506</v>
      </c>
      <c r="F2065" s="15">
        <v>3</v>
      </c>
      <c r="G2065" s="16">
        <f t="shared" si="113"/>
        <v>358041</v>
      </c>
      <c r="H2065" s="16">
        <v>358281</v>
      </c>
      <c r="I2065" s="16">
        <f t="shared" si="115"/>
        <v>0</v>
      </c>
      <c r="J2065" s="32">
        <v>358281</v>
      </c>
      <c r="K2065" s="69">
        <f t="shared" si="114"/>
        <v>0</v>
      </c>
      <c r="L2065" s="71">
        <v>240</v>
      </c>
      <c r="M2065" s="109">
        <v>240</v>
      </c>
      <c r="N2065" s="110">
        <v>0.88</v>
      </c>
    </row>
    <row r="2066" spans="1:14" ht="15" hidden="1" customHeight="1" thickBot="1" x14ac:dyDescent="0.35">
      <c r="A2066" s="25">
        <v>410</v>
      </c>
      <c r="B2066" s="15" t="s">
        <v>1271</v>
      </c>
      <c r="C2066" s="15" t="s">
        <v>1272</v>
      </c>
      <c r="D2066" s="15" t="s">
        <v>1061</v>
      </c>
      <c r="E2066" s="15" t="s">
        <v>508</v>
      </c>
      <c r="F2066" s="15">
        <v>2</v>
      </c>
      <c r="G2066" s="16">
        <f t="shared" si="113"/>
        <v>357758</v>
      </c>
      <c r="H2066" s="16">
        <v>357758</v>
      </c>
      <c r="I2066" s="16">
        <f t="shared" si="115"/>
        <v>0</v>
      </c>
      <c r="J2066" s="32">
        <v>357758</v>
      </c>
      <c r="K2066" s="69">
        <f t="shared" si="114"/>
        <v>0</v>
      </c>
      <c r="L2066" s="71"/>
      <c r="M2066" s="109"/>
      <c r="N2066" s="110">
        <v>0.88</v>
      </c>
    </row>
    <row r="2067" spans="1:14" ht="15" hidden="1" customHeight="1" thickBot="1" x14ac:dyDescent="0.35">
      <c r="A2067" s="25">
        <v>410</v>
      </c>
      <c r="B2067" s="15" t="s">
        <v>1271</v>
      </c>
      <c r="C2067" s="15" t="s">
        <v>1272</v>
      </c>
      <c r="D2067" s="15" t="s">
        <v>1105</v>
      </c>
      <c r="E2067" s="15" t="s">
        <v>504</v>
      </c>
      <c r="F2067" s="15">
        <v>2</v>
      </c>
      <c r="G2067" s="16">
        <f t="shared" si="113"/>
        <v>225420</v>
      </c>
      <c r="H2067" s="16">
        <v>225420</v>
      </c>
      <c r="I2067" s="16">
        <f t="shared" si="115"/>
        <v>0</v>
      </c>
      <c r="J2067" s="32">
        <v>225420</v>
      </c>
      <c r="K2067" s="69">
        <f t="shared" si="114"/>
        <v>0</v>
      </c>
      <c r="L2067" s="71"/>
      <c r="M2067" s="109"/>
      <c r="N2067" s="110">
        <v>0.88</v>
      </c>
    </row>
    <row r="2068" spans="1:14" ht="15" hidden="1" customHeight="1" thickBot="1" x14ac:dyDescent="0.35">
      <c r="A2068" s="25">
        <v>410</v>
      </c>
      <c r="B2068" s="15" t="s">
        <v>1271</v>
      </c>
      <c r="C2068" s="15" t="s">
        <v>1272</v>
      </c>
      <c r="D2068" s="15" t="s">
        <v>1043</v>
      </c>
      <c r="E2068" s="15" t="s">
        <v>500</v>
      </c>
      <c r="F2068" s="15">
        <v>2</v>
      </c>
      <c r="G2068" s="16">
        <f t="shared" si="113"/>
        <v>223800</v>
      </c>
      <c r="H2068" s="16">
        <v>223800</v>
      </c>
      <c r="I2068" s="16">
        <f t="shared" si="115"/>
        <v>0</v>
      </c>
      <c r="J2068" s="32">
        <v>223800</v>
      </c>
      <c r="K2068" s="69">
        <f t="shared" si="114"/>
        <v>0</v>
      </c>
      <c r="L2068" s="71"/>
      <c r="M2068" s="109"/>
      <c r="N2068" s="110">
        <v>0.88</v>
      </c>
    </row>
    <row r="2069" spans="1:14" ht="15" hidden="1" customHeight="1" thickBot="1" x14ac:dyDescent="0.35">
      <c r="A2069" s="25">
        <v>410</v>
      </c>
      <c r="B2069" s="15" t="s">
        <v>1271</v>
      </c>
      <c r="C2069" s="15" t="s">
        <v>1272</v>
      </c>
      <c r="D2069" s="15" t="s">
        <v>1102</v>
      </c>
      <c r="E2069" s="15" t="s">
        <v>500</v>
      </c>
      <c r="F2069" s="15">
        <v>2</v>
      </c>
      <c r="G2069" s="16">
        <f t="shared" si="113"/>
        <v>288036</v>
      </c>
      <c r="H2069" s="16">
        <v>288036</v>
      </c>
      <c r="I2069" s="16">
        <f t="shared" si="115"/>
        <v>0</v>
      </c>
      <c r="J2069" s="32">
        <v>288036</v>
      </c>
      <c r="K2069" s="69">
        <f t="shared" si="114"/>
        <v>0</v>
      </c>
      <c r="L2069" s="71"/>
      <c r="M2069" s="109"/>
      <c r="N2069" s="110">
        <v>0.88</v>
      </c>
    </row>
    <row r="2070" spans="1:14" ht="15" hidden="1" customHeight="1" thickBot="1" x14ac:dyDescent="0.35">
      <c r="A2070" s="25">
        <v>411</v>
      </c>
      <c r="B2070" s="223" t="s">
        <v>1274</v>
      </c>
      <c r="C2070" s="15" t="s">
        <v>891</v>
      </c>
      <c r="D2070" s="15" t="s">
        <v>1001</v>
      </c>
      <c r="E2070" s="15" t="s">
        <v>504</v>
      </c>
      <c r="F2070" s="15">
        <v>17</v>
      </c>
      <c r="G2070" s="16">
        <f t="shared" si="113"/>
        <v>471519</v>
      </c>
      <c r="H2070" s="16">
        <v>473709</v>
      </c>
      <c r="I2070" s="16">
        <f t="shared" si="115"/>
        <v>0</v>
      </c>
      <c r="J2070" s="32">
        <v>473709</v>
      </c>
      <c r="K2070" s="69">
        <f t="shared" si="114"/>
        <v>0</v>
      </c>
      <c r="L2070" s="71">
        <v>2190</v>
      </c>
      <c r="M2070" s="109">
        <f>2670-120*4</f>
        <v>2190</v>
      </c>
      <c r="N2070" s="110">
        <v>0.9</v>
      </c>
    </row>
    <row r="2071" spans="1:14" ht="15" hidden="1" customHeight="1" thickBot="1" x14ac:dyDescent="0.35">
      <c r="A2071" s="25">
        <v>412</v>
      </c>
      <c r="B2071" s="15" t="s">
        <v>1275</v>
      </c>
      <c r="C2071" s="15" t="s">
        <v>891</v>
      </c>
      <c r="D2071" s="15" t="s">
        <v>1076</v>
      </c>
      <c r="E2071" s="15" t="s">
        <v>512</v>
      </c>
      <c r="F2071" s="15">
        <v>11</v>
      </c>
      <c r="G2071" s="16">
        <f t="shared" si="113"/>
        <v>299308</v>
      </c>
      <c r="H2071" s="16">
        <v>301378</v>
      </c>
      <c r="I2071" s="16">
        <f t="shared" si="115"/>
        <v>0</v>
      </c>
      <c r="J2071" s="32">
        <v>301378</v>
      </c>
      <c r="K2071" s="69">
        <f t="shared" si="114"/>
        <v>0</v>
      </c>
      <c r="L2071" s="71">
        <v>2070</v>
      </c>
      <c r="M2071" s="109">
        <v>2070</v>
      </c>
      <c r="N2071" s="110">
        <v>0.85</v>
      </c>
    </row>
    <row r="2072" spans="1:14" ht="15" hidden="1" customHeight="1" thickBot="1" x14ac:dyDescent="0.35">
      <c r="A2072" s="25">
        <v>412</v>
      </c>
      <c r="B2072" s="15" t="s">
        <v>1275</v>
      </c>
      <c r="C2072" s="15" t="s">
        <v>891</v>
      </c>
      <c r="D2072" s="15" t="s">
        <v>1043</v>
      </c>
      <c r="E2072" s="15" t="s">
        <v>500</v>
      </c>
      <c r="F2072" s="15">
        <v>9</v>
      </c>
      <c r="G2072" s="16">
        <f t="shared" si="113"/>
        <v>351528</v>
      </c>
      <c r="H2072" s="16">
        <v>354223</v>
      </c>
      <c r="I2072" s="16">
        <f t="shared" si="115"/>
        <v>0</v>
      </c>
      <c r="J2072" s="32">
        <v>354223</v>
      </c>
      <c r="K2072" s="69">
        <f t="shared" si="114"/>
        <v>0</v>
      </c>
      <c r="L2072" s="71">
        <v>2695</v>
      </c>
      <c r="M2072" s="109">
        <v>2695</v>
      </c>
      <c r="N2072" s="110">
        <v>0.85</v>
      </c>
    </row>
    <row r="2073" spans="1:14" ht="15" hidden="1" customHeight="1" thickBot="1" x14ac:dyDescent="0.35">
      <c r="A2073" s="25">
        <v>413</v>
      </c>
      <c r="B2073" s="15" t="s">
        <v>1276</v>
      </c>
      <c r="C2073" s="15" t="s">
        <v>602</v>
      </c>
      <c r="D2073" s="15" t="s">
        <v>1061</v>
      </c>
      <c r="E2073" s="15" t="s">
        <v>508</v>
      </c>
      <c r="F2073" s="15">
        <v>9</v>
      </c>
      <c r="G2073" s="16">
        <f t="shared" si="113"/>
        <v>59758</v>
      </c>
      <c r="H2073" s="16">
        <v>59758</v>
      </c>
      <c r="I2073" s="16">
        <f t="shared" si="115"/>
        <v>0</v>
      </c>
      <c r="J2073" s="32">
        <v>59758</v>
      </c>
      <c r="K2073" s="69">
        <f t="shared" si="114"/>
        <v>0</v>
      </c>
      <c r="L2073" s="71"/>
      <c r="M2073" s="109"/>
      <c r="N2073" s="110" t="s">
        <v>1229</v>
      </c>
    </row>
    <row r="2074" spans="1:14" ht="15" hidden="1" customHeight="1" thickBot="1" x14ac:dyDescent="0.35">
      <c r="A2074" s="25">
        <v>414</v>
      </c>
      <c r="B2074" s="15" t="s">
        <v>1277</v>
      </c>
      <c r="C2074" s="15" t="s">
        <v>1278</v>
      </c>
      <c r="D2074" s="15" t="s">
        <v>1336</v>
      </c>
      <c r="E2074" s="15" t="s">
        <v>500</v>
      </c>
      <c r="F2074" s="15">
        <v>1</v>
      </c>
      <c r="G2074" s="16">
        <f t="shared" si="113"/>
        <v>8773</v>
      </c>
      <c r="H2074" s="16">
        <v>8773</v>
      </c>
      <c r="I2074" s="16">
        <f t="shared" si="115"/>
        <v>0</v>
      </c>
      <c r="J2074" s="32">
        <v>8773</v>
      </c>
      <c r="K2074" s="69">
        <f t="shared" si="114"/>
        <v>0</v>
      </c>
      <c r="L2074" s="71"/>
      <c r="M2074" s="109"/>
      <c r="N2074" s="110">
        <v>0.9</v>
      </c>
    </row>
    <row r="2075" spans="1:14" ht="15" hidden="1" customHeight="1" thickBot="1" x14ac:dyDescent="0.35">
      <c r="A2075" s="25">
        <v>414</v>
      </c>
      <c r="B2075" s="15" t="s">
        <v>1277</v>
      </c>
      <c r="C2075" s="15" t="s">
        <v>1278</v>
      </c>
      <c r="D2075" s="15" t="s">
        <v>1054</v>
      </c>
      <c r="E2075" s="15" t="s">
        <v>1054</v>
      </c>
      <c r="F2075" s="15">
        <v>1</v>
      </c>
      <c r="G2075" s="16">
        <f t="shared" si="113"/>
        <v>9174</v>
      </c>
      <c r="H2075" s="16">
        <v>9174</v>
      </c>
      <c r="I2075" s="16">
        <f t="shared" si="115"/>
        <v>0</v>
      </c>
      <c r="J2075" s="32">
        <v>9174</v>
      </c>
      <c r="K2075" s="69">
        <f t="shared" si="114"/>
        <v>0</v>
      </c>
      <c r="L2075" s="71"/>
      <c r="M2075" s="109"/>
      <c r="N2075" s="110">
        <v>0.9</v>
      </c>
    </row>
    <row r="2076" spans="1:14" ht="15" hidden="1" customHeight="1" thickBot="1" x14ac:dyDescent="0.35">
      <c r="A2076" s="25">
        <v>414</v>
      </c>
      <c r="B2076" s="15" t="s">
        <v>1277</v>
      </c>
      <c r="C2076" s="15" t="s">
        <v>1278</v>
      </c>
      <c r="D2076" s="15" t="s">
        <v>638</v>
      </c>
      <c r="E2076" s="15" t="s">
        <v>504</v>
      </c>
      <c r="F2076" s="15">
        <v>2</v>
      </c>
      <c r="G2076" s="16">
        <f t="shared" si="113"/>
        <v>12987</v>
      </c>
      <c r="H2076" s="16">
        <v>12987</v>
      </c>
      <c r="I2076" s="16">
        <f t="shared" si="115"/>
        <v>0</v>
      </c>
      <c r="J2076" s="32">
        <v>12987</v>
      </c>
      <c r="K2076" s="69">
        <f t="shared" si="114"/>
        <v>0</v>
      </c>
      <c r="L2076" s="71"/>
      <c r="M2076" s="109"/>
      <c r="N2076" s="110">
        <v>0.9</v>
      </c>
    </row>
    <row r="2077" spans="1:14" ht="15" hidden="1" customHeight="1" thickBot="1" x14ac:dyDescent="0.35">
      <c r="A2077" s="25">
        <v>414</v>
      </c>
      <c r="B2077" s="15" t="s">
        <v>1277</v>
      </c>
      <c r="C2077" s="15" t="s">
        <v>1573</v>
      </c>
      <c r="D2077" s="15" t="s">
        <v>638</v>
      </c>
      <c r="E2077" s="15" t="s">
        <v>504</v>
      </c>
      <c r="F2077" s="15">
        <v>1</v>
      </c>
      <c r="G2077" s="16">
        <f t="shared" si="113"/>
        <v>53675</v>
      </c>
      <c r="H2077" s="16">
        <v>53675</v>
      </c>
      <c r="I2077" s="16">
        <f t="shared" si="115"/>
        <v>0</v>
      </c>
      <c r="J2077" s="32">
        <v>53675</v>
      </c>
      <c r="K2077" s="69">
        <f t="shared" si="114"/>
        <v>0</v>
      </c>
      <c r="L2077" s="71"/>
      <c r="M2077" s="109"/>
      <c r="N2077" s="110">
        <v>0.95</v>
      </c>
    </row>
    <row r="2078" spans="1:14" ht="15" hidden="1" customHeight="1" thickBot="1" x14ac:dyDescent="0.35">
      <c r="A2078" s="25">
        <v>415</v>
      </c>
      <c r="B2078" s="15" t="s">
        <v>1281</v>
      </c>
      <c r="C2078" s="15" t="s">
        <v>1282</v>
      </c>
      <c r="D2078" s="15" t="s">
        <v>1283</v>
      </c>
      <c r="E2078" s="15" t="s">
        <v>14</v>
      </c>
      <c r="F2078" s="15">
        <v>2</v>
      </c>
      <c r="G2078" s="16">
        <f t="shared" si="113"/>
        <v>214900</v>
      </c>
      <c r="H2078" s="16">
        <v>214900</v>
      </c>
      <c r="I2078" s="16">
        <f t="shared" si="115"/>
        <v>0</v>
      </c>
      <c r="J2078" s="32">
        <v>214900</v>
      </c>
      <c r="K2078" s="69">
        <f t="shared" si="114"/>
        <v>0</v>
      </c>
      <c r="L2078" s="71"/>
      <c r="M2078" s="109"/>
      <c r="N2078" s="110">
        <v>1</v>
      </c>
    </row>
    <row r="2079" spans="1:14" ht="15" hidden="1" customHeight="1" thickBot="1" x14ac:dyDescent="0.35">
      <c r="A2079" s="25">
        <v>416</v>
      </c>
      <c r="B2079" s="15" t="s">
        <v>1284</v>
      </c>
      <c r="C2079" s="15" t="s">
        <v>1285</v>
      </c>
      <c r="D2079" s="15" t="s">
        <v>1283</v>
      </c>
      <c r="E2079" s="15" t="s">
        <v>14</v>
      </c>
      <c r="F2079" s="15">
        <v>3</v>
      </c>
      <c r="G2079" s="16">
        <f t="shared" si="113"/>
        <v>70250</v>
      </c>
      <c r="H2079" s="16">
        <v>70250</v>
      </c>
      <c r="I2079" s="16">
        <f t="shared" si="115"/>
        <v>0</v>
      </c>
      <c r="J2079" s="32">
        <v>70250</v>
      </c>
      <c r="K2079" s="69">
        <f t="shared" si="114"/>
        <v>0</v>
      </c>
      <c r="L2079" s="71"/>
      <c r="M2079" s="109"/>
      <c r="N2079" s="110">
        <v>1</v>
      </c>
    </row>
    <row r="2080" spans="1:14" ht="15" hidden="1" customHeight="1" thickBot="1" x14ac:dyDescent="0.35">
      <c r="A2080" s="25">
        <v>417</v>
      </c>
      <c r="B2080" s="15" t="s">
        <v>1299</v>
      </c>
      <c r="C2080" s="15" t="s">
        <v>1300</v>
      </c>
      <c r="D2080" s="15" t="s">
        <v>981</v>
      </c>
      <c r="E2080" s="15" t="s">
        <v>502</v>
      </c>
      <c r="F2080" s="15">
        <v>3</v>
      </c>
      <c r="G2080" s="16">
        <f t="shared" si="113"/>
        <v>312375</v>
      </c>
      <c r="H2080" s="16">
        <v>312375</v>
      </c>
      <c r="I2080" s="16">
        <f t="shared" si="115"/>
        <v>0</v>
      </c>
      <c r="J2080" s="32">
        <v>312375</v>
      </c>
      <c r="K2080" s="69">
        <f t="shared" si="114"/>
        <v>0</v>
      </c>
      <c r="L2080" s="71"/>
      <c r="M2080" s="109"/>
      <c r="N2080" s="110">
        <v>0.85</v>
      </c>
    </row>
    <row r="2081" spans="1:14" ht="15" hidden="1" customHeight="1" thickBot="1" x14ac:dyDescent="0.35">
      <c r="A2081" s="25">
        <v>417</v>
      </c>
      <c r="B2081" s="15" t="s">
        <v>1299</v>
      </c>
      <c r="C2081" s="15" t="s">
        <v>1300</v>
      </c>
      <c r="D2081" s="15" t="s">
        <v>679</v>
      </c>
      <c r="E2081" s="15" t="s">
        <v>502</v>
      </c>
      <c r="F2081" s="15">
        <v>3</v>
      </c>
      <c r="G2081" s="16">
        <f t="shared" si="113"/>
        <v>312375</v>
      </c>
      <c r="H2081" s="16">
        <v>312375</v>
      </c>
      <c r="I2081" s="16">
        <f t="shared" si="115"/>
        <v>0</v>
      </c>
      <c r="J2081" s="32">
        <v>312375</v>
      </c>
      <c r="K2081" s="69">
        <f t="shared" si="114"/>
        <v>0</v>
      </c>
      <c r="L2081" s="71"/>
      <c r="M2081" s="109"/>
      <c r="N2081" s="110">
        <v>0.85</v>
      </c>
    </row>
    <row r="2082" spans="1:14" ht="15" hidden="1" customHeight="1" thickBot="1" x14ac:dyDescent="0.35">
      <c r="A2082" s="25">
        <v>417</v>
      </c>
      <c r="B2082" s="15" t="s">
        <v>1299</v>
      </c>
      <c r="C2082" s="15" t="s">
        <v>1300</v>
      </c>
      <c r="D2082" s="15" t="s">
        <v>694</v>
      </c>
      <c r="E2082" s="15" t="s">
        <v>509</v>
      </c>
      <c r="F2082" s="15">
        <v>3</v>
      </c>
      <c r="G2082" s="16">
        <f t="shared" si="113"/>
        <v>312375</v>
      </c>
      <c r="H2082" s="16">
        <v>312375</v>
      </c>
      <c r="I2082" s="16">
        <f t="shared" si="115"/>
        <v>0</v>
      </c>
      <c r="J2082" s="32">
        <v>312375</v>
      </c>
      <c r="K2082" s="69">
        <f t="shared" si="114"/>
        <v>0</v>
      </c>
      <c r="L2082" s="71"/>
      <c r="M2082" s="109"/>
      <c r="N2082" s="110">
        <v>0.85</v>
      </c>
    </row>
    <row r="2083" spans="1:14" ht="15" hidden="1" customHeight="1" thickBot="1" x14ac:dyDescent="0.35">
      <c r="A2083" s="25">
        <v>417</v>
      </c>
      <c r="B2083" s="15" t="s">
        <v>1299</v>
      </c>
      <c r="C2083" s="15" t="s">
        <v>1300</v>
      </c>
      <c r="D2083" s="15" t="s">
        <v>618</v>
      </c>
      <c r="E2083" s="15" t="s">
        <v>509</v>
      </c>
      <c r="F2083" s="15">
        <v>3</v>
      </c>
      <c r="G2083" s="16">
        <f t="shared" si="113"/>
        <v>312375</v>
      </c>
      <c r="H2083" s="16">
        <v>312375</v>
      </c>
      <c r="I2083" s="16">
        <f t="shared" si="115"/>
        <v>0</v>
      </c>
      <c r="J2083" s="32">
        <v>312375</v>
      </c>
      <c r="K2083" s="69">
        <f t="shared" si="114"/>
        <v>0</v>
      </c>
      <c r="L2083" s="71"/>
      <c r="M2083" s="109"/>
      <c r="N2083" s="110">
        <v>0.85</v>
      </c>
    </row>
    <row r="2084" spans="1:14" ht="15" hidden="1" customHeight="1" thickBot="1" x14ac:dyDescent="0.35">
      <c r="A2084" s="25">
        <v>417</v>
      </c>
      <c r="B2084" s="15" t="s">
        <v>1299</v>
      </c>
      <c r="C2084" s="15" t="s">
        <v>1300</v>
      </c>
      <c r="D2084" s="15" t="s">
        <v>670</v>
      </c>
      <c r="E2084" s="15" t="s">
        <v>506</v>
      </c>
      <c r="F2084" s="15">
        <v>4</v>
      </c>
      <c r="G2084" s="16">
        <f t="shared" si="113"/>
        <v>311875</v>
      </c>
      <c r="H2084" s="16">
        <v>312375</v>
      </c>
      <c r="I2084" s="16">
        <f t="shared" si="115"/>
        <v>0</v>
      </c>
      <c r="J2084" s="32">
        <v>312375</v>
      </c>
      <c r="K2084" s="69">
        <f t="shared" si="114"/>
        <v>0</v>
      </c>
      <c r="L2084" s="71">
        <v>500</v>
      </c>
      <c r="M2084" s="109">
        <v>500</v>
      </c>
      <c r="N2084" s="110">
        <v>0.85</v>
      </c>
    </row>
    <row r="2085" spans="1:14" ht="15" hidden="1" customHeight="1" thickBot="1" x14ac:dyDescent="0.35">
      <c r="A2085" s="25">
        <v>417</v>
      </c>
      <c r="B2085" s="15" t="s">
        <v>1299</v>
      </c>
      <c r="C2085" s="15" t="s">
        <v>1300</v>
      </c>
      <c r="D2085" s="15" t="s">
        <v>1318</v>
      </c>
      <c r="E2085" s="15" t="s">
        <v>504</v>
      </c>
      <c r="F2085" s="15">
        <v>2</v>
      </c>
      <c r="G2085" s="16">
        <f t="shared" si="113"/>
        <v>312375</v>
      </c>
      <c r="H2085" s="16">
        <v>312375</v>
      </c>
      <c r="I2085" s="16">
        <f t="shared" si="115"/>
        <v>0</v>
      </c>
      <c r="J2085" s="32">
        <v>312375</v>
      </c>
      <c r="K2085" s="69">
        <f t="shared" si="114"/>
        <v>0</v>
      </c>
      <c r="L2085" s="71"/>
      <c r="M2085" s="109"/>
      <c r="N2085" s="110">
        <v>0.85</v>
      </c>
    </row>
    <row r="2086" spans="1:14" ht="15" hidden="1" customHeight="1" thickBot="1" x14ac:dyDescent="0.35">
      <c r="A2086" s="25">
        <v>417</v>
      </c>
      <c r="B2086" s="15" t="s">
        <v>1299</v>
      </c>
      <c r="C2086" s="15" t="s">
        <v>1300</v>
      </c>
      <c r="D2086" s="15" t="s">
        <v>1102</v>
      </c>
      <c r="E2086" s="15" t="s">
        <v>500</v>
      </c>
      <c r="F2086" s="15">
        <v>5</v>
      </c>
      <c r="G2086" s="16">
        <f t="shared" si="113"/>
        <v>312375</v>
      </c>
      <c r="H2086" s="16">
        <v>312375</v>
      </c>
      <c r="I2086" s="16">
        <f t="shared" si="115"/>
        <v>0</v>
      </c>
      <c r="J2086" s="32">
        <v>312375</v>
      </c>
      <c r="K2086" s="69">
        <f t="shared" si="114"/>
        <v>0</v>
      </c>
      <c r="L2086" s="71"/>
      <c r="M2086" s="109"/>
      <c r="N2086" s="110">
        <v>0.85</v>
      </c>
    </row>
    <row r="2087" spans="1:14" ht="15" hidden="1" customHeight="1" thickBot="1" x14ac:dyDescent="0.35">
      <c r="A2087" s="25">
        <v>417</v>
      </c>
      <c r="B2087" s="15" t="s">
        <v>1299</v>
      </c>
      <c r="C2087" s="15" t="s">
        <v>1300</v>
      </c>
      <c r="D2087" s="15" t="s">
        <v>1043</v>
      </c>
      <c r="E2087" s="15" t="s">
        <v>500</v>
      </c>
      <c r="F2087" s="15">
        <v>2</v>
      </c>
      <c r="G2087" s="16">
        <f t="shared" si="113"/>
        <v>275625</v>
      </c>
      <c r="H2087" s="16">
        <v>275625</v>
      </c>
      <c r="I2087" s="16">
        <f t="shared" si="115"/>
        <v>0</v>
      </c>
      <c r="J2087" s="32">
        <v>275625</v>
      </c>
      <c r="K2087" s="69">
        <f t="shared" si="114"/>
        <v>0</v>
      </c>
      <c r="L2087" s="71"/>
      <c r="M2087" s="109"/>
      <c r="N2087" s="110">
        <v>0.75</v>
      </c>
    </row>
    <row r="2088" spans="1:14" ht="15" hidden="1" customHeight="1" thickBot="1" x14ac:dyDescent="0.35">
      <c r="A2088" s="25">
        <v>417</v>
      </c>
      <c r="B2088" s="15" t="s">
        <v>1299</v>
      </c>
      <c r="C2088" s="15" t="s">
        <v>1300</v>
      </c>
      <c r="D2088" s="15" t="s">
        <v>1061</v>
      </c>
      <c r="E2088" s="15" t="s">
        <v>508</v>
      </c>
      <c r="F2088" s="15">
        <v>4</v>
      </c>
      <c r="G2088" s="16">
        <f t="shared" si="113"/>
        <v>312375</v>
      </c>
      <c r="H2088" s="16">
        <v>312375</v>
      </c>
      <c r="I2088" s="16">
        <f t="shared" si="115"/>
        <v>0</v>
      </c>
      <c r="J2088" s="32">
        <v>312375</v>
      </c>
      <c r="K2088" s="69">
        <f t="shared" si="114"/>
        <v>0</v>
      </c>
      <c r="L2088" s="71"/>
      <c r="M2088" s="109"/>
      <c r="N2088" s="110">
        <v>0.85</v>
      </c>
    </row>
    <row r="2089" spans="1:14" ht="15" hidden="1" customHeight="1" thickBot="1" x14ac:dyDescent="0.35">
      <c r="A2089" s="25">
        <v>418</v>
      </c>
      <c r="B2089" s="15" t="s">
        <v>1301</v>
      </c>
      <c r="C2089" s="15" t="s">
        <v>891</v>
      </c>
      <c r="D2089" s="15" t="s">
        <v>1061</v>
      </c>
      <c r="E2089" s="15" t="s">
        <v>508</v>
      </c>
      <c r="F2089" s="15">
        <v>16</v>
      </c>
      <c r="G2089" s="16">
        <f t="shared" si="113"/>
        <v>649794</v>
      </c>
      <c r="H2089" s="16">
        <v>651884</v>
      </c>
      <c r="I2089" s="16">
        <f t="shared" si="115"/>
        <v>0</v>
      </c>
      <c r="J2089" s="32">
        <v>651884</v>
      </c>
      <c r="K2089" s="69">
        <f t="shared" si="114"/>
        <v>0</v>
      </c>
      <c r="L2089" s="71">
        <v>2090</v>
      </c>
      <c r="M2089" s="109">
        <v>2090</v>
      </c>
      <c r="N2089" s="110">
        <v>0.9</v>
      </c>
    </row>
    <row r="2090" spans="1:14" ht="15" hidden="1" customHeight="1" thickBot="1" x14ac:dyDescent="0.35">
      <c r="A2090" s="25">
        <v>419</v>
      </c>
      <c r="B2090" s="15" t="s">
        <v>1332</v>
      </c>
      <c r="C2090" s="15" t="s">
        <v>643</v>
      </c>
      <c r="D2090" s="15" t="s">
        <v>1105</v>
      </c>
      <c r="E2090" s="15" t="s">
        <v>504</v>
      </c>
      <c r="F2090" s="15">
        <v>13</v>
      </c>
      <c r="G2090" s="16">
        <f t="shared" si="113"/>
        <v>228406</v>
      </c>
      <c r="H2090" s="16">
        <v>229666</v>
      </c>
      <c r="I2090" s="16">
        <f t="shared" si="115"/>
        <v>0</v>
      </c>
      <c r="J2090" s="32">
        <v>229666</v>
      </c>
      <c r="K2090" s="69">
        <f t="shared" si="114"/>
        <v>0</v>
      </c>
      <c r="L2090" s="71">
        <v>1260</v>
      </c>
      <c r="M2090" s="109">
        <v>1260</v>
      </c>
      <c r="N2090" s="110">
        <v>0.9</v>
      </c>
    </row>
    <row r="2091" spans="1:14" ht="15" hidden="1" customHeight="1" thickBot="1" x14ac:dyDescent="0.35">
      <c r="A2091" s="25">
        <v>419</v>
      </c>
      <c r="B2091" s="15" t="s">
        <v>1332</v>
      </c>
      <c r="C2091" s="15" t="s">
        <v>643</v>
      </c>
      <c r="D2091" s="15" t="s">
        <v>1043</v>
      </c>
      <c r="E2091" s="15" t="s">
        <v>500</v>
      </c>
      <c r="F2091" s="15">
        <v>13</v>
      </c>
      <c r="G2091" s="16">
        <f t="shared" si="113"/>
        <v>226542</v>
      </c>
      <c r="H2091" s="16">
        <v>227682</v>
      </c>
      <c r="I2091" s="16">
        <f t="shared" si="115"/>
        <v>0</v>
      </c>
      <c r="J2091" s="32">
        <v>227682</v>
      </c>
      <c r="K2091" s="69">
        <f t="shared" si="114"/>
        <v>0</v>
      </c>
      <c r="L2091" s="71">
        <v>1140</v>
      </c>
      <c r="M2091" s="109">
        <v>1140</v>
      </c>
      <c r="N2091" s="110">
        <v>0.9</v>
      </c>
    </row>
    <row r="2092" spans="1:14" ht="15" hidden="1" customHeight="1" thickBot="1" x14ac:dyDescent="0.35">
      <c r="A2092" s="25">
        <v>419</v>
      </c>
      <c r="B2092" s="15" t="s">
        <v>1332</v>
      </c>
      <c r="C2092" s="15" t="s">
        <v>643</v>
      </c>
      <c r="D2092" s="15" t="s">
        <v>638</v>
      </c>
      <c r="E2092" s="15" t="s">
        <v>504</v>
      </c>
      <c r="F2092" s="15">
        <v>1</v>
      </c>
      <c r="G2092" s="16">
        <f t="shared" si="113"/>
        <v>714</v>
      </c>
      <c r="H2092" s="16">
        <v>714</v>
      </c>
      <c r="I2092" s="16">
        <f t="shared" si="115"/>
        <v>0</v>
      </c>
      <c r="J2092" s="32">
        <v>714</v>
      </c>
      <c r="K2092" s="69">
        <f t="shared" si="114"/>
        <v>0</v>
      </c>
      <c r="L2092" s="71"/>
      <c r="M2092" s="109"/>
      <c r="N2092" s="110">
        <v>0.85</v>
      </c>
    </row>
    <row r="2093" spans="1:14" ht="15" hidden="1" customHeight="1" thickBot="1" x14ac:dyDescent="0.35">
      <c r="A2093" s="25">
        <v>420</v>
      </c>
      <c r="B2093" s="15" t="s">
        <v>1361</v>
      </c>
      <c r="C2093" s="15" t="s">
        <v>1238</v>
      </c>
      <c r="D2093" s="15" t="s">
        <v>1001</v>
      </c>
      <c r="E2093" s="15" t="s">
        <v>504</v>
      </c>
      <c r="F2093" s="15">
        <v>2</v>
      </c>
      <c r="G2093" s="16">
        <f t="shared" si="113"/>
        <v>158916</v>
      </c>
      <c r="H2093" s="16">
        <v>158916</v>
      </c>
      <c r="I2093" s="16">
        <f t="shared" si="115"/>
        <v>0</v>
      </c>
      <c r="J2093" s="32">
        <v>158916</v>
      </c>
      <c r="K2093" s="69">
        <f t="shared" si="114"/>
        <v>0</v>
      </c>
      <c r="L2093" s="71"/>
      <c r="M2093" s="109"/>
      <c r="N2093" s="110">
        <v>0.95</v>
      </c>
    </row>
    <row r="2094" spans="1:14" ht="15" hidden="1" customHeight="1" thickBot="1" x14ac:dyDescent="0.35">
      <c r="A2094" s="25">
        <v>420</v>
      </c>
      <c r="B2094" s="15" t="s">
        <v>1361</v>
      </c>
      <c r="C2094" s="15" t="s">
        <v>1238</v>
      </c>
      <c r="D2094" s="15" t="s">
        <v>1001</v>
      </c>
      <c r="E2094" s="15" t="s">
        <v>504</v>
      </c>
      <c r="F2094" s="15">
        <v>2</v>
      </c>
      <c r="G2094" s="16">
        <f t="shared" si="113"/>
        <v>74421</v>
      </c>
      <c r="H2094" s="16">
        <v>75421</v>
      </c>
      <c r="I2094" s="16">
        <f t="shared" si="115"/>
        <v>0</v>
      </c>
      <c r="J2094" s="32">
        <v>75421</v>
      </c>
      <c r="K2094" s="69">
        <f t="shared" ref="K2094:K2158" si="116">M2094-L2094</f>
        <v>0</v>
      </c>
      <c r="L2094" s="71">
        <v>1000</v>
      </c>
      <c r="M2094" s="109">
        <v>1000</v>
      </c>
      <c r="N2094" s="110">
        <v>0.9</v>
      </c>
    </row>
    <row r="2095" spans="1:14" ht="15" hidden="1" customHeight="1" thickBot="1" x14ac:dyDescent="0.35">
      <c r="A2095" s="25">
        <v>420</v>
      </c>
      <c r="B2095" s="15" t="s">
        <v>1361</v>
      </c>
      <c r="C2095" s="15" t="s">
        <v>1238</v>
      </c>
      <c r="D2095" s="15" t="s">
        <v>1102</v>
      </c>
      <c r="E2095" s="15" t="s">
        <v>500</v>
      </c>
      <c r="F2095" s="15">
        <v>1</v>
      </c>
      <c r="G2095" s="16">
        <f t="shared" si="113"/>
        <v>5491</v>
      </c>
      <c r="H2095" s="16">
        <v>5491</v>
      </c>
      <c r="I2095" s="16">
        <f t="shared" ref="I2095:I2159" si="117">J2095-H2095</f>
        <v>0</v>
      </c>
      <c r="J2095" s="32">
        <v>5491</v>
      </c>
      <c r="K2095" s="69">
        <f t="shared" si="116"/>
        <v>0</v>
      </c>
      <c r="L2095" s="71"/>
      <c r="M2095" s="109"/>
      <c r="N2095" s="110">
        <v>0.95</v>
      </c>
    </row>
    <row r="2096" spans="1:14" ht="15" hidden="1" customHeight="1" thickBot="1" x14ac:dyDescent="0.35">
      <c r="A2096" s="25">
        <v>420</v>
      </c>
      <c r="B2096" s="15" t="s">
        <v>1361</v>
      </c>
      <c r="C2096" s="15" t="s">
        <v>1238</v>
      </c>
      <c r="D2096" s="15" t="s">
        <v>1105</v>
      </c>
      <c r="E2096" s="15" t="s">
        <v>504</v>
      </c>
      <c r="F2096" s="15">
        <v>1</v>
      </c>
      <c r="G2096" s="16">
        <f t="shared" ref="G2096:G2160" si="118">H2096-M2096</f>
        <v>4199</v>
      </c>
      <c r="H2096" s="16">
        <v>4199</v>
      </c>
      <c r="I2096" s="16">
        <f t="shared" si="117"/>
        <v>0</v>
      </c>
      <c r="J2096" s="32">
        <v>4199</v>
      </c>
      <c r="K2096" s="69">
        <f t="shared" si="116"/>
        <v>0</v>
      </c>
      <c r="L2096" s="71"/>
      <c r="M2096" s="109"/>
      <c r="N2096" s="110">
        <v>0.95</v>
      </c>
    </row>
    <row r="2097" spans="1:14" ht="15" hidden="1" customHeight="1" thickBot="1" x14ac:dyDescent="0.35">
      <c r="A2097" s="25">
        <v>420</v>
      </c>
      <c r="B2097" s="15" t="s">
        <v>1361</v>
      </c>
      <c r="C2097" s="15" t="s">
        <v>1238</v>
      </c>
      <c r="D2097" s="15" t="s">
        <v>1061</v>
      </c>
      <c r="E2097" s="15" t="s">
        <v>508</v>
      </c>
      <c r="F2097" s="15">
        <v>2</v>
      </c>
      <c r="G2097" s="16">
        <f t="shared" si="118"/>
        <v>69164</v>
      </c>
      <c r="H2097" s="16">
        <v>69284</v>
      </c>
      <c r="I2097" s="166">
        <f t="shared" si="117"/>
        <v>0</v>
      </c>
      <c r="J2097" s="32">
        <v>69284</v>
      </c>
      <c r="K2097" s="69">
        <f t="shared" si="116"/>
        <v>0</v>
      </c>
      <c r="L2097" s="71">
        <v>120</v>
      </c>
      <c r="M2097" s="109">
        <v>120</v>
      </c>
      <c r="N2097" s="110">
        <v>0.95</v>
      </c>
    </row>
    <row r="2098" spans="1:14" ht="15" hidden="1" customHeight="1" thickBot="1" x14ac:dyDescent="0.35">
      <c r="A2098" s="25">
        <v>421</v>
      </c>
      <c r="B2098" s="15" t="s">
        <v>1364</v>
      </c>
      <c r="C2098" s="15" t="s">
        <v>1365</v>
      </c>
      <c r="D2098" s="15" t="s">
        <v>14</v>
      </c>
      <c r="E2098" s="15" t="s">
        <v>14</v>
      </c>
      <c r="F2098" s="312">
        <v>7</v>
      </c>
      <c r="G2098" s="16">
        <f t="shared" si="118"/>
        <v>6878606</v>
      </c>
      <c r="H2098" s="16">
        <v>6878606</v>
      </c>
      <c r="I2098" s="16">
        <f t="shared" si="117"/>
        <v>0</v>
      </c>
      <c r="J2098" s="32">
        <v>6878606</v>
      </c>
      <c r="K2098" s="69">
        <f t="shared" si="116"/>
        <v>0</v>
      </c>
      <c r="L2098" s="71"/>
      <c r="M2098" s="109"/>
      <c r="N2098" s="110"/>
    </row>
    <row r="2099" spans="1:14" ht="15" hidden="1" customHeight="1" thickBot="1" x14ac:dyDescent="0.35">
      <c r="A2099" s="25">
        <v>422</v>
      </c>
      <c r="B2099" s="15" t="s">
        <v>1366</v>
      </c>
      <c r="C2099" s="15" t="s">
        <v>1367</v>
      </c>
      <c r="D2099" s="15" t="s">
        <v>14</v>
      </c>
      <c r="E2099" s="15" t="s">
        <v>14</v>
      </c>
      <c r="F2099" s="15">
        <v>1</v>
      </c>
      <c r="G2099" s="16">
        <f t="shared" si="118"/>
        <v>864000</v>
      </c>
      <c r="H2099" s="16">
        <v>864000</v>
      </c>
      <c r="I2099" s="16">
        <f t="shared" si="117"/>
        <v>0</v>
      </c>
      <c r="J2099" s="32">
        <v>864000</v>
      </c>
      <c r="K2099" s="69">
        <f t="shared" si="116"/>
        <v>0</v>
      </c>
      <c r="L2099" s="71"/>
      <c r="M2099" s="109"/>
      <c r="N2099" s="110"/>
    </row>
    <row r="2100" spans="1:14" ht="15" hidden="1" customHeight="1" thickBot="1" x14ac:dyDescent="0.35">
      <c r="A2100" s="25">
        <v>423</v>
      </c>
      <c r="B2100" s="15" t="s">
        <v>1382</v>
      </c>
      <c r="C2100" s="15" t="s">
        <v>1383</v>
      </c>
      <c r="D2100" s="15" t="s">
        <v>14</v>
      </c>
      <c r="E2100" s="15" t="s">
        <v>14</v>
      </c>
      <c r="F2100" s="15">
        <v>1</v>
      </c>
      <c r="G2100" s="16">
        <f t="shared" si="118"/>
        <v>6300</v>
      </c>
      <c r="H2100" s="16">
        <v>6300</v>
      </c>
      <c r="I2100" s="16">
        <f t="shared" si="117"/>
        <v>0</v>
      </c>
      <c r="J2100" s="32">
        <v>6300</v>
      </c>
      <c r="K2100" s="69">
        <f t="shared" si="116"/>
        <v>0</v>
      </c>
      <c r="L2100" s="71"/>
      <c r="M2100" s="109"/>
      <c r="N2100" s="110"/>
    </row>
    <row r="2101" spans="1:14" ht="15" hidden="1" customHeight="1" thickBot="1" x14ac:dyDescent="0.35">
      <c r="A2101" s="25">
        <v>424</v>
      </c>
      <c r="B2101" s="15" t="s">
        <v>1398</v>
      </c>
      <c r="C2101" s="159" t="s">
        <v>1677</v>
      </c>
      <c r="D2101" s="14" t="s">
        <v>14</v>
      </c>
      <c r="E2101" s="15" t="s">
        <v>14</v>
      </c>
      <c r="F2101" s="15">
        <v>4</v>
      </c>
      <c r="G2101" s="16">
        <f t="shared" si="118"/>
        <v>620301</v>
      </c>
      <c r="H2101" s="16">
        <v>620301</v>
      </c>
      <c r="I2101" s="16">
        <f t="shared" si="117"/>
        <v>0</v>
      </c>
      <c r="J2101" s="32">
        <v>620301</v>
      </c>
      <c r="K2101" s="69">
        <f t="shared" si="116"/>
        <v>0</v>
      </c>
      <c r="L2101" s="71"/>
      <c r="M2101" s="109"/>
      <c r="N2101" s="110">
        <v>1</v>
      </c>
    </row>
    <row r="2102" spans="1:14" ht="15" hidden="1" customHeight="1" thickBot="1" x14ac:dyDescent="0.35">
      <c r="A2102" s="25">
        <v>425</v>
      </c>
      <c r="B2102" s="15" t="s">
        <v>1438</v>
      </c>
      <c r="C2102" s="159" t="s">
        <v>891</v>
      </c>
      <c r="D2102" s="14" t="s">
        <v>638</v>
      </c>
      <c r="E2102" s="15" t="s">
        <v>504</v>
      </c>
      <c r="F2102" s="15">
        <v>5</v>
      </c>
      <c r="G2102" s="16">
        <f t="shared" si="118"/>
        <v>141045</v>
      </c>
      <c r="H2102" s="16">
        <v>141045</v>
      </c>
      <c r="I2102" s="16">
        <f t="shared" si="117"/>
        <v>0</v>
      </c>
      <c r="J2102" s="32">
        <v>141045</v>
      </c>
      <c r="K2102" s="69">
        <f t="shared" si="116"/>
        <v>0</v>
      </c>
      <c r="L2102" s="71"/>
      <c r="M2102" s="109"/>
      <c r="N2102" s="110" t="s">
        <v>1447</v>
      </c>
    </row>
    <row r="2103" spans="1:14" ht="15" hidden="1" customHeight="1" thickBot="1" x14ac:dyDescent="0.35">
      <c r="A2103" s="25">
        <v>426</v>
      </c>
      <c r="B2103" s="15" t="s">
        <v>1441</v>
      </c>
      <c r="C2103" s="159" t="s">
        <v>1285</v>
      </c>
      <c r="D2103" s="14" t="s">
        <v>14</v>
      </c>
      <c r="E2103" s="15" t="s">
        <v>14</v>
      </c>
      <c r="F2103" s="15">
        <v>4</v>
      </c>
      <c r="G2103" s="16">
        <f t="shared" si="118"/>
        <v>328000</v>
      </c>
      <c r="H2103" s="16">
        <v>328000</v>
      </c>
      <c r="I2103" s="16">
        <f t="shared" si="117"/>
        <v>0</v>
      </c>
      <c r="J2103" s="32">
        <v>328000</v>
      </c>
      <c r="K2103" s="69">
        <f t="shared" si="116"/>
        <v>0</v>
      </c>
      <c r="L2103" s="71"/>
      <c r="M2103" s="109"/>
      <c r="N2103" s="110">
        <v>1</v>
      </c>
    </row>
    <row r="2104" spans="1:14" ht="15" hidden="1" customHeight="1" thickBot="1" x14ac:dyDescent="0.35">
      <c r="A2104" s="25">
        <v>427</v>
      </c>
      <c r="B2104" s="15" t="s">
        <v>1443</v>
      </c>
      <c r="C2104" s="159" t="s">
        <v>1444</v>
      </c>
      <c r="D2104" s="14" t="s">
        <v>14</v>
      </c>
      <c r="E2104" s="15" t="s">
        <v>14</v>
      </c>
      <c r="F2104" s="15">
        <v>1</v>
      </c>
      <c r="G2104" s="16">
        <f t="shared" si="118"/>
        <v>250000</v>
      </c>
      <c r="H2104" s="16">
        <v>250000</v>
      </c>
      <c r="I2104" s="16">
        <f t="shared" si="117"/>
        <v>0</v>
      </c>
      <c r="J2104" s="32">
        <v>250000</v>
      </c>
      <c r="K2104" s="69">
        <f t="shared" si="116"/>
        <v>0</v>
      </c>
      <c r="L2104" s="71"/>
      <c r="M2104" s="109"/>
      <c r="N2104" s="110">
        <v>1</v>
      </c>
    </row>
    <row r="2105" spans="1:14" ht="15" hidden="1" customHeight="1" thickBot="1" x14ac:dyDescent="0.35">
      <c r="A2105" s="25">
        <v>428</v>
      </c>
      <c r="B2105" s="15" t="s">
        <v>1445</v>
      </c>
      <c r="C2105" s="159" t="s">
        <v>1446</v>
      </c>
      <c r="D2105" s="14" t="s">
        <v>14</v>
      </c>
      <c r="E2105" s="15" t="s">
        <v>14</v>
      </c>
      <c r="F2105" s="15">
        <v>1</v>
      </c>
      <c r="G2105" s="16">
        <f t="shared" si="118"/>
        <v>101506</v>
      </c>
      <c r="H2105" s="16">
        <v>101506</v>
      </c>
      <c r="I2105" s="16">
        <f t="shared" si="117"/>
        <v>0</v>
      </c>
      <c r="J2105" s="32">
        <v>101506</v>
      </c>
      <c r="K2105" s="69">
        <f t="shared" si="116"/>
        <v>0</v>
      </c>
      <c r="L2105" s="71"/>
      <c r="M2105" s="109"/>
      <c r="N2105" s="110">
        <v>1</v>
      </c>
    </row>
    <row r="2106" spans="1:14" ht="15" hidden="1" customHeight="1" thickBot="1" x14ac:dyDescent="0.35">
      <c r="A2106" s="25">
        <v>429</v>
      </c>
      <c r="B2106" s="15" t="s">
        <v>1451</v>
      </c>
      <c r="C2106" s="159" t="s">
        <v>1452</v>
      </c>
      <c r="D2106" s="14" t="s">
        <v>679</v>
      </c>
      <c r="E2106" s="15" t="s">
        <v>502</v>
      </c>
      <c r="F2106" s="15">
        <v>1</v>
      </c>
      <c r="G2106" s="16">
        <f t="shared" si="118"/>
        <v>2160</v>
      </c>
      <c r="H2106" s="16">
        <v>2160</v>
      </c>
      <c r="I2106" s="16">
        <f t="shared" si="117"/>
        <v>0</v>
      </c>
      <c r="J2106" s="32">
        <v>2160</v>
      </c>
      <c r="K2106" s="69">
        <f t="shared" si="116"/>
        <v>0</v>
      </c>
      <c r="L2106" s="71"/>
      <c r="M2106" s="109"/>
      <c r="N2106" s="110">
        <v>0.9</v>
      </c>
    </row>
    <row r="2107" spans="1:14" ht="15" hidden="1" customHeight="1" thickBot="1" x14ac:dyDescent="0.35">
      <c r="A2107" s="25">
        <v>429</v>
      </c>
      <c r="B2107" s="15" t="s">
        <v>1451</v>
      </c>
      <c r="C2107" s="159" t="s">
        <v>1452</v>
      </c>
      <c r="D2107" s="14" t="s">
        <v>985</v>
      </c>
      <c r="E2107" s="15" t="s">
        <v>506</v>
      </c>
      <c r="F2107" s="15">
        <v>2</v>
      </c>
      <c r="G2107" s="16">
        <f t="shared" si="118"/>
        <v>19350</v>
      </c>
      <c r="H2107" s="16">
        <v>19350</v>
      </c>
      <c r="I2107" s="16">
        <f t="shared" si="117"/>
        <v>0</v>
      </c>
      <c r="J2107" s="32">
        <v>19350</v>
      </c>
      <c r="K2107" s="69">
        <f t="shared" si="116"/>
        <v>0</v>
      </c>
      <c r="L2107" s="71"/>
      <c r="M2107" s="109"/>
      <c r="N2107" s="110">
        <v>0.9</v>
      </c>
    </row>
    <row r="2108" spans="1:14" ht="15" hidden="1" customHeight="1" thickBot="1" x14ac:dyDescent="0.35">
      <c r="A2108" s="25">
        <v>429</v>
      </c>
      <c r="B2108" s="15" t="s">
        <v>1451</v>
      </c>
      <c r="C2108" s="159" t="s">
        <v>1452</v>
      </c>
      <c r="D2108" s="14" t="s">
        <v>1001</v>
      </c>
      <c r="E2108" s="15" t="s">
        <v>504</v>
      </c>
      <c r="F2108" s="15">
        <v>1</v>
      </c>
      <c r="G2108" s="16">
        <f t="shared" si="118"/>
        <v>17200</v>
      </c>
      <c r="H2108" s="16">
        <v>17200</v>
      </c>
      <c r="I2108" s="16">
        <f t="shared" si="117"/>
        <v>0</v>
      </c>
      <c r="J2108" s="32">
        <v>17200</v>
      </c>
      <c r="K2108" s="69">
        <f t="shared" si="116"/>
        <v>0</v>
      </c>
      <c r="L2108" s="71"/>
      <c r="M2108" s="109"/>
      <c r="N2108" s="110">
        <v>0.9</v>
      </c>
    </row>
    <row r="2109" spans="1:14" ht="15" hidden="1" customHeight="1" thickBot="1" x14ac:dyDescent="0.35">
      <c r="A2109" s="25">
        <v>429</v>
      </c>
      <c r="B2109" s="15" t="s">
        <v>1451</v>
      </c>
      <c r="C2109" s="159" t="s">
        <v>1452</v>
      </c>
      <c r="D2109" s="14" t="s">
        <v>670</v>
      </c>
      <c r="E2109" s="15" t="s">
        <v>506</v>
      </c>
      <c r="F2109" s="15">
        <v>1</v>
      </c>
      <c r="G2109" s="16">
        <f t="shared" si="118"/>
        <v>28800</v>
      </c>
      <c r="H2109" s="16">
        <v>28800</v>
      </c>
      <c r="I2109" s="16">
        <f t="shared" si="117"/>
        <v>0</v>
      </c>
      <c r="J2109" s="32">
        <v>28800</v>
      </c>
      <c r="K2109" s="69">
        <f t="shared" si="116"/>
        <v>0</v>
      </c>
      <c r="L2109" s="71"/>
      <c r="M2109" s="109"/>
      <c r="N2109" s="110">
        <v>0.9</v>
      </c>
    </row>
    <row r="2110" spans="1:14" ht="15" hidden="1" customHeight="1" thickBot="1" x14ac:dyDescent="0.35">
      <c r="A2110" s="25">
        <v>429</v>
      </c>
      <c r="B2110" s="15" t="s">
        <v>1451</v>
      </c>
      <c r="C2110" s="159" t="s">
        <v>1452</v>
      </c>
      <c r="D2110" s="14" t="s">
        <v>1061</v>
      </c>
      <c r="E2110" s="15" t="s">
        <v>508</v>
      </c>
      <c r="F2110" s="15">
        <v>1</v>
      </c>
      <c r="G2110" s="16">
        <f t="shared" si="118"/>
        <v>6600</v>
      </c>
      <c r="H2110" s="16">
        <v>6600</v>
      </c>
      <c r="I2110" s="16">
        <f t="shared" si="117"/>
        <v>0</v>
      </c>
      <c r="J2110" s="32">
        <v>6600</v>
      </c>
      <c r="K2110" s="69">
        <f t="shared" si="116"/>
        <v>0</v>
      </c>
      <c r="L2110" s="71"/>
      <c r="M2110" s="109"/>
      <c r="N2110" s="110">
        <v>0.8</v>
      </c>
    </row>
    <row r="2111" spans="1:14" ht="15" hidden="1" customHeight="1" thickBot="1" x14ac:dyDescent="0.35">
      <c r="A2111" s="25">
        <v>429</v>
      </c>
      <c r="B2111" s="15" t="s">
        <v>1451</v>
      </c>
      <c r="C2111" s="159" t="s">
        <v>1452</v>
      </c>
      <c r="D2111" s="14" t="s">
        <v>694</v>
      </c>
      <c r="E2111" s="15" t="s">
        <v>509</v>
      </c>
      <c r="F2111" s="15">
        <v>1</v>
      </c>
      <c r="G2111" s="16">
        <f t="shared" si="118"/>
        <v>2160</v>
      </c>
      <c r="H2111" s="16">
        <v>2160</v>
      </c>
      <c r="I2111" s="16">
        <f t="shared" si="117"/>
        <v>0</v>
      </c>
      <c r="J2111" s="32">
        <v>2160</v>
      </c>
      <c r="K2111" s="69">
        <f t="shared" si="116"/>
        <v>0</v>
      </c>
      <c r="L2111" s="71"/>
      <c r="M2111" s="109"/>
      <c r="N2111" s="110">
        <v>0.9</v>
      </c>
    </row>
    <row r="2112" spans="1:14" ht="15" hidden="1" customHeight="1" thickBot="1" x14ac:dyDescent="0.35">
      <c r="A2112" s="25">
        <v>429</v>
      </c>
      <c r="B2112" s="15" t="s">
        <v>1451</v>
      </c>
      <c r="C2112" s="159" t="s">
        <v>1452</v>
      </c>
      <c r="D2112" s="14" t="s">
        <v>1043</v>
      </c>
      <c r="E2112" s="15" t="s">
        <v>500</v>
      </c>
      <c r="F2112" s="15">
        <v>1</v>
      </c>
      <c r="G2112" s="16">
        <f t="shared" si="118"/>
        <v>2160</v>
      </c>
      <c r="H2112" s="16">
        <v>2160</v>
      </c>
      <c r="I2112" s="16">
        <f t="shared" si="117"/>
        <v>0</v>
      </c>
      <c r="J2112" s="32">
        <v>2160</v>
      </c>
      <c r="K2112" s="69">
        <f t="shared" si="116"/>
        <v>0</v>
      </c>
      <c r="L2112" s="71"/>
      <c r="M2112" s="109"/>
      <c r="N2112" s="110">
        <v>0.9</v>
      </c>
    </row>
    <row r="2113" spans="1:14" ht="15" hidden="1" customHeight="1" thickBot="1" x14ac:dyDescent="0.35">
      <c r="A2113" s="25">
        <v>429</v>
      </c>
      <c r="B2113" s="15" t="s">
        <v>1451</v>
      </c>
      <c r="C2113" s="159" t="s">
        <v>1452</v>
      </c>
      <c r="D2113" s="14" t="s">
        <v>1105</v>
      </c>
      <c r="E2113" s="15" t="s">
        <v>504</v>
      </c>
      <c r="F2113" s="15">
        <v>1</v>
      </c>
      <c r="G2113" s="16">
        <f t="shared" si="118"/>
        <v>2160</v>
      </c>
      <c r="H2113" s="16">
        <v>2160</v>
      </c>
      <c r="I2113" s="16">
        <f t="shared" si="117"/>
        <v>0</v>
      </c>
      <c r="J2113" s="32">
        <v>2160</v>
      </c>
      <c r="K2113" s="69">
        <f t="shared" si="116"/>
        <v>0</v>
      </c>
      <c r="L2113" s="71"/>
      <c r="M2113" s="109"/>
      <c r="N2113" s="110">
        <v>0.9</v>
      </c>
    </row>
    <row r="2114" spans="1:14" ht="15" hidden="1" customHeight="1" thickBot="1" x14ac:dyDescent="0.35">
      <c r="A2114" s="25">
        <v>429</v>
      </c>
      <c r="B2114" s="15" t="s">
        <v>1451</v>
      </c>
      <c r="C2114" s="159" t="s">
        <v>1452</v>
      </c>
      <c r="D2114" s="14" t="s">
        <v>618</v>
      </c>
      <c r="E2114" s="15" t="s">
        <v>509</v>
      </c>
      <c r="F2114" s="15">
        <v>1</v>
      </c>
      <c r="G2114" s="16">
        <f t="shared" si="118"/>
        <v>2160</v>
      </c>
      <c r="H2114" s="16">
        <v>2160</v>
      </c>
      <c r="I2114" s="16">
        <f t="shared" si="117"/>
        <v>0</v>
      </c>
      <c r="J2114" s="32">
        <v>2160</v>
      </c>
      <c r="K2114" s="69">
        <f t="shared" si="116"/>
        <v>0</v>
      </c>
      <c r="L2114" s="71"/>
      <c r="M2114" s="109"/>
      <c r="N2114" s="110">
        <v>0.9</v>
      </c>
    </row>
    <row r="2115" spans="1:14" ht="15" hidden="1" customHeight="1" thickBot="1" x14ac:dyDescent="0.35">
      <c r="A2115" s="25">
        <v>429</v>
      </c>
      <c r="B2115" s="15" t="s">
        <v>1451</v>
      </c>
      <c r="C2115" s="159" t="s">
        <v>1452</v>
      </c>
      <c r="D2115" s="14" t="s">
        <v>980</v>
      </c>
      <c r="E2115" s="15" t="s">
        <v>503</v>
      </c>
      <c r="F2115" s="15">
        <v>2</v>
      </c>
      <c r="G2115" s="16">
        <f t="shared" si="118"/>
        <v>19350</v>
      </c>
      <c r="H2115" s="16">
        <v>19350</v>
      </c>
      <c r="I2115" s="16">
        <f t="shared" si="117"/>
        <v>0</v>
      </c>
      <c r="J2115" s="32">
        <v>19350</v>
      </c>
      <c r="K2115" s="69">
        <f t="shared" si="116"/>
        <v>0</v>
      </c>
      <c r="L2115" s="71"/>
      <c r="M2115" s="109"/>
      <c r="N2115" s="110">
        <v>0.9</v>
      </c>
    </row>
    <row r="2116" spans="1:14" ht="15" hidden="1" customHeight="1" thickBot="1" x14ac:dyDescent="0.35">
      <c r="A2116" s="25">
        <v>429</v>
      </c>
      <c r="B2116" s="15" t="s">
        <v>1451</v>
      </c>
      <c r="C2116" s="159" t="s">
        <v>1452</v>
      </c>
      <c r="D2116" s="14" t="s">
        <v>981</v>
      </c>
      <c r="E2116" s="15" t="s">
        <v>502</v>
      </c>
      <c r="F2116" s="15">
        <v>1</v>
      </c>
      <c r="G2116" s="16">
        <f t="shared" si="118"/>
        <v>2160</v>
      </c>
      <c r="H2116" s="16">
        <v>2160</v>
      </c>
      <c r="I2116" s="16">
        <f t="shared" si="117"/>
        <v>0</v>
      </c>
      <c r="J2116" s="32">
        <v>2160</v>
      </c>
      <c r="K2116" s="69">
        <f t="shared" si="116"/>
        <v>0</v>
      </c>
      <c r="L2116" s="71"/>
      <c r="M2116" s="109"/>
      <c r="N2116" s="110">
        <v>0.9</v>
      </c>
    </row>
    <row r="2117" spans="1:14" ht="15" hidden="1" customHeight="1" thickBot="1" x14ac:dyDescent="0.35">
      <c r="A2117" s="25">
        <v>429</v>
      </c>
      <c r="B2117" s="15" t="s">
        <v>1451</v>
      </c>
      <c r="C2117" s="159" t="s">
        <v>1452</v>
      </c>
      <c r="D2117" s="14" t="s">
        <v>1102</v>
      </c>
      <c r="E2117" s="15" t="s">
        <v>500</v>
      </c>
      <c r="F2117" s="15">
        <v>1</v>
      </c>
      <c r="G2117" s="16">
        <f t="shared" si="118"/>
        <v>20835</v>
      </c>
      <c r="H2117" s="16">
        <v>20835</v>
      </c>
      <c r="I2117" s="16">
        <f t="shared" si="117"/>
        <v>0</v>
      </c>
      <c r="J2117" s="32">
        <v>20835</v>
      </c>
      <c r="K2117" s="69">
        <f t="shared" si="116"/>
        <v>0</v>
      </c>
      <c r="L2117" s="71"/>
      <c r="M2117" s="109"/>
      <c r="N2117" s="110">
        <v>0.9</v>
      </c>
    </row>
    <row r="2118" spans="1:14" ht="15" hidden="1" customHeight="1" thickBot="1" x14ac:dyDescent="0.35">
      <c r="A2118" s="25">
        <v>430</v>
      </c>
      <c r="B2118" s="15" t="s">
        <v>1454</v>
      </c>
      <c r="C2118" s="159" t="s">
        <v>948</v>
      </c>
      <c r="D2118" s="14" t="s">
        <v>618</v>
      </c>
      <c r="E2118" s="15" t="s">
        <v>509</v>
      </c>
      <c r="F2118" s="15">
        <v>1</v>
      </c>
      <c r="G2118" s="16">
        <f t="shared" si="118"/>
        <v>23850</v>
      </c>
      <c r="H2118" s="16">
        <v>23850</v>
      </c>
      <c r="I2118" s="16">
        <f t="shared" si="117"/>
        <v>0</v>
      </c>
      <c r="J2118" s="32">
        <v>23850</v>
      </c>
      <c r="K2118" s="69">
        <f t="shared" si="116"/>
        <v>0</v>
      </c>
      <c r="L2118" s="71"/>
      <c r="M2118" s="109"/>
      <c r="N2118" s="110">
        <v>0.9</v>
      </c>
    </row>
    <row r="2119" spans="1:14" ht="15" hidden="1" customHeight="1" thickBot="1" x14ac:dyDescent="0.35">
      <c r="A2119" s="25">
        <v>430</v>
      </c>
      <c r="B2119" s="15" t="s">
        <v>1454</v>
      </c>
      <c r="C2119" s="159" t="s">
        <v>948</v>
      </c>
      <c r="D2119" s="14" t="s">
        <v>694</v>
      </c>
      <c r="E2119" s="15" t="s">
        <v>509</v>
      </c>
      <c r="F2119" s="15">
        <v>1</v>
      </c>
      <c r="G2119" s="16">
        <f t="shared" si="118"/>
        <v>23850</v>
      </c>
      <c r="H2119" s="16">
        <v>23850</v>
      </c>
      <c r="I2119" s="16">
        <f t="shared" si="117"/>
        <v>0</v>
      </c>
      <c r="J2119" s="32">
        <v>23850</v>
      </c>
      <c r="K2119" s="69">
        <f t="shared" si="116"/>
        <v>0</v>
      </c>
      <c r="L2119" s="71"/>
      <c r="M2119" s="109"/>
      <c r="N2119" s="110">
        <v>0.9</v>
      </c>
    </row>
    <row r="2120" spans="1:14" ht="15" hidden="1" customHeight="1" thickBot="1" x14ac:dyDescent="0.35">
      <c r="A2120" s="25">
        <v>430</v>
      </c>
      <c r="B2120" s="15" t="s">
        <v>1454</v>
      </c>
      <c r="C2120" s="159" t="s">
        <v>948</v>
      </c>
      <c r="D2120" s="14" t="s">
        <v>679</v>
      </c>
      <c r="E2120" s="15" t="s">
        <v>502</v>
      </c>
      <c r="F2120" s="15">
        <v>1</v>
      </c>
      <c r="G2120" s="16">
        <f t="shared" si="118"/>
        <v>23850</v>
      </c>
      <c r="H2120" s="16">
        <v>23850</v>
      </c>
      <c r="I2120" s="16">
        <f t="shared" si="117"/>
        <v>0</v>
      </c>
      <c r="J2120" s="32">
        <v>23850</v>
      </c>
      <c r="K2120" s="69">
        <f t="shared" si="116"/>
        <v>0</v>
      </c>
      <c r="L2120" s="71"/>
      <c r="M2120" s="109"/>
      <c r="N2120" s="110">
        <v>0.9</v>
      </c>
    </row>
    <row r="2121" spans="1:14" ht="15" hidden="1" customHeight="1" thickBot="1" x14ac:dyDescent="0.35">
      <c r="A2121" s="25">
        <v>430</v>
      </c>
      <c r="B2121" s="15" t="s">
        <v>1454</v>
      </c>
      <c r="C2121" s="159" t="s">
        <v>948</v>
      </c>
      <c r="D2121" s="14" t="s">
        <v>985</v>
      </c>
      <c r="E2121" s="15" t="s">
        <v>506</v>
      </c>
      <c r="F2121" s="15">
        <v>1</v>
      </c>
      <c r="G2121" s="16">
        <f t="shared" si="118"/>
        <v>23850</v>
      </c>
      <c r="H2121" s="16">
        <v>23850</v>
      </c>
      <c r="I2121" s="16">
        <f t="shared" si="117"/>
        <v>0</v>
      </c>
      <c r="J2121" s="32">
        <v>23850</v>
      </c>
      <c r="K2121" s="69">
        <f t="shared" si="116"/>
        <v>0</v>
      </c>
      <c r="L2121" s="71"/>
      <c r="M2121" s="109"/>
      <c r="N2121" s="110">
        <v>0.9</v>
      </c>
    </row>
    <row r="2122" spans="1:14" ht="15" hidden="1" customHeight="1" thickBot="1" x14ac:dyDescent="0.35">
      <c r="A2122" s="25">
        <v>430</v>
      </c>
      <c r="B2122" s="15" t="s">
        <v>1454</v>
      </c>
      <c r="C2122" s="159" t="s">
        <v>948</v>
      </c>
      <c r="D2122" s="14" t="s">
        <v>1043</v>
      </c>
      <c r="E2122" s="15" t="s">
        <v>500</v>
      </c>
      <c r="F2122" s="15">
        <v>1</v>
      </c>
      <c r="G2122" s="16">
        <f t="shared" si="118"/>
        <v>23850</v>
      </c>
      <c r="H2122" s="16">
        <v>23850</v>
      </c>
      <c r="I2122" s="16">
        <f t="shared" si="117"/>
        <v>0</v>
      </c>
      <c r="J2122" s="32">
        <v>23850</v>
      </c>
      <c r="K2122" s="69">
        <f t="shared" si="116"/>
        <v>0</v>
      </c>
      <c r="L2122" s="71"/>
      <c r="M2122" s="109"/>
      <c r="N2122" s="110">
        <v>0.9</v>
      </c>
    </row>
    <row r="2123" spans="1:14" ht="15" hidden="1" customHeight="1" thickBot="1" x14ac:dyDescent="0.35">
      <c r="A2123" s="25">
        <v>430</v>
      </c>
      <c r="B2123" s="15" t="s">
        <v>1454</v>
      </c>
      <c r="C2123" s="159" t="s">
        <v>948</v>
      </c>
      <c r="D2123" s="14" t="s">
        <v>1076</v>
      </c>
      <c r="E2123" s="15" t="s">
        <v>512</v>
      </c>
      <c r="F2123" s="15">
        <v>1</v>
      </c>
      <c r="G2123" s="16">
        <f t="shared" si="118"/>
        <v>23850</v>
      </c>
      <c r="H2123" s="16">
        <v>23850</v>
      </c>
      <c r="I2123" s="16">
        <f t="shared" si="117"/>
        <v>0</v>
      </c>
      <c r="J2123" s="32">
        <v>23850</v>
      </c>
      <c r="K2123" s="69">
        <f t="shared" si="116"/>
        <v>0</v>
      </c>
      <c r="L2123" s="71"/>
      <c r="M2123" s="109"/>
      <c r="N2123" s="110">
        <v>0.9</v>
      </c>
    </row>
    <row r="2124" spans="1:14" ht="15" hidden="1" customHeight="1" thickBot="1" x14ac:dyDescent="0.35">
      <c r="A2124" s="25">
        <v>430</v>
      </c>
      <c r="B2124" s="15" t="s">
        <v>1454</v>
      </c>
      <c r="C2124" s="159" t="s">
        <v>948</v>
      </c>
      <c r="D2124" s="14" t="s">
        <v>1001</v>
      </c>
      <c r="E2124" s="15" t="s">
        <v>504</v>
      </c>
      <c r="F2124" s="15">
        <v>1</v>
      </c>
      <c r="G2124" s="16">
        <f t="shared" si="118"/>
        <v>23850</v>
      </c>
      <c r="H2124" s="16">
        <v>23850</v>
      </c>
      <c r="I2124" s="16">
        <f t="shared" si="117"/>
        <v>0</v>
      </c>
      <c r="J2124" s="32">
        <v>23850</v>
      </c>
      <c r="K2124" s="69">
        <f t="shared" si="116"/>
        <v>0</v>
      </c>
      <c r="L2124" s="71"/>
      <c r="M2124" s="109"/>
      <c r="N2124" s="110">
        <v>0.9</v>
      </c>
    </row>
    <row r="2125" spans="1:14" ht="15" hidden="1" customHeight="1" thickBot="1" x14ac:dyDescent="0.35">
      <c r="A2125" s="25">
        <v>430</v>
      </c>
      <c r="B2125" s="15" t="s">
        <v>1454</v>
      </c>
      <c r="C2125" s="159" t="s">
        <v>948</v>
      </c>
      <c r="D2125" s="14" t="s">
        <v>980</v>
      </c>
      <c r="E2125" s="15" t="s">
        <v>503</v>
      </c>
      <c r="F2125" s="15">
        <v>1</v>
      </c>
      <c r="G2125" s="16">
        <f t="shared" si="118"/>
        <v>23850</v>
      </c>
      <c r="H2125" s="16">
        <v>23850</v>
      </c>
      <c r="I2125" s="16">
        <f t="shared" si="117"/>
        <v>0</v>
      </c>
      <c r="J2125" s="32">
        <v>23850</v>
      </c>
      <c r="K2125" s="69">
        <f t="shared" si="116"/>
        <v>0</v>
      </c>
      <c r="L2125" s="71"/>
      <c r="M2125" s="109"/>
      <c r="N2125" s="110">
        <v>0.9</v>
      </c>
    </row>
    <row r="2126" spans="1:14" ht="15" hidden="1" customHeight="1" thickBot="1" x14ac:dyDescent="0.35">
      <c r="A2126" s="25">
        <v>430</v>
      </c>
      <c r="B2126" s="15" t="s">
        <v>1454</v>
      </c>
      <c r="C2126" s="159" t="s">
        <v>948</v>
      </c>
      <c r="D2126" s="14" t="s">
        <v>981</v>
      </c>
      <c r="E2126" s="15" t="s">
        <v>502</v>
      </c>
      <c r="F2126" s="15">
        <v>1</v>
      </c>
      <c r="G2126" s="16">
        <f t="shared" si="118"/>
        <v>23850</v>
      </c>
      <c r="H2126" s="16">
        <v>23850</v>
      </c>
      <c r="I2126" s="16">
        <f t="shared" si="117"/>
        <v>0</v>
      </c>
      <c r="J2126" s="32">
        <v>23850</v>
      </c>
      <c r="K2126" s="69">
        <f t="shared" si="116"/>
        <v>0</v>
      </c>
      <c r="L2126" s="71"/>
      <c r="M2126" s="109"/>
      <c r="N2126" s="110">
        <v>0.9</v>
      </c>
    </row>
    <row r="2127" spans="1:14" ht="15" hidden="1" customHeight="1" thickBot="1" x14ac:dyDescent="0.35">
      <c r="A2127" s="25">
        <v>430</v>
      </c>
      <c r="B2127" s="15" t="s">
        <v>1454</v>
      </c>
      <c r="C2127" s="159" t="s">
        <v>948</v>
      </c>
      <c r="D2127" s="14" t="s">
        <v>1061</v>
      </c>
      <c r="E2127" s="15" t="s">
        <v>508</v>
      </c>
      <c r="F2127" s="15">
        <v>1</v>
      </c>
      <c r="G2127" s="16">
        <f t="shared" si="118"/>
        <v>33300</v>
      </c>
      <c r="H2127" s="16">
        <v>33300</v>
      </c>
      <c r="I2127" s="16">
        <f t="shared" si="117"/>
        <v>0</v>
      </c>
      <c r="J2127" s="32">
        <v>33300</v>
      </c>
      <c r="K2127" s="69">
        <f t="shared" si="116"/>
        <v>0</v>
      </c>
      <c r="L2127" s="71"/>
      <c r="M2127" s="109"/>
      <c r="N2127" s="110">
        <v>0.9</v>
      </c>
    </row>
    <row r="2128" spans="1:14" ht="15" hidden="1" customHeight="1" thickBot="1" x14ac:dyDescent="0.35">
      <c r="A2128" s="25">
        <v>430</v>
      </c>
      <c r="B2128" s="15" t="s">
        <v>1454</v>
      </c>
      <c r="C2128" s="159" t="s">
        <v>948</v>
      </c>
      <c r="D2128" s="14" t="s">
        <v>1102</v>
      </c>
      <c r="E2128" s="15" t="s">
        <v>500</v>
      </c>
      <c r="F2128" s="15">
        <v>1</v>
      </c>
      <c r="G2128" s="16">
        <f t="shared" si="118"/>
        <v>33300</v>
      </c>
      <c r="H2128" s="16">
        <v>33300</v>
      </c>
      <c r="I2128" s="16">
        <f t="shared" si="117"/>
        <v>0</v>
      </c>
      <c r="J2128" s="32">
        <v>33300</v>
      </c>
      <c r="K2128" s="69">
        <f t="shared" si="116"/>
        <v>0</v>
      </c>
      <c r="L2128" s="71"/>
      <c r="M2128" s="109"/>
      <c r="N2128" s="110">
        <v>0.9</v>
      </c>
    </row>
    <row r="2129" spans="1:15" ht="15" hidden="1" customHeight="1" thickBot="1" x14ac:dyDescent="0.35">
      <c r="A2129" s="25">
        <v>430</v>
      </c>
      <c r="B2129" s="15" t="s">
        <v>1454</v>
      </c>
      <c r="C2129" s="159" t="s">
        <v>948</v>
      </c>
      <c r="D2129" s="14" t="s">
        <v>1318</v>
      </c>
      <c r="E2129" s="15" t="s">
        <v>504</v>
      </c>
      <c r="F2129" s="15">
        <v>1</v>
      </c>
      <c r="G2129" s="16">
        <f t="shared" si="118"/>
        <v>23850</v>
      </c>
      <c r="H2129" s="16">
        <v>23850</v>
      </c>
      <c r="I2129" s="16">
        <f t="shared" si="117"/>
        <v>0</v>
      </c>
      <c r="J2129" s="32">
        <v>23850</v>
      </c>
      <c r="K2129" s="69">
        <f t="shared" si="116"/>
        <v>0</v>
      </c>
      <c r="L2129" s="71"/>
      <c r="M2129" s="109"/>
      <c r="N2129" s="110">
        <v>0.9</v>
      </c>
    </row>
    <row r="2130" spans="1:15" ht="15" hidden="1" customHeight="1" thickBot="1" x14ac:dyDescent="0.35">
      <c r="A2130" s="25">
        <v>430</v>
      </c>
      <c r="B2130" s="15" t="s">
        <v>1454</v>
      </c>
      <c r="C2130" s="159" t="s">
        <v>948</v>
      </c>
      <c r="D2130" s="14" t="s">
        <v>670</v>
      </c>
      <c r="E2130" s="15" t="s">
        <v>506</v>
      </c>
      <c r="F2130" s="15">
        <v>1</v>
      </c>
      <c r="G2130" s="16">
        <f t="shared" si="118"/>
        <v>33300</v>
      </c>
      <c r="H2130" s="16">
        <v>33300</v>
      </c>
      <c r="I2130" s="16">
        <f t="shared" si="117"/>
        <v>0</v>
      </c>
      <c r="J2130" s="32">
        <v>33300</v>
      </c>
      <c r="K2130" s="69">
        <f t="shared" si="116"/>
        <v>0</v>
      </c>
      <c r="L2130" s="71"/>
      <c r="M2130" s="109"/>
      <c r="N2130" s="110">
        <v>0.9</v>
      </c>
    </row>
    <row r="2131" spans="1:15" ht="15" hidden="1" customHeight="1" thickBot="1" x14ac:dyDescent="0.35">
      <c r="A2131" s="25">
        <v>431</v>
      </c>
      <c r="B2131" s="15" t="s">
        <v>1462</v>
      </c>
      <c r="C2131" s="159" t="s">
        <v>1463</v>
      </c>
      <c r="D2131" s="14" t="s">
        <v>1054</v>
      </c>
      <c r="E2131" s="15" t="s">
        <v>1054</v>
      </c>
      <c r="F2131" s="15">
        <v>15</v>
      </c>
      <c r="G2131" s="16">
        <f t="shared" si="118"/>
        <v>216435.21</v>
      </c>
      <c r="H2131" s="16">
        <v>233445.21</v>
      </c>
      <c r="I2131" s="16">
        <f t="shared" si="117"/>
        <v>0</v>
      </c>
      <c r="J2131" s="32">
        <v>233445.21</v>
      </c>
      <c r="K2131" s="69">
        <f t="shared" si="116"/>
        <v>0</v>
      </c>
      <c r="L2131" s="71">
        <v>17010</v>
      </c>
      <c r="M2131" s="109">
        <v>17010</v>
      </c>
      <c r="N2131" s="110">
        <v>0.9</v>
      </c>
    </row>
    <row r="2132" spans="1:15" ht="15" hidden="1" customHeight="1" thickBot="1" x14ac:dyDescent="0.35">
      <c r="A2132" s="25">
        <v>432</v>
      </c>
      <c r="B2132" s="15" t="s">
        <v>1469</v>
      </c>
      <c r="C2132" s="159" t="s">
        <v>1470</v>
      </c>
      <c r="D2132" s="14" t="s">
        <v>981</v>
      </c>
      <c r="E2132" s="15" t="s">
        <v>502</v>
      </c>
      <c r="F2132" s="15">
        <v>1</v>
      </c>
      <c r="G2132" s="16">
        <f t="shared" si="118"/>
        <v>5040</v>
      </c>
      <c r="H2132" s="16">
        <v>5040</v>
      </c>
      <c r="I2132" s="16">
        <f t="shared" si="117"/>
        <v>0</v>
      </c>
      <c r="J2132" s="32">
        <v>5040</v>
      </c>
      <c r="K2132" s="69">
        <f t="shared" si="116"/>
        <v>0</v>
      </c>
      <c r="L2132" s="71"/>
      <c r="M2132" s="109"/>
      <c r="N2132" s="110">
        <v>0.9</v>
      </c>
      <c r="O2132" s="156"/>
    </row>
    <row r="2133" spans="1:15" ht="15" hidden="1" customHeight="1" thickBot="1" x14ac:dyDescent="0.35">
      <c r="A2133" s="25">
        <v>432</v>
      </c>
      <c r="B2133" s="15" t="s">
        <v>1469</v>
      </c>
      <c r="C2133" s="159" t="s">
        <v>1471</v>
      </c>
      <c r="D2133" s="14" t="s">
        <v>981</v>
      </c>
      <c r="E2133" s="15" t="s">
        <v>502</v>
      </c>
      <c r="F2133" s="15">
        <v>1</v>
      </c>
      <c r="G2133" s="16">
        <f t="shared" si="118"/>
        <v>7695</v>
      </c>
      <c r="H2133" s="16">
        <v>7695</v>
      </c>
      <c r="I2133" s="16">
        <f t="shared" si="117"/>
        <v>0</v>
      </c>
      <c r="J2133" s="32">
        <v>7695</v>
      </c>
      <c r="K2133" s="69">
        <f t="shared" si="116"/>
        <v>0</v>
      </c>
      <c r="L2133" s="71"/>
      <c r="M2133" s="109"/>
      <c r="N2133" s="110">
        <v>0.9</v>
      </c>
    </row>
    <row r="2134" spans="1:15" ht="15" hidden="1" customHeight="1" thickBot="1" x14ac:dyDescent="0.35">
      <c r="A2134" s="25">
        <v>433</v>
      </c>
      <c r="B2134" s="15" t="s">
        <v>1474</v>
      </c>
      <c r="C2134" s="159" t="s">
        <v>1475</v>
      </c>
      <c r="D2134" s="14" t="s">
        <v>14</v>
      </c>
      <c r="E2134" s="15" t="s">
        <v>14</v>
      </c>
      <c r="F2134" s="15">
        <v>50</v>
      </c>
      <c r="G2134" s="16">
        <f t="shared" si="118"/>
        <v>1509926</v>
      </c>
      <c r="H2134" s="16">
        <v>1509926</v>
      </c>
      <c r="I2134" s="16">
        <f t="shared" si="117"/>
        <v>0</v>
      </c>
      <c r="J2134" s="32">
        <v>1509926</v>
      </c>
      <c r="K2134" s="69">
        <f t="shared" si="116"/>
        <v>0</v>
      </c>
      <c r="L2134" s="71"/>
      <c r="M2134" s="109"/>
      <c r="N2134" s="110">
        <v>1</v>
      </c>
    </row>
    <row r="2135" spans="1:15" ht="15" hidden="1" customHeight="1" thickBot="1" x14ac:dyDescent="0.35">
      <c r="A2135" s="25">
        <v>434</v>
      </c>
      <c r="B2135" s="15" t="s">
        <v>1702</v>
      </c>
      <c r="C2135" s="159" t="s">
        <v>891</v>
      </c>
      <c r="D2135" s="14" t="s">
        <v>1102</v>
      </c>
      <c r="E2135" s="15" t="s">
        <v>500</v>
      </c>
      <c r="F2135" s="15">
        <v>2</v>
      </c>
      <c r="G2135" s="16">
        <f t="shared" si="118"/>
        <v>61621.5</v>
      </c>
      <c r="H2135" s="16">
        <v>61621.5</v>
      </c>
      <c r="I2135" s="16">
        <f t="shared" si="117"/>
        <v>0</v>
      </c>
      <c r="J2135" s="32">
        <v>61621.5</v>
      </c>
      <c r="K2135" s="69">
        <f t="shared" si="116"/>
        <v>0</v>
      </c>
      <c r="L2135" s="71"/>
      <c r="M2135" s="109"/>
      <c r="N2135" s="110">
        <v>0.8</v>
      </c>
    </row>
    <row r="2136" spans="1:15" ht="15" hidden="1" customHeight="1" thickBot="1" x14ac:dyDescent="0.35">
      <c r="A2136" s="25">
        <v>435</v>
      </c>
      <c r="B2136" s="15" t="s">
        <v>1541</v>
      </c>
      <c r="C2136" s="159" t="s">
        <v>1542</v>
      </c>
      <c r="D2136" s="14" t="s">
        <v>638</v>
      </c>
      <c r="E2136" s="15" t="s">
        <v>504</v>
      </c>
      <c r="F2136" s="15">
        <v>1</v>
      </c>
      <c r="G2136" s="16">
        <f t="shared" si="118"/>
        <v>18423</v>
      </c>
      <c r="H2136" s="16">
        <v>18423</v>
      </c>
      <c r="I2136" s="16">
        <f t="shared" si="117"/>
        <v>0</v>
      </c>
      <c r="J2136" s="32">
        <v>18423</v>
      </c>
      <c r="K2136" s="69">
        <f t="shared" si="116"/>
        <v>0</v>
      </c>
      <c r="L2136" s="71"/>
      <c r="M2136" s="109"/>
      <c r="N2136" s="110">
        <v>1</v>
      </c>
    </row>
    <row r="2137" spans="1:15" ht="15" hidden="1" customHeight="1" thickBot="1" x14ac:dyDescent="0.35">
      <c r="A2137" s="25">
        <v>436</v>
      </c>
      <c r="B2137" s="15" t="s">
        <v>1547</v>
      </c>
      <c r="C2137" s="159" t="s">
        <v>1548</v>
      </c>
      <c r="D2137" s="14" t="s">
        <v>14</v>
      </c>
      <c r="E2137" s="15" t="s">
        <v>14</v>
      </c>
      <c r="F2137" s="15">
        <v>2</v>
      </c>
      <c r="G2137" s="16">
        <f t="shared" si="118"/>
        <v>209831</v>
      </c>
      <c r="H2137" s="16">
        <v>209831</v>
      </c>
      <c r="I2137" s="16">
        <f t="shared" si="117"/>
        <v>0</v>
      </c>
      <c r="J2137" s="32">
        <v>209831</v>
      </c>
      <c r="K2137" s="69">
        <f t="shared" si="116"/>
        <v>0</v>
      </c>
      <c r="L2137" s="71"/>
      <c r="M2137" s="109"/>
      <c r="N2137" s="110">
        <v>1</v>
      </c>
    </row>
    <row r="2138" spans="1:15" ht="15" hidden="1" customHeight="1" thickBot="1" x14ac:dyDescent="0.35">
      <c r="A2138" s="25">
        <v>437</v>
      </c>
      <c r="B2138" s="15" t="s">
        <v>1549</v>
      </c>
      <c r="C2138" s="159" t="s">
        <v>1550</v>
      </c>
      <c r="D2138" s="14" t="s">
        <v>14</v>
      </c>
      <c r="E2138" s="15" t="s">
        <v>14</v>
      </c>
      <c r="F2138" s="15">
        <v>1</v>
      </c>
      <c r="G2138" s="16">
        <f t="shared" si="118"/>
        <v>42250</v>
      </c>
      <c r="H2138" s="16">
        <v>42250</v>
      </c>
      <c r="I2138" s="16">
        <f t="shared" si="117"/>
        <v>0</v>
      </c>
      <c r="J2138" s="32">
        <v>42250</v>
      </c>
      <c r="K2138" s="69">
        <f t="shared" si="116"/>
        <v>0</v>
      </c>
      <c r="L2138" s="71"/>
      <c r="M2138" s="109"/>
      <c r="N2138" s="110">
        <v>1</v>
      </c>
    </row>
    <row r="2139" spans="1:15" ht="15" hidden="1" customHeight="1" thickBot="1" x14ac:dyDescent="0.35">
      <c r="A2139" s="25">
        <v>438</v>
      </c>
      <c r="B2139" s="15" t="s">
        <v>1188</v>
      </c>
      <c r="C2139" s="159" t="s">
        <v>986</v>
      </c>
      <c r="D2139" s="14" t="s">
        <v>638</v>
      </c>
      <c r="E2139" s="15" t="s">
        <v>504</v>
      </c>
      <c r="F2139" s="15">
        <v>2</v>
      </c>
      <c r="G2139" s="16">
        <f t="shared" si="118"/>
        <v>11202.3</v>
      </c>
      <c r="H2139" s="16">
        <v>11202.3</v>
      </c>
      <c r="I2139" s="16">
        <f t="shared" si="117"/>
        <v>0</v>
      </c>
      <c r="J2139" s="32">
        <v>11202.3</v>
      </c>
      <c r="K2139" s="69">
        <f t="shared" si="116"/>
        <v>0</v>
      </c>
      <c r="L2139" s="71"/>
      <c r="M2139" s="109"/>
      <c r="N2139" s="110">
        <v>0.9</v>
      </c>
    </row>
    <row r="2140" spans="1:15" ht="15" hidden="1" customHeight="1" thickBot="1" x14ac:dyDescent="0.35">
      <c r="A2140" s="25">
        <v>439</v>
      </c>
      <c r="B2140" s="15" t="s">
        <v>1556</v>
      </c>
      <c r="C2140" s="159" t="s">
        <v>891</v>
      </c>
      <c r="D2140" s="14" t="s">
        <v>981</v>
      </c>
      <c r="E2140" s="15" t="s">
        <v>502</v>
      </c>
      <c r="F2140" s="15">
        <v>2</v>
      </c>
      <c r="G2140" s="16">
        <f t="shared" si="118"/>
        <v>13000</v>
      </c>
      <c r="H2140" s="16">
        <v>13000</v>
      </c>
      <c r="I2140" s="16">
        <f t="shared" si="117"/>
        <v>0</v>
      </c>
      <c r="J2140" s="32">
        <v>13000</v>
      </c>
      <c r="K2140" s="69">
        <f t="shared" si="116"/>
        <v>0</v>
      </c>
      <c r="L2140" s="71"/>
      <c r="M2140" s="109"/>
      <c r="N2140" s="110">
        <v>1</v>
      </c>
    </row>
    <row r="2141" spans="1:15" ht="15" hidden="1" customHeight="1" thickBot="1" x14ac:dyDescent="0.35">
      <c r="A2141" s="25">
        <v>440</v>
      </c>
      <c r="B2141" s="15" t="s">
        <v>1075</v>
      </c>
      <c r="C2141" s="159" t="s">
        <v>940</v>
      </c>
      <c r="D2141" s="14" t="s">
        <v>1534</v>
      </c>
      <c r="E2141" s="15" t="s">
        <v>508</v>
      </c>
      <c r="F2141" s="15">
        <v>9</v>
      </c>
      <c r="G2141" s="16">
        <f t="shared" si="118"/>
        <v>48640</v>
      </c>
      <c r="H2141" s="16">
        <v>50000</v>
      </c>
      <c r="I2141" s="16">
        <f t="shared" si="117"/>
        <v>0</v>
      </c>
      <c r="J2141" s="32">
        <v>50000</v>
      </c>
      <c r="K2141" s="69">
        <f t="shared" si="116"/>
        <v>0</v>
      </c>
      <c r="L2141" s="71">
        <v>1360</v>
      </c>
      <c r="M2141" s="109">
        <v>1360</v>
      </c>
      <c r="N2141" s="110">
        <v>0.9</v>
      </c>
    </row>
    <row r="2142" spans="1:15" ht="15" hidden="1" customHeight="1" thickBot="1" x14ac:dyDescent="0.35">
      <c r="A2142" s="25">
        <v>440</v>
      </c>
      <c r="B2142" s="15" t="s">
        <v>1563</v>
      </c>
      <c r="C2142" s="159" t="s">
        <v>1564</v>
      </c>
      <c r="D2142" s="14" t="s">
        <v>981</v>
      </c>
      <c r="E2142" s="15" t="s">
        <v>502</v>
      </c>
      <c r="F2142" s="15">
        <v>2</v>
      </c>
      <c r="G2142" s="16">
        <f t="shared" si="118"/>
        <v>33765</v>
      </c>
      <c r="H2142" s="16">
        <v>36900</v>
      </c>
      <c r="I2142" s="16">
        <f t="shared" si="117"/>
        <v>0</v>
      </c>
      <c r="J2142" s="32">
        <v>36900</v>
      </c>
      <c r="K2142" s="69">
        <f t="shared" si="116"/>
        <v>0</v>
      </c>
      <c r="L2142" s="71">
        <v>3135</v>
      </c>
      <c r="M2142" s="109">
        <v>3135</v>
      </c>
      <c r="N2142" s="110">
        <v>0.9</v>
      </c>
    </row>
    <row r="2143" spans="1:15" ht="15" hidden="1" customHeight="1" thickBot="1" x14ac:dyDescent="0.35">
      <c r="A2143" s="25">
        <v>440</v>
      </c>
      <c r="B2143" s="15" t="s">
        <v>1563</v>
      </c>
      <c r="C2143" s="159" t="s">
        <v>1564</v>
      </c>
      <c r="D2143" s="14" t="s">
        <v>679</v>
      </c>
      <c r="E2143" s="15" t="s">
        <v>502</v>
      </c>
      <c r="F2143" s="15">
        <v>2</v>
      </c>
      <c r="G2143" s="16">
        <f t="shared" si="118"/>
        <v>33765</v>
      </c>
      <c r="H2143" s="16">
        <v>36900</v>
      </c>
      <c r="I2143" s="16">
        <f t="shared" si="117"/>
        <v>0</v>
      </c>
      <c r="J2143" s="32">
        <v>36900</v>
      </c>
      <c r="K2143" s="69">
        <f t="shared" si="116"/>
        <v>0</v>
      </c>
      <c r="L2143" s="71">
        <v>3135</v>
      </c>
      <c r="M2143" s="109">
        <v>3135</v>
      </c>
      <c r="N2143" s="110">
        <v>0.9</v>
      </c>
    </row>
    <row r="2144" spans="1:15" ht="15" hidden="1" customHeight="1" thickBot="1" x14ac:dyDescent="0.35">
      <c r="A2144" s="25">
        <v>440</v>
      </c>
      <c r="B2144" s="15" t="s">
        <v>1563</v>
      </c>
      <c r="C2144" s="159" t="s">
        <v>1564</v>
      </c>
      <c r="D2144" s="14" t="s">
        <v>1043</v>
      </c>
      <c r="E2144" s="15" t="s">
        <v>500</v>
      </c>
      <c r="F2144" s="15">
        <v>1</v>
      </c>
      <c r="G2144" s="16">
        <f t="shared" si="118"/>
        <v>34800</v>
      </c>
      <c r="H2144" s="16">
        <v>34800</v>
      </c>
      <c r="I2144" s="16">
        <f t="shared" si="117"/>
        <v>0</v>
      </c>
      <c r="J2144" s="32">
        <v>34800</v>
      </c>
      <c r="K2144" s="69">
        <f t="shared" si="116"/>
        <v>0</v>
      </c>
      <c r="L2144" s="71">
        <v>0</v>
      </c>
      <c r="M2144" s="109">
        <v>0</v>
      </c>
      <c r="N2144" s="110">
        <v>0.9</v>
      </c>
    </row>
    <row r="2145" spans="1:14" ht="15" hidden="1" customHeight="1" thickBot="1" x14ac:dyDescent="0.35">
      <c r="A2145" s="25">
        <v>440</v>
      </c>
      <c r="B2145" s="15" t="s">
        <v>1563</v>
      </c>
      <c r="C2145" s="159" t="s">
        <v>1564</v>
      </c>
      <c r="D2145" s="14" t="s">
        <v>1105</v>
      </c>
      <c r="E2145" s="15" t="s">
        <v>504</v>
      </c>
      <c r="F2145" s="15">
        <v>1</v>
      </c>
      <c r="G2145" s="16">
        <f t="shared" si="118"/>
        <v>34800</v>
      </c>
      <c r="H2145" s="16">
        <v>34800</v>
      </c>
      <c r="I2145" s="16">
        <f t="shared" si="117"/>
        <v>0</v>
      </c>
      <c r="J2145" s="32">
        <v>34800</v>
      </c>
      <c r="K2145" s="69">
        <f t="shared" si="116"/>
        <v>0</v>
      </c>
      <c r="L2145" s="71">
        <v>0</v>
      </c>
      <c r="M2145" s="109">
        <v>0</v>
      </c>
      <c r="N2145" s="110">
        <v>0.9</v>
      </c>
    </row>
    <row r="2146" spans="1:14" ht="15" hidden="1" customHeight="1" thickBot="1" x14ac:dyDescent="0.35">
      <c r="A2146" s="25">
        <v>440</v>
      </c>
      <c r="B2146" s="15" t="s">
        <v>1563</v>
      </c>
      <c r="C2146" s="159" t="s">
        <v>1564</v>
      </c>
      <c r="D2146" s="14" t="s">
        <v>694</v>
      </c>
      <c r="E2146" s="15" t="s">
        <v>509</v>
      </c>
      <c r="F2146" s="15">
        <v>1</v>
      </c>
      <c r="G2146" s="16">
        <f t="shared" si="118"/>
        <v>36900</v>
      </c>
      <c r="H2146" s="16">
        <v>36900</v>
      </c>
      <c r="I2146" s="16">
        <f t="shared" si="117"/>
        <v>0</v>
      </c>
      <c r="J2146" s="32">
        <v>36900</v>
      </c>
      <c r="K2146" s="69">
        <f t="shared" si="116"/>
        <v>0</v>
      </c>
      <c r="L2146" s="71">
        <v>0</v>
      </c>
      <c r="M2146" s="109">
        <v>0</v>
      </c>
      <c r="N2146" s="110">
        <v>0.9</v>
      </c>
    </row>
    <row r="2147" spans="1:14" ht="15" hidden="1" customHeight="1" thickBot="1" x14ac:dyDescent="0.35">
      <c r="A2147" s="25">
        <v>440</v>
      </c>
      <c r="B2147" s="15" t="s">
        <v>1563</v>
      </c>
      <c r="C2147" s="159" t="s">
        <v>1564</v>
      </c>
      <c r="D2147" s="14" t="s">
        <v>985</v>
      </c>
      <c r="E2147" s="15" t="s">
        <v>506</v>
      </c>
      <c r="F2147" s="15">
        <v>1</v>
      </c>
      <c r="G2147" s="16">
        <f t="shared" si="118"/>
        <v>36080</v>
      </c>
      <c r="H2147" s="16">
        <v>36080</v>
      </c>
      <c r="I2147" s="16">
        <f t="shared" si="117"/>
        <v>0</v>
      </c>
      <c r="J2147" s="32">
        <v>36080</v>
      </c>
      <c r="K2147" s="69">
        <f t="shared" si="116"/>
        <v>0</v>
      </c>
      <c r="L2147" s="71">
        <v>0</v>
      </c>
      <c r="M2147" s="109">
        <v>0</v>
      </c>
      <c r="N2147" s="110">
        <v>0.8</v>
      </c>
    </row>
    <row r="2148" spans="1:14" ht="15" hidden="1" customHeight="1" thickBot="1" x14ac:dyDescent="0.35">
      <c r="A2148" s="25">
        <v>440</v>
      </c>
      <c r="B2148" s="15" t="s">
        <v>1563</v>
      </c>
      <c r="C2148" s="159" t="s">
        <v>1564</v>
      </c>
      <c r="D2148" s="14" t="s">
        <v>1001</v>
      </c>
      <c r="E2148" s="15" t="s">
        <v>504</v>
      </c>
      <c r="F2148" s="15">
        <v>1</v>
      </c>
      <c r="G2148" s="16">
        <f t="shared" si="118"/>
        <v>41760</v>
      </c>
      <c r="H2148" s="16">
        <v>41760</v>
      </c>
      <c r="I2148" s="16">
        <f t="shared" si="117"/>
        <v>0</v>
      </c>
      <c r="J2148" s="32">
        <v>41760</v>
      </c>
      <c r="K2148" s="69">
        <f t="shared" si="116"/>
        <v>0</v>
      </c>
      <c r="L2148" s="71">
        <v>0</v>
      </c>
      <c r="M2148" s="109">
        <v>0</v>
      </c>
      <c r="N2148" s="110">
        <v>0.8</v>
      </c>
    </row>
    <row r="2149" spans="1:14" ht="15" hidden="1" customHeight="1" thickBot="1" x14ac:dyDescent="0.35">
      <c r="A2149" s="25">
        <v>440</v>
      </c>
      <c r="B2149" s="15" t="s">
        <v>1563</v>
      </c>
      <c r="C2149" s="159" t="s">
        <v>1564</v>
      </c>
      <c r="D2149" s="14" t="s">
        <v>980</v>
      </c>
      <c r="E2149" s="15" t="s">
        <v>504</v>
      </c>
      <c r="F2149" s="15">
        <v>1</v>
      </c>
      <c r="G2149" s="16">
        <f t="shared" si="118"/>
        <v>45240</v>
      </c>
      <c r="H2149" s="16">
        <v>45240</v>
      </c>
      <c r="I2149" s="16">
        <f t="shared" si="117"/>
        <v>0</v>
      </c>
      <c r="J2149" s="32">
        <v>45240</v>
      </c>
      <c r="K2149" s="69">
        <f t="shared" si="116"/>
        <v>0</v>
      </c>
      <c r="L2149" s="71">
        <v>0</v>
      </c>
      <c r="M2149" s="109">
        <v>0</v>
      </c>
      <c r="N2149" s="110">
        <v>0.8</v>
      </c>
    </row>
    <row r="2150" spans="1:14" ht="15" hidden="1" customHeight="1" thickBot="1" x14ac:dyDescent="0.35">
      <c r="A2150" s="25">
        <v>440</v>
      </c>
      <c r="B2150" s="15" t="s">
        <v>1563</v>
      </c>
      <c r="C2150" s="159" t="s">
        <v>1564</v>
      </c>
      <c r="D2150" s="14" t="s">
        <v>670</v>
      </c>
      <c r="E2150" s="15" t="s">
        <v>506</v>
      </c>
      <c r="F2150" s="15">
        <v>2</v>
      </c>
      <c r="G2150" s="16">
        <f t="shared" si="118"/>
        <v>47970</v>
      </c>
      <c r="H2150" s="16">
        <v>47970</v>
      </c>
      <c r="I2150" s="16">
        <f t="shared" si="117"/>
        <v>0</v>
      </c>
      <c r="J2150" s="32">
        <v>47970</v>
      </c>
      <c r="K2150" s="69">
        <f t="shared" si="116"/>
        <v>0</v>
      </c>
      <c r="L2150" s="71">
        <v>0</v>
      </c>
      <c r="M2150" s="109">
        <v>0</v>
      </c>
      <c r="N2150" s="110">
        <v>0.9</v>
      </c>
    </row>
    <row r="2151" spans="1:14" ht="15" hidden="1" customHeight="1" thickBot="1" x14ac:dyDescent="0.35">
      <c r="A2151" s="25">
        <v>440</v>
      </c>
      <c r="B2151" s="15" t="s">
        <v>1563</v>
      </c>
      <c r="C2151" s="159" t="s">
        <v>1564</v>
      </c>
      <c r="D2151" s="14" t="s">
        <v>1061</v>
      </c>
      <c r="E2151" s="15" t="s">
        <v>508</v>
      </c>
      <c r="F2151" s="15">
        <v>1</v>
      </c>
      <c r="G2151" s="16">
        <f t="shared" si="118"/>
        <v>45240</v>
      </c>
      <c r="H2151" s="16">
        <v>45240</v>
      </c>
      <c r="I2151" s="16">
        <f t="shared" si="117"/>
        <v>0</v>
      </c>
      <c r="J2151" s="32">
        <v>45240</v>
      </c>
      <c r="K2151" s="69">
        <f t="shared" si="116"/>
        <v>0</v>
      </c>
      <c r="L2151" s="71">
        <v>0</v>
      </c>
      <c r="M2151" s="109">
        <v>0</v>
      </c>
      <c r="N2151" s="110">
        <v>0.9</v>
      </c>
    </row>
    <row r="2152" spans="1:14" ht="15" hidden="1" customHeight="1" thickBot="1" x14ac:dyDescent="0.35">
      <c r="A2152" s="25">
        <v>440</v>
      </c>
      <c r="B2152" s="15" t="s">
        <v>1563</v>
      </c>
      <c r="C2152" s="159" t="s">
        <v>1564</v>
      </c>
      <c r="D2152" s="14" t="s">
        <v>1102</v>
      </c>
      <c r="E2152" s="15" t="s">
        <v>500</v>
      </c>
      <c r="F2152" s="15">
        <v>2</v>
      </c>
      <c r="G2152" s="16">
        <f t="shared" si="118"/>
        <v>38280</v>
      </c>
      <c r="H2152" s="16">
        <v>38280</v>
      </c>
      <c r="I2152" s="16">
        <f t="shared" si="117"/>
        <v>0</v>
      </c>
      <c r="J2152" s="32">
        <v>38280</v>
      </c>
      <c r="K2152" s="69">
        <f t="shared" si="116"/>
        <v>0</v>
      </c>
      <c r="L2152" s="71">
        <v>0</v>
      </c>
      <c r="M2152" s="109">
        <v>0</v>
      </c>
      <c r="N2152" s="110">
        <v>0.9</v>
      </c>
    </row>
    <row r="2153" spans="1:14" ht="15" hidden="1" customHeight="1" thickBot="1" x14ac:dyDescent="0.35">
      <c r="A2153" s="25">
        <v>440</v>
      </c>
      <c r="B2153" s="15" t="s">
        <v>1563</v>
      </c>
      <c r="C2153" s="159" t="s">
        <v>1564</v>
      </c>
      <c r="D2153" s="14" t="s">
        <v>618</v>
      </c>
      <c r="E2153" s="15" t="s">
        <v>509</v>
      </c>
      <c r="F2153" s="15">
        <v>1</v>
      </c>
      <c r="G2153" s="16">
        <f t="shared" ref="G2153" si="119">H2153-M2153</f>
        <v>36900</v>
      </c>
      <c r="H2153" s="16">
        <v>36900</v>
      </c>
      <c r="I2153" s="16">
        <f t="shared" ref="I2153" si="120">J2153-H2153</f>
        <v>0</v>
      </c>
      <c r="J2153" s="32">
        <v>36900</v>
      </c>
      <c r="K2153" s="69">
        <f t="shared" ref="K2153" si="121">M2153-L2153</f>
        <v>0</v>
      </c>
      <c r="L2153" s="71">
        <v>0</v>
      </c>
      <c r="M2153" s="109">
        <v>0</v>
      </c>
      <c r="N2153" s="110">
        <v>0.9</v>
      </c>
    </row>
    <row r="2154" spans="1:14" ht="15" hidden="1" customHeight="1" thickBot="1" x14ac:dyDescent="0.35">
      <c r="A2154" s="25">
        <v>440</v>
      </c>
      <c r="B2154" s="15" t="s">
        <v>1563</v>
      </c>
      <c r="C2154" s="159" t="s">
        <v>1564</v>
      </c>
      <c r="D2154" s="14" t="s">
        <v>1076</v>
      </c>
      <c r="E2154" s="15" t="s">
        <v>512</v>
      </c>
      <c r="F2154" s="15">
        <v>1</v>
      </c>
      <c r="G2154" s="16">
        <f t="shared" si="118"/>
        <v>45240</v>
      </c>
      <c r="H2154" s="16">
        <v>45240</v>
      </c>
      <c r="I2154" s="16">
        <f t="shared" si="117"/>
        <v>0</v>
      </c>
      <c r="J2154" s="32">
        <v>45240</v>
      </c>
      <c r="K2154" s="69">
        <f t="shared" si="116"/>
        <v>0</v>
      </c>
      <c r="L2154" s="71">
        <v>0</v>
      </c>
      <c r="M2154" s="109">
        <v>0</v>
      </c>
      <c r="N2154" s="110">
        <v>0.8</v>
      </c>
    </row>
    <row r="2155" spans="1:14" ht="15" hidden="1" customHeight="1" thickBot="1" x14ac:dyDescent="0.35">
      <c r="A2155" s="25">
        <v>441</v>
      </c>
      <c r="B2155" s="15" t="s">
        <v>1569</v>
      </c>
      <c r="C2155" s="159" t="s">
        <v>1282</v>
      </c>
      <c r="D2155" s="14" t="s">
        <v>14</v>
      </c>
      <c r="E2155" s="15" t="s">
        <v>14</v>
      </c>
      <c r="F2155" s="15">
        <v>8</v>
      </c>
      <c r="G2155" s="16">
        <f t="shared" si="118"/>
        <v>2677949.6</v>
      </c>
      <c r="H2155" s="16">
        <v>2677949.6</v>
      </c>
      <c r="I2155" s="16">
        <f t="shared" si="117"/>
        <v>0</v>
      </c>
      <c r="J2155" s="32">
        <v>2677949.6</v>
      </c>
      <c r="K2155" s="69">
        <f t="shared" si="116"/>
        <v>0</v>
      </c>
      <c r="L2155" s="71">
        <v>0</v>
      </c>
      <c r="M2155" s="109">
        <v>0</v>
      </c>
      <c r="N2155" s="110">
        <v>1</v>
      </c>
    </row>
    <row r="2156" spans="1:14" ht="15" hidden="1" customHeight="1" thickBot="1" x14ac:dyDescent="0.35">
      <c r="A2156" s="25">
        <v>442</v>
      </c>
      <c r="B2156" s="15" t="s">
        <v>1571</v>
      </c>
      <c r="C2156" s="159" t="s">
        <v>648</v>
      </c>
      <c r="D2156" s="14" t="s">
        <v>694</v>
      </c>
      <c r="E2156" s="15" t="s">
        <v>509</v>
      </c>
      <c r="F2156" s="15">
        <v>1</v>
      </c>
      <c r="G2156" s="16">
        <f t="shared" si="118"/>
        <v>6555</v>
      </c>
      <c r="H2156" s="16">
        <v>6555</v>
      </c>
      <c r="I2156" s="16">
        <f t="shared" si="117"/>
        <v>0</v>
      </c>
      <c r="J2156" s="32">
        <v>6555</v>
      </c>
      <c r="K2156" s="69">
        <f t="shared" si="116"/>
        <v>0</v>
      </c>
      <c r="L2156" s="71">
        <v>0</v>
      </c>
      <c r="M2156" s="109">
        <v>0</v>
      </c>
      <c r="N2156" s="110">
        <v>0.95</v>
      </c>
    </row>
    <row r="2157" spans="1:14" ht="15" hidden="1" customHeight="1" thickBot="1" x14ac:dyDescent="0.35">
      <c r="A2157" s="25">
        <v>443</v>
      </c>
      <c r="B2157" s="15" t="s">
        <v>1574</v>
      </c>
      <c r="C2157" s="159" t="s">
        <v>1424</v>
      </c>
      <c r="D2157" s="14" t="s">
        <v>1105</v>
      </c>
      <c r="E2157" s="15" t="s">
        <v>504</v>
      </c>
      <c r="F2157" s="15">
        <v>8</v>
      </c>
      <c r="G2157" s="16">
        <f t="shared" si="118"/>
        <v>41148</v>
      </c>
      <c r="H2157" s="16">
        <v>44268</v>
      </c>
      <c r="I2157" s="16">
        <f t="shared" si="117"/>
        <v>0</v>
      </c>
      <c r="J2157" s="32">
        <v>44268</v>
      </c>
      <c r="K2157" s="69">
        <f t="shared" si="116"/>
        <v>0</v>
      </c>
      <c r="L2157" s="71">
        <v>3120</v>
      </c>
      <c r="M2157" s="109">
        <v>3120</v>
      </c>
      <c r="N2157" s="110">
        <v>0.65</v>
      </c>
    </row>
    <row r="2158" spans="1:14" ht="15" hidden="1" customHeight="1" thickBot="1" x14ac:dyDescent="0.35">
      <c r="A2158" s="25">
        <v>443</v>
      </c>
      <c r="B2158" s="15" t="s">
        <v>1574</v>
      </c>
      <c r="C2158" s="159" t="s">
        <v>1424</v>
      </c>
      <c r="D2158" s="14" t="s">
        <v>1178</v>
      </c>
      <c r="E2158" s="15" t="s">
        <v>504</v>
      </c>
      <c r="F2158" s="15">
        <v>3</v>
      </c>
      <c r="G2158" s="16">
        <f t="shared" si="118"/>
        <v>1545</v>
      </c>
      <c r="H2158" s="16">
        <v>1545</v>
      </c>
      <c r="I2158" s="16">
        <f t="shared" si="117"/>
        <v>0</v>
      </c>
      <c r="J2158" s="32">
        <v>1545</v>
      </c>
      <c r="K2158" s="69">
        <f t="shared" si="116"/>
        <v>0</v>
      </c>
      <c r="L2158" s="71">
        <v>0</v>
      </c>
      <c r="M2158" s="109">
        <v>0</v>
      </c>
      <c r="N2158" s="110">
        <v>0.5</v>
      </c>
    </row>
    <row r="2159" spans="1:14" ht="15" hidden="1" customHeight="1" thickBot="1" x14ac:dyDescent="0.35">
      <c r="A2159" s="25">
        <v>443</v>
      </c>
      <c r="B2159" s="15" t="s">
        <v>1574</v>
      </c>
      <c r="C2159" s="159" t="s">
        <v>1424</v>
      </c>
      <c r="D2159" s="14" t="s">
        <v>1777</v>
      </c>
      <c r="E2159" s="15" t="s">
        <v>504</v>
      </c>
      <c r="F2159" s="15">
        <v>3</v>
      </c>
      <c r="G2159" s="16">
        <f t="shared" si="118"/>
        <v>15915</v>
      </c>
      <c r="H2159" s="16">
        <v>15915</v>
      </c>
      <c r="I2159" s="16">
        <f t="shared" si="117"/>
        <v>0</v>
      </c>
      <c r="J2159" s="32">
        <v>15915</v>
      </c>
      <c r="K2159" s="69">
        <f t="shared" ref="K2159:K2202" si="122">M2159-L2159</f>
        <v>0</v>
      </c>
      <c r="L2159" s="71">
        <v>0</v>
      </c>
      <c r="M2159" s="109">
        <v>0</v>
      </c>
      <c r="N2159" s="110" t="s">
        <v>1794</v>
      </c>
    </row>
    <row r="2160" spans="1:14" ht="15" hidden="1" customHeight="1" thickBot="1" x14ac:dyDescent="0.35">
      <c r="A2160" s="25">
        <v>443</v>
      </c>
      <c r="B2160" s="15" t="s">
        <v>1574</v>
      </c>
      <c r="C2160" s="159" t="s">
        <v>1424</v>
      </c>
      <c r="D2160" s="14" t="s">
        <v>1779</v>
      </c>
      <c r="E2160" s="15" t="s">
        <v>500</v>
      </c>
      <c r="F2160" s="15">
        <v>1</v>
      </c>
      <c r="G2160" s="16">
        <f t="shared" si="118"/>
        <v>1500</v>
      </c>
      <c r="H2160" s="16">
        <v>1500</v>
      </c>
      <c r="I2160" s="16">
        <f t="shared" ref="I2160:I2202" si="123">J2160-H2160</f>
        <v>0</v>
      </c>
      <c r="J2160" s="32">
        <v>1500</v>
      </c>
      <c r="K2160" s="69">
        <f t="shared" si="122"/>
        <v>0</v>
      </c>
      <c r="L2160" s="71">
        <v>0</v>
      </c>
      <c r="M2160" s="109">
        <v>0</v>
      </c>
      <c r="N2160" s="110">
        <v>0.2</v>
      </c>
    </row>
    <row r="2161" spans="1:14" ht="15" hidden="1" customHeight="1" thickBot="1" x14ac:dyDescent="0.35">
      <c r="A2161" s="25">
        <v>443</v>
      </c>
      <c r="B2161" s="15" t="s">
        <v>1575</v>
      </c>
      <c r="C2161" s="159" t="s">
        <v>891</v>
      </c>
      <c r="D2161" s="14" t="s">
        <v>679</v>
      </c>
      <c r="E2161" s="15" t="s">
        <v>502</v>
      </c>
      <c r="F2161" s="15">
        <v>1</v>
      </c>
      <c r="G2161" s="16">
        <f t="shared" ref="G2161:G2202" si="124">H2161-M2161</f>
        <v>17280</v>
      </c>
      <c r="H2161" s="16">
        <v>17280</v>
      </c>
      <c r="I2161" s="16">
        <f t="shared" si="123"/>
        <v>0</v>
      </c>
      <c r="J2161" s="32">
        <v>17280</v>
      </c>
      <c r="K2161" s="69">
        <f t="shared" si="122"/>
        <v>0</v>
      </c>
      <c r="L2161" s="71">
        <v>0</v>
      </c>
      <c r="M2161" s="109">
        <v>0</v>
      </c>
      <c r="N2161" s="110">
        <v>0.8</v>
      </c>
    </row>
    <row r="2162" spans="1:14" ht="15" hidden="1" customHeight="1" thickBot="1" x14ac:dyDescent="0.35">
      <c r="A2162" s="25">
        <v>443</v>
      </c>
      <c r="B2162" s="15" t="s">
        <v>1575</v>
      </c>
      <c r="C2162" s="159" t="s">
        <v>891</v>
      </c>
      <c r="D2162" s="14" t="s">
        <v>981</v>
      </c>
      <c r="E2162" s="15" t="s">
        <v>502</v>
      </c>
      <c r="F2162" s="15">
        <v>1</v>
      </c>
      <c r="G2162" s="16">
        <f t="shared" si="124"/>
        <v>155510</v>
      </c>
      <c r="H2162" s="16">
        <v>155510</v>
      </c>
      <c r="I2162" s="16">
        <f t="shared" si="123"/>
        <v>0</v>
      </c>
      <c r="J2162" s="32">
        <v>155510</v>
      </c>
      <c r="K2162" s="69">
        <f t="shared" si="122"/>
        <v>0</v>
      </c>
      <c r="L2162" s="71">
        <v>0</v>
      </c>
      <c r="M2162" s="109">
        <v>0</v>
      </c>
      <c r="N2162" s="110">
        <v>0.8</v>
      </c>
    </row>
    <row r="2163" spans="1:14" ht="15" hidden="1" customHeight="1" thickBot="1" x14ac:dyDescent="0.35">
      <c r="A2163" s="25">
        <v>444</v>
      </c>
      <c r="B2163" s="15" t="s">
        <v>1579</v>
      </c>
      <c r="C2163" s="159" t="s">
        <v>550</v>
      </c>
      <c r="D2163" s="14" t="s">
        <v>184</v>
      </c>
      <c r="E2163" s="15" t="s">
        <v>14</v>
      </c>
      <c r="F2163" s="15">
        <v>1</v>
      </c>
      <c r="G2163" s="16">
        <f t="shared" si="124"/>
        <v>35543</v>
      </c>
      <c r="H2163" s="16">
        <v>37853</v>
      </c>
      <c r="I2163" s="16">
        <f t="shared" si="123"/>
        <v>0</v>
      </c>
      <c r="J2163" s="32">
        <v>37853</v>
      </c>
      <c r="K2163" s="69">
        <f t="shared" si="122"/>
        <v>0</v>
      </c>
      <c r="L2163" s="71">
        <v>2310</v>
      </c>
      <c r="M2163" s="109">
        <v>2310</v>
      </c>
      <c r="N2163" s="110">
        <v>0.8</v>
      </c>
    </row>
    <row r="2164" spans="1:14" ht="15" hidden="1" customHeight="1" thickBot="1" x14ac:dyDescent="0.35">
      <c r="A2164" s="25">
        <v>445</v>
      </c>
      <c r="B2164" s="15" t="s">
        <v>1680</v>
      </c>
      <c r="C2164" s="159" t="s">
        <v>1424</v>
      </c>
      <c r="D2164" s="14" t="s">
        <v>1043</v>
      </c>
      <c r="E2164" s="15" t="s">
        <v>500</v>
      </c>
      <c r="F2164" s="15">
        <v>9</v>
      </c>
      <c r="G2164" s="16">
        <f t="shared" si="124"/>
        <v>44269</v>
      </c>
      <c r="H2164" s="16">
        <v>44909</v>
      </c>
      <c r="I2164" s="16">
        <f t="shared" si="123"/>
        <v>0</v>
      </c>
      <c r="J2164" s="32">
        <v>44909</v>
      </c>
      <c r="K2164" s="69">
        <f t="shared" si="122"/>
        <v>0</v>
      </c>
      <c r="L2164" s="71">
        <v>640</v>
      </c>
      <c r="M2164" s="109">
        <v>640</v>
      </c>
      <c r="N2164" s="110">
        <v>0.75</v>
      </c>
    </row>
    <row r="2165" spans="1:14" ht="15" hidden="1" customHeight="1" thickBot="1" x14ac:dyDescent="0.35">
      <c r="A2165" s="25">
        <v>445</v>
      </c>
      <c r="B2165" s="15" t="s">
        <v>1680</v>
      </c>
      <c r="C2165" s="159" t="s">
        <v>1424</v>
      </c>
      <c r="D2165" s="14" t="s">
        <v>1228</v>
      </c>
      <c r="E2165" s="15" t="s">
        <v>500</v>
      </c>
      <c r="F2165" s="15">
        <v>2</v>
      </c>
      <c r="G2165" s="16">
        <f t="shared" si="124"/>
        <v>1460</v>
      </c>
      <c r="H2165" s="16">
        <v>1460</v>
      </c>
      <c r="I2165" s="16">
        <f t="shared" si="123"/>
        <v>0</v>
      </c>
      <c r="J2165" s="32">
        <v>1460</v>
      </c>
      <c r="K2165" s="69">
        <f t="shared" si="122"/>
        <v>0</v>
      </c>
      <c r="L2165" s="71">
        <v>0</v>
      </c>
      <c r="M2165" s="109">
        <v>0</v>
      </c>
      <c r="N2165" s="110">
        <v>0.75</v>
      </c>
    </row>
    <row r="2166" spans="1:14" ht="15" hidden="1" customHeight="1" thickBot="1" x14ac:dyDescent="0.35">
      <c r="A2166" s="25">
        <v>446</v>
      </c>
      <c r="B2166" s="15" t="s">
        <v>1681</v>
      </c>
      <c r="C2166" s="159" t="s">
        <v>602</v>
      </c>
      <c r="D2166" s="14" t="s">
        <v>679</v>
      </c>
      <c r="E2166" s="15" t="s">
        <v>502</v>
      </c>
      <c r="F2166" s="15">
        <v>3</v>
      </c>
      <c r="G2166" s="16">
        <f t="shared" si="124"/>
        <v>6000</v>
      </c>
      <c r="H2166" s="16">
        <v>6000</v>
      </c>
      <c r="I2166" s="16">
        <f t="shared" si="123"/>
        <v>0</v>
      </c>
      <c r="J2166" s="32">
        <v>6000</v>
      </c>
      <c r="K2166" s="69">
        <f t="shared" si="122"/>
        <v>0</v>
      </c>
      <c r="L2166" s="71">
        <v>0</v>
      </c>
      <c r="M2166" s="109">
        <v>0</v>
      </c>
      <c r="N2166" s="110">
        <v>0.6</v>
      </c>
    </row>
    <row r="2167" spans="1:14" ht="15" hidden="1" customHeight="1" thickBot="1" x14ac:dyDescent="0.35">
      <c r="A2167" s="25">
        <v>447</v>
      </c>
      <c r="B2167" s="15" t="s">
        <v>1687</v>
      </c>
      <c r="C2167" s="223" t="s">
        <v>1688</v>
      </c>
      <c r="D2167" s="14" t="s">
        <v>1054</v>
      </c>
      <c r="E2167" s="15" t="s">
        <v>1054</v>
      </c>
      <c r="F2167" s="15">
        <v>8</v>
      </c>
      <c r="G2167" s="16">
        <f t="shared" si="124"/>
        <v>126880</v>
      </c>
      <c r="H2167" s="16">
        <v>129280</v>
      </c>
      <c r="I2167" s="16">
        <f t="shared" si="123"/>
        <v>0</v>
      </c>
      <c r="J2167" s="32">
        <v>129280</v>
      </c>
      <c r="K2167" s="69">
        <f t="shared" si="122"/>
        <v>0</v>
      </c>
      <c r="L2167" s="71">
        <v>2400</v>
      </c>
      <c r="M2167" s="109">
        <v>2400</v>
      </c>
      <c r="N2167" s="110" t="s">
        <v>1387</v>
      </c>
    </row>
    <row r="2168" spans="1:14" ht="15" hidden="1" customHeight="1" thickBot="1" x14ac:dyDescent="0.35">
      <c r="A2168" s="25">
        <v>448</v>
      </c>
      <c r="B2168" s="15" t="s">
        <v>1703</v>
      </c>
      <c r="C2168" s="223" t="s">
        <v>1704</v>
      </c>
      <c r="D2168" s="14" t="s">
        <v>679</v>
      </c>
      <c r="E2168" s="15" t="s">
        <v>502</v>
      </c>
      <c r="F2168" s="15">
        <v>2</v>
      </c>
      <c r="G2168" s="16">
        <f t="shared" si="124"/>
        <v>83840</v>
      </c>
      <c r="H2168" s="16">
        <v>83840</v>
      </c>
      <c r="I2168" s="16">
        <f t="shared" si="123"/>
        <v>0</v>
      </c>
      <c r="J2168" s="32">
        <v>83840</v>
      </c>
      <c r="K2168" s="69">
        <f t="shared" si="122"/>
        <v>0</v>
      </c>
      <c r="L2168" s="71"/>
      <c r="M2168" s="109"/>
      <c r="N2168" s="110">
        <v>0.9</v>
      </c>
    </row>
    <row r="2169" spans="1:14" ht="15" hidden="1" customHeight="1" thickBot="1" x14ac:dyDescent="0.35">
      <c r="A2169" s="25">
        <v>448</v>
      </c>
      <c r="B2169" s="15" t="s">
        <v>1703</v>
      </c>
      <c r="C2169" s="223" t="s">
        <v>1704</v>
      </c>
      <c r="D2169" s="14" t="s">
        <v>618</v>
      </c>
      <c r="E2169" s="15" t="s">
        <v>509</v>
      </c>
      <c r="F2169" s="15">
        <v>1</v>
      </c>
      <c r="G2169" s="16">
        <f t="shared" si="124"/>
        <v>97634</v>
      </c>
      <c r="H2169" s="16">
        <v>97634</v>
      </c>
      <c r="I2169" s="16">
        <f t="shared" si="123"/>
        <v>0</v>
      </c>
      <c r="J2169" s="32">
        <v>97634</v>
      </c>
      <c r="K2169" s="69">
        <f t="shared" si="122"/>
        <v>0</v>
      </c>
      <c r="L2169" s="71"/>
      <c r="M2169" s="109"/>
      <c r="N2169" s="110">
        <v>0.9</v>
      </c>
    </row>
    <row r="2170" spans="1:14" ht="15" hidden="1" customHeight="1" thickBot="1" x14ac:dyDescent="0.35">
      <c r="A2170" s="25">
        <v>448</v>
      </c>
      <c r="B2170" s="15" t="s">
        <v>1703</v>
      </c>
      <c r="C2170" s="223" t="s">
        <v>1704</v>
      </c>
      <c r="D2170" s="14" t="s">
        <v>694</v>
      </c>
      <c r="E2170" s="15" t="s">
        <v>509</v>
      </c>
      <c r="F2170" s="15">
        <v>2</v>
      </c>
      <c r="G2170" s="16">
        <f t="shared" si="124"/>
        <v>98325</v>
      </c>
      <c r="H2170" s="16">
        <v>98325</v>
      </c>
      <c r="I2170" s="16">
        <f t="shared" si="123"/>
        <v>0</v>
      </c>
      <c r="J2170" s="32">
        <v>98325</v>
      </c>
      <c r="K2170" s="69">
        <f t="shared" si="122"/>
        <v>0</v>
      </c>
      <c r="L2170" s="71"/>
      <c r="M2170" s="109"/>
      <c r="N2170" s="110">
        <v>0.9</v>
      </c>
    </row>
    <row r="2171" spans="1:14" ht="15" hidden="1" customHeight="1" thickBot="1" x14ac:dyDescent="0.35">
      <c r="A2171" s="25">
        <v>448</v>
      </c>
      <c r="B2171" s="15" t="s">
        <v>1703</v>
      </c>
      <c r="C2171" s="223" t="s">
        <v>1704</v>
      </c>
      <c r="D2171" s="14" t="s">
        <v>981</v>
      </c>
      <c r="E2171" s="15" t="s">
        <v>502</v>
      </c>
      <c r="F2171" s="15">
        <v>2</v>
      </c>
      <c r="G2171" s="16">
        <f t="shared" si="124"/>
        <v>87479</v>
      </c>
      <c r="H2171" s="16">
        <v>87479</v>
      </c>
      <c r="I2171" s="16">
        <f t="shared" si="123"/>
        <v>0</v>
      </c>
      <c r="J2171" s="32">
        <v>87479</v>
      </c>
      <c r="K2171" s="69">
        <f t="shared" si="122"/>
        <v>0</v>
      </c>
      <c r="L2171" s="71"/>
      <c r="M2171" s="109"/>
      <c r="N2171" s="110">
        <v>0.9</v>
      </c>
    </row>
    <row r="2172" spans="1:14" ht="15" hidden="1" customHeight="1" thickBot="1" x14ac:dyDescent="0.35">
      <c r="A2172" s="25">
        <v>448</v>
      </c>
      <c r="B2172" s="15" t="s">
        <v>1703</v>
      </c>
      <c r="C2172" s="223" t="s">
        <v>1704</v>
      </c>
      <c r="D2172" s="14" t="s">
        <v>670</v>
      </c>
      <c r="E2172" s="15" t="s">
        <v>506</v>
      </c>
      <c r="F2172" s="15">
        <v>1</v>
      </c>
      <c r="G2172" s="16">
        <f t="shared" si="124"/>
        <v>127787</v>
      </c>
      <c r="H2172" s="16">
        <v>127787</v>
      </c>
      <c r="I2172" s="16">
        <f t="shared" si="123"/>
        <v>0</v>
      </c>
      <c r="J2172" s="32">
        <v>127787</v>
      </c>
      <c r="K2172" s="69">
        <f t="shared" si="122"/>
        <v>0</v>
      </c>
      <c r="L2172" s="71"/>
      <c r="M2172" s="109"/>
      <c r="N2172" s="110">
        <v>0.9</v>
      </c>
    </row>
    <row r="2173" spans="1:14" ht="15" hidden="1" customHeight="1" thickBot="1" x14ac:dyDescent="0.35">
      <c r="A2173" s="25">
        <v>448</v>
      </c>
      <c r="B2173" s="15" t="s">
        <v>1703</v>
      </c>
      <c r="C2173" s="223" t="s">
        <v>1704</v>
      </c>
      <c r="D2173" s="14" t="s">
        <v>980</v>
      </c>
      <c r="E2173" s="15" t="s">
        <v>506</v>
      </c>
      <c r="F2173" s="15">
        <v>1</v>
      </c>
      <c r="G2173" s="16">
        <f t="shared" si="124"/>
        <v>70468.649999999994</v>
      </c>
      <c r="H2173" s="16">
        <v>70468.649999999994</v>
      </c>
      <c r="I2173" s="16">
        <f t="shared" si="123"/>
        <v>0</v>
      </c>
      <c r="J2173" s="32">
        <v>70468.649999999994</v>
      </c>
      <c r="K2173" s="69">
        <f t="shared" si="122"/>
        <v>0</v>
      </c>
      <c r="L2173" s="71"/>
      <c r="M2173" s="109"/>
      <c r="N2173" s="110">
        <v>0.9</v>
      </c>
    </row>
    <row r="2174" spans="1:14" ht="15" hidden="1" customHeight="1" thickBot="1" x14ac:dyDescent="0.35">
      <c r="A2174" s="25">
        <v>448</v>
      </c>
      <c r="B2174" s="15" t="s">
        <v>1703</v>
      </c>
      <c r="C2174" s="223" t="s">
        <v>1704</v>
      </c>
      <c r="D2174" s="14" t="s">
        <v>1105</v>
      </c>
      <c r="E2174" s="15" t="s">
        <v>506</v>
      </c>
      <c r="F2174" s="15">
        <v>1</v>
      </c>
      <c r="G2174" s="16">
        <f t="shared" ref="G2174" si="125">H2174-M2174</f>
        <v>70814</v>
      </c>
      <c r="H2174" s="16">
        <v>70814</v>
      </c>
      <c r="I2174" s="16">
        <f t="shared" ref="I2174" si="126">J2174-H2174</f>
        <v>0</v>
      </c>
      <c r="J2174" s="32">
        <v>70814</v>
      </c>
      <c r="K2174" s="69">
        <f t="shared" ref="K2174" si="127">M2174-L2174</f>
        <v>0</v>
      </c>
      <c r="L2174" s="71"/>
      <c r="M2174" s="109"/>
      <c r="N2174" s="110">
        <v>0.9</v>
      </c>
    </row>
    <row r="2175" spans="1:14" ht="15" hidden="1" customHeight="1" thickBot="1" x14ac:dyDescent="0.35">
      <c r="A2175" s="25">
        <v>448</v>
      </c>
      <c r="B2175" s="15" t="s">
        <v>1703</v>
      </c>
      <c r="C2175" s="223" t="s">
        <v>1704</v>
      </c>
      <c r="D2175" s="14" t="s">
        <v>985</v>
      </c>
      <c r="E2175" s="15" t="s">
        <v>506</v>
      </c>
      <c r="F2175" s="15">
        <v>1</v>
      </c>
      <c r="G2175" s="16">
        <f t="shared" si="124"/>
        <v>71720</v>
      </c>
      <c r="H2175" s="16">
        <v>71720</v>
      </c>
      <c r="I2175" s="16">
        <f t="shared" si="123"/>
        <v>0</v>
      </c>
      <c r="J2175" s="32">
        <v>71720</v>
      </c>
      <c r="K2175" s="69">
        <f t="shared" si="122"/>
        <v>0</v>
      </c>
      <c r="L2175" s="71"/>
      <c r="M2175" s="109"/>
      <c r="N2175" s="110">
        <v>0.9</v>
      </c>
    </row>
    <row r="2176" spans="1:14" ht="15" hidden="1" customHeight="1" thickBot="1" x14ac:dyDescent="0.35">
      <c r="A2176" s="25">
        <v>449</v>
      </c>
      <c r="B2176" s="15" t="s">
        <v>1705</v>
      </c>
      <c r="C2176" s="223" t="s">
        <v>1706</v>
      </c>
      <c r="D2176" s="14" t="s">
        <v>1707</v>
      </c>
      <c r="E2176" s="15" t="s">
        <v>508</v>
      </c>
      <c r="F2176" s="15">
        <v>2</v>
      </c>
      <c r="G2176" s="16">
        <f t="shared" si="124"/>
        <v>15000</v>
      </c>
      <c r="H2176" s="16">
        <v>15000</v>
      </c>
      <c r="I2176" s="16">
        <f t="shared" si="123"/>
        <v>0</v>
      </c>
      <c r="J2176" s="32">
        <v>15000</v>
      </c>
      <c r="K2176" s="69">
        <f t="shared" si="122"/>
        <v>0</v>
      </c>
      <c r="L2176" s="71"/>
      <c r="M2176" s="109"/>
      <c r="N2176" s="110">
        <v>0.8</v>
      </c>
    </row>
    <row r="2177" spans="1:14" ht="15" hidden="1" customHeight="1" thickBot="1" x14ac:dyDescent="0.35">
      <c r="A2177" s="25">
        <v>450</v>
      </c>
      <c r="B2177" s="15" t="s">
        <v>1755</v>
      </c>
      <c r="C2177" s="223" t="s">
        <v>940</v>
      </c>
      <c r="D2177" s="14" t="s">
        <v>1467</v>
      </c>
      <c r="E2177" s="15" t="s">
        <v>506</v>
      </c>
      <c r="F2177" s="15">
        <v>2</v>
      </c>
      <c r="G2177" s="16">
        <f t="shared" si="124"/>
        <v>6346</v>
      </c>
      <c r="H2177" s="16">
        <v>6346</v>
      </c>
      <c r="I2177" s="16">
        <f t="shared" si="123"/>
        <v>0</v>
      </c>
      <c r="J2177" s="32">
        <v>6346</v>
      </c>
      <c r="K2177" s="69">
        <f t="shared" si="122"/>
        <v>0</v>
      </c>
      <c r="L2177" s="71"/>
      <c r="M2177" s="109"/>
      <c r="N2177" s="110">
        <v>0.95</v>
      </c>
    </row>
    <row r="2178" spans="1:14" ht="15" hidden="1" customHeight="1" thickBot="1" x14ac:dyDescent="0.35">
      <c r="A2178" s="25">
        <v>451</v>
      </c>
      <c r="B2178" s="15" t="s">
        <v>1758</v>
      </c>
      <c r="C2178" s="223" t="s">
        <v>793</v>
      </c>
      <c r="D2178" s="14" t="s">
        <v>1076</v>
      </c>
      <c r="E2178" s="15" t="s">
        <v>512</v>
      </c>
      <c r="F2178" s="15">
        <v>1</v>
      </c>
      <c r="G2178" s="16">
        <f t="shared" si="124"/>
        <v>4188</v>
      </c>
      <c r="H2178" s="16">
        <v>4188</v>
      </c>
      <c r="I2178" s="16">
        <f t="shared" si="123"/>
        <v>0</v>
      </c>
      <c r="J2178" s="32">
        <v>4188</v>
      </c>
      <c r="K2178" s="69">
        <f t="shared" si="122"/>
        <v>0</v>
      </c>
      <c r="L2178" s="71"/>
      <c r="M2178" s="109"/>
      <c r="N2178" s="110">
        <v>0.95</v>
      </c>
    </row>
    <row r="2179" spans="1:14" ht="15" hidden="1" customHeight="1" thickBot="1" x14ac:dyDescent="0.35">
      <c r="A2179" s="25">
        <v>452</v>
      </c>
      <c r="B2179" s="15" t="s">
        <v>1772</v>
      </c>
      <c r="C2179" s="223" t="s">
        <v>108</v>
      </c>
      <c r="D2179" s="14" t="s">
        <v>14</v>
      </c>
      <c r="E2179" s="15" t="s">
        <v>14</v>
      </c>
      <c r="F2179" s="15">
        <v>1</v>
      </c>
      <c r="G2179" s="16">
        <f t="shared" si="124"/>
        <v>25156392</v>
      </c>
      <c r="H2179" s="16">
        <v>25156392</v>
      </c>
      <c r="I2179" s="16">
        <f t="shared" si="123"/>
        <v>0</v>
      </c>
      <c r="J2179" s="32">
        <v>25156392</v>
      </c>
      <c r="K2179" s="69">
        <f t="shared" si="122"/>
        <v>0</v>
      </c>
      <c r="L2179" s="71"/>
      <c r="M2179" s="109"/>
      <c r="N2179" s="110">
        <v>1</v>
      </c>
    </row>
    <row r="2180" spans="1:14" ht="15" hidden="1" customHeight="1" thickBot="1" x14ac:dyDescent="0.35">
      <c r="A2180" s="25">
        <v>452</v>
      </c>
      <c r="B2180" s="15" t="s">
        <v>1772</v>
      </c>
      <c r="C2180" s="223" t="s">
        <v>1773</v>
      </c>
      <c r="D2180" s="14" t="s">
        <v>14</v>
      </c>
      <c r="E2180" s="15" t="s">
        <v>14</v>
      </c>
      <c r="F2180" s="15">
        <v>1</v>
      </c>
      <c r="G2180" s="16">
        <f t="shared" si="124"/>
        <v>110774458</v>
      </c>
      <c r="H2180" s="16">
        <v>110774458</v>
      </c>
      <c r="I2180" s="16">
        <f t="shared" si="123"/>
        <v>0</v>
      </c>
      <c r="J2180" s="32">
        <v>110774458</v>
      </c>
      <c r="K2180" s="69">
        <f t="shared" si="122"/>
        <v>0</v>
      </c>
      <c r="L2180" s="71"/>
      <c r="M2180" s="109"/>
      <c r="N2180" s="110">
        <v>1</v>
      </c>
    </row>
    <row r="2181" spans="1:14" ht="15" hidden="1" customHeight="1" thickBot="1" x14ac:dyDescent="0.35">
      <c r="A2181" s="25">
        <v>453</v>
      </c>
      <c r="B2181" s="15" t="s">
        <v>1785</v>
      </c>
      <c r="C2181" s="223" t="s">
        <v>1786</v>
      </c>
      <c r="D2181" s="14" t="s">
        <v>14</v>
      </c>
      <c r="E2181" s="15" t="s">
        <v>14</v>
      </c>
      <c r="F2181" s="15">
        <v>1</v>
      </c>
      <c r="G2181" s="16">
        <f t="shared" si="124"/>
        <v>93350</v>
      </c>
      <c r="H2181" s="16">
        <v>93350</v>
      </c>
      <c r="I2181" s="16">
        <f t="shared" si="123"/>
        <v>0</v>
      </c>
      <c r="J2181" s="32">
        <v>93350</v>
      </c>
      <c r="K2181" s="69">
        <f t="shared" si="122"/>
        <v>0</v>
      </c>
      <c r="L2181" s="71"/>
      <c r="M2181" s="109"/>
      <c r="N2181" s="110">
        <v>1</v>
      </c>
    </row>
    <row r="2182" spans="1:14" ht="15" hidden="1" customHeight="1" thickBot="1" x14ac:dyDescent="0.35">
      <c r="A2182" s="25">
        <v>454</v>
      </c>
      <c r="B2182" s="15" t="s">
        <v>1787</v>
      </c>
      <c r="C2182" s="223" t="s">
        <v>1470</v>
      </c>
      <c r="D2182" s="14" t="s">
        <v>1043</v>
      </c>
      <c r="E2182" s="15" t="s">
        <v>500</v>
      </c>
      <c r="F2182" s="15">
        <v>2</v>
      </c>
      <c r="G2182" s="16">
        <f t="shared" si="124"/>
        <v>5930</v>
      </c>
      <c r="H2182" s="16">
        <v>6650</v>
      </c>
      <c r="I2182" s="16">
        <f t="shared" si="123"/>
        <v>0</v>
      </c>
      <c r="J2182" s="32">
        <v>6650</v>
      </c>
      <c r="K2182" s="69">
        <f t="shared" si="122"/>
        <v>0</v>
      </c>
      <c r="L2182" s="71">
        <v>720</v>
      </c>
      <c r="M2182" s="109">
        <v>720</v>
      </c>
      <c r="N2182" s="110">
        <v>0.95</v>
      </c>
    </row>
    <row r="2183" spans="1:14" ht="15" hidden="1" customHeight="1" thickBot="1" x14ac:dyDescent="0.35">
      <c r="A2183" s="25">
        <v>454</v>
      </c>
      <c r="B2183" s="15" t="s">
        <v>1787</v>
      </c>
      <c r="C2183" s="223" t="s">
        <v>1470</v>
      </c>
      <c r="D2183" s="14" t="s">
        <v>1076</v>
      </c>
      <c r="E2183" s="15" t="s">
        <v>512</v>
      </c>
      <c r="F2183" s="15">
        <v>2</v>
      </c>
      <c r="G2183" s="16">
        <f t="shared" si="124"/>
        <v>7381</v>
      </c>
      <c r="H2183" s="16">
        <v>7561</v>
      </c>
      <c r="I2183" s="16">
        <f t="shared" si="123"/>
        <v>0</v>
      </c>
      <c r="J2183" s="32">
        <v>7561</v>
      </c>
      <c r="K2183" s="69">
        <f t="shared" si="122"/>
        <v>0</v>
      </c>
      <c r="L2183" s="71">
        <v>180</v>
      </c>
      <c r="M2183" s="109">
        <v>180</v>
      </c>
      <c r="N2183" s="110">
        <v>0.95</v>
      </c>
    </row>
    <row r="2184" spans="1:14" ht="15" hidden="1" customHeight="1" thickBot="1" x14ac:dyDescent="0.35">
      <c r="A2184" s="25">
        <v>455</v>
      </c>
      <c r="B2184" s="15" t="s">
        <v>1798</v>
      </c>
      <c r="C2184" s="223" t="s">
        <v>1799</v>
      </c>
      <c r="D2184" s="14" t="s">
        <v>679</v>
      </c>
      <c r="E2184" s="15" t="s">
        <v>502</v>
      </c>
      <c r="F2184" s="15">
        <v>1</v>
      </c>
      <c r="G2184" s="16">
        <f t="shared" si="124"/>
        <v>3378</v>
      </c>
      <c r="H2184" s="16">
        <v>3378</v>
      </c>
      <c r="I2184" s="16">
        <f t="shared" si="123"/>
        <v>0</v>
      </c>
      <c r="J2184" s="32">
        <v>3378</v>
      </c>
      <c r="K2184" s="69">
        <f t="shared" si="122"/>
        <v>0</v>
      </c>
      <c r="L2184" s="71"/>
      <c r="M2184" s="109"/>
      <c r="N2184" s="110">
        <v>0.9</v>
      </c>
    </row>
    <row r="2185" spans="1:14" ht="15" hidden="1" customHeight="1" thickBot="1" x14ac:dyDescent="0.35">
      <c r="A2185" s="25">
        <v>455</v>
      </c>
      <c r="B2185" s="15" t="s">
        <v>1798</v>
      </c>
      <c r="C2185" s="223" t="s">
        <v>1799</v>
      </c>
      <c r="D2185" s="14" t="s">
        <v>670</v>
      </c>
      <c r="E2185" s="15" t="s">
        <v>506</v>
      </c>
      <c r="F2185" s="15">
        <v>1</v>
      </c>
      <c r="G2185" s="16">
        <f t="shared" si="124"/>
        <v>8205</v>
      </c>
      <c r="H2185" s="16">
        <v>8205</v>
      </c>
      <c r="I2185" s="16">
        <f t="shared" si="123"/>
        <v>0</v>
      </c>
      <c r="J2185" s="32">
        <v>8205</v>
      </c>
      <c r="K2185" s="69">
        <f t="shared" si="122"/>
        <v>0</v>
      </c>
      <c r="L2185" s="71"/>
      <c r="M2185" s="109"/>
      <c r="N2185" s="110">
        <v>0.9</v>
      </c>
    </row>
    <row r="2186" spans="1:14" ht="15" hidden="1" customHeight="1" thickBot="1" x14ac:dyDescent="0.35">
      <c r="A2186" s="25">
        <v>455</v>
      </c>
      <c r="B2186" s="15" t="s">
        <v>1798</v>
      </c>
      <c r="C2186" s="223" t="s">
        <v>1799</v>
      </c>
      <c r="D2186" s="14" t="s">
        <v>1001</v>
      </c>
      <c r="E2186" s="15" t="s">
        <v>502</v>
      </c>
      <c r="F2186" s="15">
        <v>1</v>
      </c>
      <c r="G2186" s="16">
        <f t="shared" si="124"/>
        <v>5441</v>
      </c>
      <c r="H2186" s="16">
        <v>5441</v>
      </c>
      <c r="I2186" s="16">
        <f t="shared" si="123"/>
        <v>0</v>
      </c>
      <c r="J2186" s="32">
        <v>5441</v>
      </c>
      <c r="K2186" s="69">
        <f t="shared" si="122"/>
        <v>0</v>
      </c>
      <c r="L2186" s="71"/>
      <c r="M2186" s="109"/>
      <c r="N2186" s="110">
        <v>0.9</v>
      </c>
    </row>
    <row r="2187" spans="1:14" ht="15" hidden="1" customHeight="1" thickBot="1" x14ac:dyDescent="0.35">
      <c r="A2187" s="25">
        <v>455</v>
      </c>
      <c r="B2187" s="15" t="s">
        <v>1798</v>
      </c>
      <c r="C2187" s="223" t="s">
        <v>1799</v>
      </c>
      <c r="D2187" s="14" t="s">
        <v>1076</v>
      </c>
      <c r="E2187" s="15" t="s">
        <v>502</v>
      </c>
      <c r="F2187" s="15">
        <v>1</v>
      </c>
      <c r="G2187" s="16">
        <f t="shared" ref="G2187" si="128">H2187-M2187</f>
        <v>5201.28</v>
      </c>
      <c r="H2187" s="16">
        <v>5201.28</v>
      </c>
      <c r="I2187" s="16">
        <f t="shared" ref="I2187" si="129">J2187-H2187</f>
        <v>0</v>
      </c>
      <c r="J2187" s="32">
        <v>5201.28</v>
      </c>
      <c r="K2187" s="69">
        <f t="shared" ref="K2187" si="130">M2187-L2187</f>
        <v>0</v>
      </c>
      <c r="L2187" s="71"/>
      <c r="M2187" s="109"/>
      <c r="N2187" s="110">
        <v>0.9</v>
      </c>
    </row>
    <row r="2188" spans="1:14" ht="15" hidden="1" customHeight="1" thickBot="1" x14ac:dyDescent="0.35">
      <c r="A2188" s="25">
        <v>455</v>
      </c>
      <c r="B2188" s="15" t="s">
        <v>1798</v>
      </c>
      <c r="C2188" s="223" t="s">
        <v>1799</v>
      </c>
      <c r="D2188" s="14" t="s">
        <v>981</v>
      </c>
      <c r="E2188" s="15" t="s">
        <v>502</v>
      </c>
      <c r="F2188" s="15">
        <v>1</v>
      </c>
      <c r="G2188" s="16">
        <f t="shared" si="124"/>
        <v>3378</v>
      </c>
      <c r="H2188" s="16">
        <v>3378</v>
      </c>
      <c r="I2188" s="16">
        <f t="shared" si="123"/>
        <v>0</v>
      </c>
      <c r="J2188" s="32">
        <v>3378</v>
      </c>
      <c r="K2188" s="69">
        <f t="shared" si="122"/>
        <v>0</v>
      </c>
      <c r="L2188" s="71"/>
      <c r="M2188" s="109"/>
      <c r="N2188" s="110">
        <v>0.9</v>
      </c>
    </row>
    <row r="2189" spans="1:14" ht="15" hidden="1" customHeight="1" thickBot="1" x14ac:dyDescent="0.35">
      <c r="A2189" s="25">
        <v>455</v>
      </c>
      <c r="B2189" s="15" t="s">
        <v>1798</v>
      </c>
      <c r="C2189" s="223" t="s">
        <v>1799</v>
      </c>
      <c r="D2189" s="14" t="s">
        <v>985</v>
      </c>
      <c r="E2189" s="15" t="s">
        <v>506</v>
      </c>
      <c r="F2189" s="15">
        <v>1</v>
      </c>
      <c r="G2189" s="16">
        <f t="shared" si="124"/>
        <v>5552</v>
      </c>
      <c r="H2189" s="16">
        <v>5552</v>
      </c>
      <c r="I2189" s="16">
        <f t="shared" si="123"/>
        <v>0</v>
      </c>
      <c r="J2189" s="32">
        <v>5552</v>
      </c>
      <c r="K2189" s="69">
        <f t="shared" si="122"/>
        <v>0</v>
      </c>
      <c r="L2189" s="71"/>
      <c r="M2189" s="109"/>
      <c r="N2189" s="110">
        <v>0.9</v>
      </c>
    </row>
    <row r="2190" spans="1:14" ht="15" hidden="1" customHeight="1" thickBot="1" x14ac:dyDescent="0.35">
      <c r="A2190" s="25">
        <v>456</v>
      </c>
      <c r="B2190" s="15" t="s">
        <v>1800</v>
      </c>
      <c r="C2190" s="223" t="s">
        <v>1452</v>
      </c>
      <c r="D2190" s="14" t="s">
        <v>1061</v>
      </c>
      <c r="E2190" s="15" t="s">
        <v>508</v>
      </c>
      <c r="F2190" s="15">
        <v>2</v>
      </c>
      <c r="G2190" s="16">
        <f t="shared" ref="G2190" si="131">H2190-M2190</f>
        <v>49885</v>
      </c>
      <c r="H2190" s="16">
        <v>49885</v>
      </c>
      <c r="I2190" s="16">
        <f t="shared" ref="I2190" si="132">J2190-H2190</f>
        <v>0</v>
      </c>
      <c r="J2190" s="32">
        <v>49885</v>
      </c>
      <c r="K2190" s="69">
        <f t="shared" ref="K2190" si="133">M2190-L2190</f>
        <v>0</v>
      </c>
      <c r="L2190" s="71"/>
      <c r="M2190" s="109"/>
      <c r="N2190" s="110">
        <v>1</v>
      </c>
    </row>
    <row r="2191" spans="1:14" ht="15" hidden="1" customHeight="1" thickBot="1" x14ac:dyDescent="0.35">
      <c r="A2191" s="25">
        <v>456</v>
      </c>
      <c r="B2191" s="15" t="s">
        <v>1800</v>
      </c>
      <c r="C2191" s="223" t="s">
        <v>1452</v>
      </c>
      <c r="D2191" s="14" t="s">
        <v>670</v>
      </c>
      <c r="E2191" s="15" t="s">
        <v>506</v>
      </c>
      <c r="F2191" s="15">
        <v>1</v>
      </c>
      <c r="G2191" s="16">
        <f t="shared" si="124"/>
        <v>27235</v>
      </c>
      <c r="H2191" s="16">
        <v>27235</v>
      </c>
      <c r="I2191" s="16">
        <f t="shared" si="123"/>
        <v>0</v>
      </c>
      <c r="J2191" s="32">
        <v>27235</v>
      </c>
      <c r="K2191" s="69">
        <f t="shared" si="122"/>
        <v>0</v>
      </c>
      <c r="L2191" s="71"/>
      <c r="M2191" s="109"/>
      <c r="N2191" s="110">
        <v>1</v>
      </c>
    </row>
    <row r="2192" spans="1:14" ht="15" hidden="1" customHeight="1" thickBot="1" x14ac:dyDescent="0.35">
      <c r="A2192" s="25">
        <v>456</v>
      </c>
      <c r="B2192" s="15" t="s">
        <v>1800</v>
      </c>
      <c r="C2192" s="223" t="s">
        <v>1452</v>
      </c>
      <c r="D2192" s="14" t="s">
        <v>1076</v>
      </c>
      <c r="E2192" s="15" t="s">
        <v>512</v>
      </c>
      <c r="F2192" s="15">
        <v>2</v>
      </c>
      <c r="G2192" s="16">
        <f t="shared" si="124"/>
        <v>42130</v>
      </c>
      <c r="H2192" s="16">
        <v>42130</v>
      </c>
      <c r="I2192" s="16">
        <f t="shared" si="123"/>
        <v>0</v>
      </c>
      <c r="J2192" s="32">
        <v>42130</v>
      </c>
      <c r="K2192" s="69">
        <f t="shared" si="122"/>
        <v>0</v>
      </c>
      <c r="L2192" s="71"/>
      <c r="M2192" s="109"/>
      <c r="N2192" s="110">
        <v>1</v>
      </c>
    </row>
    <row r="2193" spans="1:17" ht="15" hidden="1" customHeight="1" thickBot="1" x14ac:dyDescent="0.35">
      <c r="A2193" s="25">
        <v>456</v>
      </c>
      <c r="B2193" s="15" t="s">
        <v>1800</v>
      </c>
      <c r="C2193" s="223" t="s">
        <v>1452</v>
      </c>
      <c r="D2193" s="14" t="s">
        <v>985</v>
      </c>
      <c r="E2193" s="15" t="s">
        <v>506</v>
      </c>
      <c r="F2193" s="15">
        <v>2</v>
      </c>
      <c r="G2193" s="16">
        <f t="shared" si="124"/>
        <v>14530</v>
      </c>
      <c r="H2193" s="16">
        <v>14530</v>
      </c>
      <c r="I2193" s="16">
        <f t="shared" si="123"/>
        <v>0</v>
      </c>
      <c r="J2193" s="32">
        <v>14530</v>
      </c>
      <c r="K2193" s="69">
        <f t="shared" si="122"/>
        <v>0</v>
      </c>
      <c r="L2193" s="71"/>
      <c r="M2193" s="109"/>
      <c r="N2193" s="110">
        <v>1</v>
      </c>
    </row>
    <row r="2194" spans="1:17" ht="15" hidden="1" customHeight="1" thickBot="1" x14ac:dyDescent="0.35">
      <c r="A2194" s="25">
        <v>456</v>
      </c>
      <c r="B2194" s="15" t="s">
        <v>1800</v>
      </c>
      <c r="C2194" s="223" t="s">
        <v>1452</v>
      </c>
      <c r="D2194" s="14" t="s">
        <v>980</v>
      </c>
      <c r="E2194" s="15" t="s">
        <v>503</v>
      </c>
      <c r="F2194" s="15">
        <v>1</v>
      </c>
      <c r="G2194" s="16">
        <f t="shared" ref="G2194" si="134">H2194-M2194</f>
        <v>13130</v>
      </c>
      <c r="H2194" s="16">
        <v>13130</v>
      </c>
      <c r="I2194" s="16">
        <f t="shared" ref="I2194" si="135">J2194-H2194</f>
        <v>0</v>
      </c>
      <c r="J2194" s="32">
        <v>13130</v>
      </c>
      <c r="K2194" s="69">
        <f t="shared" ref="K2194" si="136">M2194-L2194</f>
        <v>0</v>
      </c>
      <c r="L2194" s="71"/>
      <c r="M2194" s="109"/>
      <c r="N2194" s="110">
        <v>1</v>
      </c>
    </row>
    <row r="2195" spans="1:17" ht="15" hidden="1" customHeight="1" thickBot="1" x14ac:dyDescent="0.35">
      <c r="A2195" s="25">
        <v>456</v>
      </c>
      <c r="B2195" s="15" t="s">
        <v>1800</v>
      </c>
      <c r="C2195" s="223" t="s">
        <v>1452</v>
      </c>
      <c r="D2195" s="14" t="s">
        <v>1001</v>
      </c>
      <c r="E2195" s="15" t="s">
        <v>504</v>
      </c>
      <c r="F2195" s="15">
        <v>2</v>
      </c>
      <c r="G2195" s="16">
        <f t="shared" si="124"/>
        <v>15230</v>
      </c>
      <c r="H2195" s="16">
        <v>15230</v>
      </c>
      <c r="I2195" s="16">
        <f t="shared" si="123"/>
        <v>0</v>
      </c>
      <c r="J2195" s="32">
        <v>15230</v>
      </c>
      <c r="K2195" s="69">
        <f t="shared" si="122"/>
        <v>0</v>
      </c>
      <c r="L2195" s="71"/>
      <c r="M2195" s="109"/>
      <c r="N2195" s="110">
        <v>1</v>
      </c>
    </row>
    <row r="2196" spans="1:17" ht="15" hidden="1" customHeight="1" thickBot="1" x14ac:dyDescent="0.35">
      <c r="A2196" s="25">
        <v>456</v>
      </c>
      <c r="B2196" s="15" t="s">
        <v>1800</v>
      </c>
      <c r="C2196" s="223" t="s">
        <v>1452</v>
      </c>
      <c r="D2196" s="14" t="s">
        <v>679</v>
      </c>
      <c r="E2196" s="15" t="s">
        <v>502</v>
      </c>
      <c r="F2196" s="15">
        <v>1</v>
      </c>
      <c r="G2196" s="16">
        <f t="shared" si="124"/>
        <v>2320</v>
      </c>
      <c r="H2196" s="16">
        <v>2320</v>
      </c>
      <c r="I2196" s="16">
        <f t="shared" si="123"/>
        <v>0</v>
      </c>
      <c r="J2196" s="32">
        <v>2320</v>
      </c>
      <c r="K2196" s="69">
        <f t="shared" si="122"/>
        <v>0</v>
      </c>
      <c r="L2196" s="71"/>
      <c r="M2196" s="109"/>
      <c r="N2196" s="110">
        <v>1</v>
      </c>
    </row>
    <row r="2197" spans="1:17" ht="15" hidden="1" customHeight="1" thickBot="1" x14ac:dyDescent="0.35">
      <c r="A2197" s="25">
        <v>456</v>
      </c>
      <c r="B2197" s="15" t="s">
        <v>1800</v>
      </c>
      <c r="C2197" s="223" t="s">
        <v>1452</v>
      </c>
      <c r="D2197" s="14" t="s">
        <v>1043</v>
      </c>
      <c r="E2197" s="15" t="s">
        <v>500</v>
      </c>
      <c r="F2197" s="15">
        <v>1</v>
      </c>
      <c r="G2197" s="16">
        <f t="shared" ref="G2197" si="137">H2197-M2197</f>
        <v>2320</v>
      </c>
      <c r="H2197" s="16">
        <v>2320</v>
      </c>
      <c r="I2197" s="16">
        <f t="shared" ref="I2197" si="138">J2197-H2197</f>
        <v>0</v>
      </c>
      <c r="J2197" s="32">
        <v>2320</v>
      </c>
      <c r="K2197" s="69">
        <f t="shared" ref="K2197" si="139">M2197-L2197</f>
        <v>0</v>
      </c>
      <c r="L2197" s="71"/>
      <c r="M2197" s="109"/>
      <c r="N2197" s="110">
        <v>1</v>
      </c>
    </row>
    <row r="2198" spans="1:17" ht="15" hidden="1" customHeight="1" thickBot="1" x14ac:dyDescent="0.35">
      <c r="A2198" s="25">
        <v>456</v>
      </c>
      <c r="B2198" s="15" t="s">
        <v>1800</v>
      </c>
      <c r="C2198" s="223" t="s">
        <v>1452</v>
      </c>
      <c r="D2198" s="14" t="s">
        <v>1102</v>
      </c>
      <c r="E2198" s="15" t="s">
        <v>500</v>
      </c>
      <c r="F2198" s="15">
        <v>1</v>
      </c>
      <c r="G2198" s="16">
        <f t="shared" si="124"/>
        <v>3500</v>
      </c>
      <c r="H2198" s="16">
        <v>3500</v>
      </c>
      <c r="I2198" s="16">
        <f t="shared" si="123"/>
        <v>0</v>
      </c>
      <c r="J2198" s="32">
        <v>3500</v>
      </c>
      <c r="K2198" s="69">
        <f t="shared" si="122"/>
        <v>0</v>
      </c>
      <c r="L2198" s="71"/>
      <c r="M2198" s="109"/>
      <c r="N2198" s="110">
        <v>1</v>
      </c>
    </row>
    <row r="2199" spans="1:17" ht="15" hidden="1" customHeight="1" thickBot="1" x14ac:dyDescent="0.35">
      <c r="A2199" s="25">
        <v>457</v>
      </c>
      <c r="B2199" s="15" t="s">
        <v>1801</v>
      </c>
      <c r="C2199" s="223" t="s">
        <v>1285</v>
      </c>
      <c r="D2199" s="14" t="s">
        <v>14</v>
      </c>
      <c r="E2199" s="15" t="s">
        <v>14</v>
      </c>
      <c r="F2199" s="15">
        <v>1</v>
      </c>
      <c r="G2199" s="16">
        <f t="shared" ref="G2199:G2200" si="140">H2199-M2199</f>
        <v>52528.5</v>
      </c>
      <c r="H2199" s="16">
        <v>52528.5</v>
      </c>
      <c r="I2199" s="16">
        <f t="shared" ref="I2199:I2200" si="141">J2199-H2199</f>
        <v>0</v>
      </c>
      <c r="J2199" s="32">
        <v>52528.5</v>
      </c>
      <c r="K2199" s="69">
        <f t="shared" ref="K2199:K2200" si="142">M2199-L2199</f>
        <v>0</v>
      </c>
      <c r="L2199" s="71"/>
      <c r="M2199" s="109"/>
      <c r="N2199" s="110">
        <v>1</v>
      </c>
    </row>
    <row r="2200" spans="1:17" ht="15" hidden="1" customHeight="1" thickBot="1" x14ac:dyDescent="0.35">
      <c r="A2200" s="25">
        <v>458</v>
      </c>
      <c r="B2200" s="15" t="s">
        <v>1879</v>
      </c>
      <c r="C2200" s="223" t="s">
        <v>1880</v>
      </c>
      <c r="D2200" s="14" t="s">
        <v>752</v>
      </c>
      <c r="E2200" s="15" t="s">
        <v>504</v>
      </c>
      <c r="F2200" s="15">
        <v>1</v>
      </c>
      <c r="G2200" s="16">
        <f t="shared" si="140"/>
        <v>4340</v>
      </c>
      <c r="H2200" s="16">
        <v>4340</v>
      </c>
      <c r="I2200" s="16">
        <f t="shared" si="141"/>
        <v>0</v>
      </c>
      <c r="J2200" s="32">
        <v>4340</v>
      </c>
      <c r="K2200" s="69">
        <f t="shared" si="142"/>
        <v>0</v>
      </c>
      <c r="L2200" s="71"/>
      <c r="M2200" s="109"/>
      <c r="N2200" s="110">
        <v>1</v>
      </c>
    </row>
    <row r="2201" spans="1:17" ht="15" hidden="1" customHeight="1" thickBot="1" x14ac:dyDescent="0.35">
      <c r="A2201" s="25">
        <v>458</v>
      </c>
      <c r="B2201" s="15" t="s">
        <v>1879</v>
      </c>
      <c r="C2201" s="223" t="s">
        <v>1880</v>
      </c>
      <c r="D2201" s="14" t="s">
        <v>1881</v>
      </c>
      <c r="E2201" s="15" t="s">
        <v>502</v>
      </c>
      <c r="F2201" s="15">
        <v>1</v>
      </c>
      <c r="G2201" s="16">
        <f t="shared" si="124"/>
        <v>8190</v>
      </c>
      <c r="H2201" s="16">
        <v>8190</v>
      </c>
      <c r="I2201" s="16">
        <f t="shared" si="123"/>
        <v>0</v>
      </c>
      <c r="J2201" s="32">
        <v>8190</v>
      </c>
      <c r="K2201" s="69">
        <f t="shared" si="122"/>
        <v>0</v>
      </c>
      <c r="L2201" s="71"/>
      <c r="M2201" s="109"/>
      <c r="N2201" s="110">
        <v>1</v>
      </c>
    </row>
    <row r="2202" spans="1:17" ht="15" hidden="1" thickBot="1" x14ac:dyDescent="0.35">
      <c r="A2202" s="14">
        <v>459</v>
      </c>
      <c r="B2202" s="160" t="s">
        <v>615</v>
      </c>
      <c r="C2202" s="14" t="s">
        <v>550</v>
      </c>
      <c r="D2202" s="14" t="s">
        <v>1099</v>
      </c>
      <c r="E2202" s="14" t="s">
        <v>14</v>
      </c>
      <c r="F2202" s="160">
        <v>48</v>
      </c>
      <c r="G2202" s="16">
        <f t="shared" si="124"/>
        <v>856480</v>
      </c>
      <c r="H2202" s="16">
        <v>856480</v>
      </c>
      <c r="I2202" s="16">
        <f t="shared" si="123"/>
        <v>0</v>
      </c>
      <c r="J2202" s="31">
        <v>856480</v>
      </c>
      <c r="K2202" s="69">
        <f t="shared" si="122"/>
        <v>0</v>
      </c>
      <c r="L2202" s="50"/>
      <c r="M2202" s="109"/>
      <c r="N2202" s="110"/>
      <c r="O2202" s="364"/>
      <c r="P2202" s="365"/>
      <c r="Q2202" s="366"/>
    </row>
    <row r="2203" spans="1:17" ht="15" thickBot="1" x14ac:dyDescent="0.35">
      <c r="A2203" s="27"/>
      <c r="B2203" s="41"/>
      <c r="C2203" s="221"/>
      <c r="D2203" s="42"/>
      <c r="E2203" s="41"/>
      <c r="F2203" s="24"/>
      <c r="G2203" s="43"/>
      <c r="H2203" s="26"/>
      <c r="I2203" s="26"/>
      <c r="J2203" s="32"/>
      <c r="K2203" s="222"/>
      <c r="L2203" s="71"/>
      <c r="M2203" s="109"/>
      <c r="N2203" s="110"/>
    </row>
    <row r="2204" spans="1:17" ht="15" thickBot="1" x14ac:dyDescent="0.35">
      <c r="A2204" s="27"/>
      <c r="B2204" s="41"/>
      <c r="C2204" s="221"/>
      <c r="D2204" s="42"/>
      <c r="E2204" s="41"/>
      <c r="F2204" s="24"/>
      <c r="G2204" s="43"/>
      <c r="H2204" s="26"/>
      <c r="I2204" s="26"/>
      <c r="J2204" s="32"/>
      <c r="K2204" s="222"/>
      <c r="L2204" s="71"/>
      <c r="M2204" s="109"/>
      <c r="N2204" s="110"/>
    </row>
    <row r="2205" spans="1:17" ht="15" thickBot="1" x14ac:dyDescent="0.35">
      <c r="A2205" s="27"/>
      <c r="B2205" s="41"/>
      <c r="C2205" s="221"/>
      <c r="D2205" s="42"/>
      <c r="E2205" s="41"/>
      <c r="F2205" s="24"/>
      <c r="G2205" s="43"/>
      <c r="H2205" s="26"/>
      <c r="I2205" s="26"/>
      <c r="J2205" s="32"/>
      <c r="K2205" s="222"/>
      <c r="L2205" s="71"/>
      <c r="M2205" s="109"/>
      <c r="N2205" s="110"/>
    </row>
    <row r="2206" spans="1:17" ht="15" thickBot="1" x14ac:dyDescent="0.35">
      <c r="A2206" s="27"/>
      <c r="B2206" s="41"/>
      <c r="C2206" s="221"/>
      <c r="D2206" s="42"/>
      <c r="E2206" s="41"/>
      <c r="F2206" s="24"/>
      <c r="G2206" s="43"/>
      <c r="H2206" s="26"/>
      <c r="I2206" s="26"/>
      <c r="J2206" s="32"/>
      <c r="K2206" s="222"/>
      <c r="L2206" s="71"/>
      <c r="M2206" s="109"/>
      <c r="N2206" s="110"/>
    </row>
    <row r="2207" spans="1:17" ht="15" thickBot="1" x14ac:dyDescent="0.35">
      <c r="A2207" s="27"/>
      <c r="B2207" s="41"/>
      <c r="C2207" s="41"/>
      <c r="D2207" s="42"/>
      <c r="E2207" s="41"/>
      <c r="F2207" s="24"/>
      <c r="G2207" s="43"/>
      <c r="H2207" s="26"/>
      <c r="I2207" s="26"/>
      <c r="J2207" s="32"/>
      <c r="K2207" s="70"/>
      <c r="L2207" s="71"/>
      <c r="M2207" s="109"/>
      <c r="N2207" s="110"/>
    </row>
    <row r="2208" spans="1:17" ht="15" thickBot="1" x14ac:dyDescent="0.35">
      <c r="A2208" s="27"/>
      <c r="B2208" s="41"/>
      <c r="C2208" s="42"/>
      <c r="D2208" s="42"/>
      <c r="E2208" s="41"/>
      <c r="F2208" s="24"/>
      <c r="G2208" s="43"/>
      <c r="H2208" s="26"/>
      <c r="I2208" s="26"/>
      <c r="J2208" s="32"/>
      <c r="K2208" s="70"/>
      <c r="L2208" s="71"/>
      <c r="M2208" s="109"/>
      <c r="N2208" s="110"/>
    </row>
    <row r="2209" spans="1:14" ht="15" thickBot="1" x14ac:dyDescent="0.35">
      <c r="A2209" s="354" t="s">
        <v>966</v>
      </c>
      <c r="B2209" s="355"/>
      <c r="C2209" s="355"/>
      <c r="D2209" s="355"/>
      <c r="E2209" s="355"/>
      <c r="F2209" s="356"/>
      <c r="G2209" s="35"/>
      <c r="H2209" s="26"/>
      <c r="I2209" s="26">
        <f>SUM(I10:I2203)</f>
        <v>43335</v>
      </c>
      <c r="J2209" s="32">
        <f>SUM(J10:J2205)</f>
        <v>387671181.19100016</v>
      </c>
      <c r="K2209" s="70">
        <f>SUM(K10:K2207)</f>
        <v>6090</v>
      </c>
      <c r="L2209" s="71">
        <f>SUM(L10:L2206)</f>
        <v>1944770.5</v>
      </c>
      <c r="M2209" s="109">
        <f>SUM(M10:M2203)</f>
        <v>1950860.5</v>
      </c>
      <c r="N2209" s="110"/>
    </row>
    <row r="2215" spans="1:14" thickBot="1" x14ac:dyDescent="0.35">
      <c r="H2215" s="350"/>
    </row>
    <row r="2216" spans="1:14" thickBot="1" x14ac:dyDescent="0.35">
      <c r="H2216" s="350"/>
    </row>
    <row r="2217" spans="1:14" thickBot="1" x14ac:dyDescent="0.35">
      <c r="H2217" s="350"/>
    </row>
    <row r="2218" spans="1:14" thickBot="1" x14ac:dyDescent="0.35">
      <c r="H2218" s="350"/>
    </row>
    <row r="2219" spans="1:14" thickBot="1" x14ac:dyDescent="0.35">
      <c r="H2219" s="349"/>
    </row>
    <row r="2220" spans="1:14" thickBot="1" x14ac:dyDescent="0.35">
      <c r="H2220" s="350"/>
    </row>
  </sheetData>
  <autoFilter ref="A5:N2202" xr:uid="{75D02502-0719-45A7-8320-6D34257D4AE2}">
    <filterColumn colId="1">
      <filters>
        <filter val="هيثم يحى خليل"/>
      </filters>
    </filterColumn>
  </autoFilter>
  <mergeCells count="7">
    <mergeCell ref="A2209:F2209"/>
    <mergeCell ref="A1:N4"/>
    <mergeCell ref="O349:O357"/>
    <mergeCell ref="O359:O371"/>
    <mergeCell ref="O372:O384"/>
    <mergeCell ref="O1998:O2000"/>
    <mergeCell ref="O2202:Q2202"/>
  </mergeCells>
  <printOptions horizontalCentered="1"/>
  <pageMargins left="0" right="0" top="0" bottom="0" header="0" footer="0"/>
  <pageSetup paperSize="8" scale="60" fitToHeight="0" orientation="portrait" r:id="rId1"/>
  <rowBreaks count="20" manualBreakCount="20">
    <brk id="118" max="13" man="1"/>
    <brk id="236" max="13" man="1"/>
    <brk id="298" max="13" man="1"/>
    <brk id="384" max="13" man="1"/>
    <brk id="497" max="13" man="1"/>
    <brk id="610" max="13" man="1"/>
    <brk id="724" max="13" man="1"/>
    <brk id="841" max="13" man="1"/>
    <brk id="950" max="13" man="1"/>
    <brk id="1051" max="13" man="1"/>
    <brk id="1164" max="13" man="1"/>
    <brk id="1279" max="13" man="1"/>
    <brk id="1352" max="16383" man="1"/>
    <brk id="1447" max="16383" man="1"/>
    <brk id="1564" max="13" man="1"/>
    <brk id="1681" max="13" man="1"/>
    <brk id="1798" max="13" man="1"/>
    <brk id="1915" max="13" man="1"/>
    <brk id="2028" max="13" man="1"/>
    <brk id="2104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2B98-2936-4C3C-9BB9-EE68D05049A2}">
  <dimension ref="A1:T111"/>
  <sheetViews>
    <sheetView rightToLeft="1" view="pageBreakPreview" zoomScale="40" zoomScaleNormal="40" zoomScaleSheetLayoutView="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2" sqref="M12"/>
    </sheetView>
  </sheetViews>
  <sheetFormatPr defaultColWidth="8.88671875" defaultRowHeight="28.8" x14ac:dyDescent="0.55000000000000004"/>
  <cols>
    <col min="1" max="1" width="10.109375" style="6" customWidth="1"/>
    <col min="2" max="2" width="50.109375" style="6" customWidth="1"/>
    <col min="3" max="3" width="42" style="6" customWidth="1"/>
    <col min="4" max="4" width="26" style="6" customWidth="1"/>
    <col min="5" max="5" width="21.6640625" style="6" customWidth="1"/>
    <col min="6" max="6" width="35.33203125" style="6" customWidth="1"/>
    <col min="7" max="7" width="32" style="6" customWidth="1"/>
    <col min="8" max="8" width="27.33203125" style="6" customWidth="1"/>
    <col min="9" max="9" width="27.33203125" style="9" bestFit="1" customWidth="1"/>
    <col min="10" max="10" width="27.33203125" style="9" customWidth="1"/>
    <col min="11" max="12" width="26.109375" style="3" bestFit="1" customWidth="1"/>
    <col min="13" max="16" width="31.33203125" style="55" customWidth="1"/>
    <col min="17" max="17" width="17.109375" style="55" customWidth="1"/>
    <col min="18" max="18" width="8.88671875" style="6"/>
    <col min="19" max="19" width="34.33203125" style="6" customWidth="1"/>
    <col min="20" max="16384" width="8.88671875" style="6"/>
  </cols>
  <sheetData>
    <row r="1" spans="1:20" ht="63.75" customHeight="1" x14ac:dyDescent="0.3">
      <c r="A1" s="433" t="s">
        <v>1412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</row>
    <row r="2" spans="1:20" ht="63.75" customHeight="1" x14ac:dyDescent="0.3">
      <c r="A2" s="439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</row>
    <row r="3" spans="1:20" ht="63" customHeight="1" thickBot="1" x14ac:dyDescent="0.6">
      <c r="A3" s="134"/>
      <c r="B3" s="134"/>
      <c r="C3" s="134"/>
      <c r="D3" s="134"/>
      <c r="E3" s="134"/>
      <c r="F3" s="65">
        <f>F110</f>
        <v>1635760</v>
      </c>
      <c r="G3" s="65">
        <f>G110</f>
        <v>1636510</v>
      </c>
      <c r="H3" s="65">
        <f>H110</f>
        <v>0</v>
      </c>
      <c r="I3" s="65">
        <f>I110</f>
        <v>1636510</v>
      </c>
      <c r="J3" s="65"/>
      <c r="K3" s="65">
        <f t="shared" ref="K3:P3" si="0">K110</f>
        <v>750</v>
      </c>
      <c r="L3" s="65">
        <f t="shared" si="0"/>
        <v>750</v>
      </c>
      <c r="M3" s="65">
        <f t="shared" si="0"/>
        <v>1176550</v>
      </c>
      <c r="N3" s="65">
        <f t="shared" si="0"/>
        <v>393600</v>
      </c>
      <c r="O3" s="65">
        <f t="shared" si="0"/>
        <v>1570150</v>
      </c>
      <c r="P3" s="65">
        <f t="shared" si="0"/>
        <v>65610</v>
      </c>
    </row>
    <row r="4" spans="1:20" ht="63" thickBot="1" x14ac:dyDescent="0.35">
      <c r="A4" s="137" t="s">
        <v>1</v>
      </c>
      <c r="B4" s="138" t="s">
        <v>481</v>
      </c>
      <c r="C4" s="138" t="s">
        <v>5</v>
      </c>
      <c r="D4" s="28" t="s">
        <v>492</v>
      </c>
      <c r="E4" s="111" t="s">
        <v>970</v>
      </c>
      <c r="F4" s="138" t="s">
        <v>484</v>
      </c>
      <c r="G4" s="139" t="s">
        <v>60</v>
      </c>
      <c r="H4" s="138" t="s">
        <v>61</v>
      </c>
      <c r="I4" s="139" t="s">
        <v>2</v>
      </c>
      <c r="J4" s="140" t="s">
        <v>1241</v>
      </c>
      <c r="K4" s="141" t="s">
        <v>1240</v>
      </c>
      <c r="L4" s="142" t="s">
        <v>1207</v>
      </c>
      <c r="M4" s="143" t="s">
        <v>1478</v>
      </c>
      <c r="N4" s="143" t="s">
        <v>1420</v>
      </c>
      <c r="O4" s="143" t="s">
        <v>1477</v>
      </c>
      <c r="P4" s="143" t="s">
        <v>1479</v>
      </c>
      <c r="Q4" s="143" t="s">
        <v>1142</v>
      </c>
    </row>
    <row r="5" spans="1:20" ht="31.2" x14ac:dyDescent="0.4">
      <c r="A5" s="57">
        <v>0</v>
      </c>
      <c r="B5" s="164" t="s">
        <v>1305</v>
      </c>
      <c r="C5" s="58" t="s">
        <v>1305</v>
      </c>
      <c r="D5" s="57" t="s">
        <v>14</v>
      </c>
      <c r="E5" s="57">
        <v>8</v>
      </c>
      <c r="F5" s="57">
        <v>2132763</v>
      </c>
      <c r="G5" s="57">
        <v>2322277</v>
      </c>
      <c r="H5" s="57">
        <f>I5-G5</f>
        <v>3972.5</v>
      </c>
      <c r="I5" s="56">
        <v>2326249.5</v>
      </c>
      <c r="J5" s="135">
        <f>F5-I5</f>
        <v>-193486.5</v>
      </c>
      <c r="K5" s="136"/>
      <c r="L5" s="74"/>
      <c r="M5" s="4"/>
      <c r="N5" s="4"/>
      <c r="O5" s="4">
        <f>F5</f>
        <v>2132763</v>
      </c>
      <c r="P5" s="4">
        <f>I5-O5</f>
        <v>193486.5</v>
      </c>
      <c r="Q5" s="118">
        <v>1</v>
      </c>
      <c r="T5" s="145" t="s">
        <v>1242</v>
      </c>
    </row>
    <row r="6" spans="1:20" ht="33.75" customHeight="1" x14ac:dyDescent="0.3">
      <c r="A6" s="57">
        <v>1</v>
      </c>
      <c r="B6" s="172" t="s">
        <v>1413</v>
      </c>
      <c r="C6" s="10" t="s">
        <v>1417</v>
      </c>
      <c r="D6" s="4" t="s">
        <v>14</v>
      </c>
      <c r="E6" s="4">
        <v>3</v>
      </c>
      <c r="F6" s="4">
        <f t="shared" ref="F6:F14" si="1">G6-L6</f>
        <v>117750</v>
      </c>
      <c r="G6" s="4">
        <v>117750</v>
      </c>
      <c r="H6" s="4">
        <f t="shared" ref="H6:H14" si="2">I6-G6</f>
        <v>0</v>
      </c>
      <c r="I6" s="1">
        <v>117750</v>
      </c>
      <c r="J6" s="135">
        <f t="shared" ref="J6:J14" si="3">L6-K6</f>
        <v>0</v>
      </c>
      <c r="K6" s="132"/>
      <c r="L6" s="2"/>
      <c r="M6" s="169">
        <f>111150+6000+600</f>
        <v>117750</v>
      </c>
      <c r="N6" s="4">
        <v>0</v>
      </c>
      <c r="O6" s="4">
        <f>N6+M6</f>
        <v>117750</v>
      </c>
      <c r="P6" s="4">
        <f>I6-L6-O6</f>
        <v>0</v>
      </c>
      <c r="Q6" s="112">
        <v>1</v>
      </c>
      <c r="S6" s="165"/>
    </row>
    <row r="7" spans="1:20" ht="33.75" customHeight="1" x14ac:dyDescent="0.3">
      <c r="A7" s="4">
        <v>2</v>
      </c>
      <c r="B7" s="130" t="s">
        <v>544</v>
      </c>
      <c r="C7" s="10" t="s">
        <v>1416</v>
      </c>
      <c r="D7" s="4" t="s">
        <v>14</v>
      </c>
      <c r="E7" s="4">
        <v>3</v>
      </c>
      <c r="F7" s="4">
        <f t="shared" si="1"/>
        <v>322102</v>
      </c>
      <c r="G7" s="4">
        <v>322852</v>
      </c>
      <c r="H7" s="4">
        <f t="shared" si="2"/>
        <v>0</v>
      </c>
      <c r="I7" s="1">
        <v>322852</v>
      </c>
      <c r="J7" s="135">
        <f t="shared" si="3"/>
        <v>0</v>
      </c>
      <c r="K7" s="132">
        <v>750</v>
      </c>
      <c r="L7" s="2">
        <f>750</f>
        <v>750</v>
      </c>
      <c r="M7" s="169">
        <v>0</v>
      </c>
      <c r="N7" s="4">
        <v>280000</v>
      </c>
      <c r="O7" s="4">
        <f t="shared" ref="O7:O34" si="4">N7+M7</f>
        <v>280000</v>
      </c>
      <c r="P7" s="168">
        <f t="shared" ref="P7:P23" si="5">I7-L7-O7</f>
        <v>42102</v>
      </c>
      <c r="Q7" s="112">
        <v>1</v>
      </c>
      <c r="S7" s="165" t="s">
        <v>1543</v>
      </c>
    </row>
    <row r="8" spans="1:20" ht="33.75" customHeight="1" x14ac:dyDescent="0.3">
      <c r="A8" s="4">
        <v>3</v>
      </c>
      <c r="B8" s="172" t="s">
        <v>1414</v>
      </c>
      <c r="C8" s="10" t="s">
        <v>1415</v>
      </c>
      <c r="D8" s="4" t="s">
        <v>14</v>
      </c>
      <c r="E8" s="4">
        <v>5</v>
      </c>
      <c r="F8" s="4">
        <f t="shared" si="1"/>
        <v>204010</v>
      </c>
      <c r="G8" s="4">
        <v>204010</v>
      </c>
      <c r="H8" s="4">
        <f t="shared" si="2"/>
        <v>0</v>
      </c>
      <c r="I8" s="1">
        <v>204010</v>
      </c>
      <c r="J8" s="135">
        <f t="shared" si="3"/>
        <v>0</v>
      </c>
      <c r="K8" s="132"/>
      <c r="L8" s="2"/>
      <c r="M8" s="169">
        <f>120000+40000+30000+14000</f>
        <v>204000</v>
      </c>
      <c r="N8" s="4">
        <v>0</v>
      </c>
      <c r="O8" s="4">
        <f t="shared" si="4"/>
        <v>204000</v>
      </c>
      <c r="P8" s="4">
        <f t="shared" si="5"/>
        <v>10</v>
      </c>
      <c r="Q8" s="112">
        <v>1</v>
      </c>
      <c r="S8" s="165"/>
    </row>
    <row r="9" spans="1:20" ht="33.75" customHeight="1" x14ac:dyDescent="0.3">
      <c r="A9" s="4">
        <v>3</v>
      </c>
      <c r="B9" s="172" t="s">
        <v>1414</v>
      </c>
      <c r="C9" s="10" t="s">
        <v>1431</v>
      </c>
      <c r="D9" s="4" t="s">
        <v>14</v>
      </c>
      <c r="E9" s="4">
        <v>3</v>
      </c>
      <c r="F9" s="4">
        <f t="shared" ref="F9" si="6">G9-L9</f>
        <v>297550</v>
      </c>
      <c r="G9" s="4">
        <v>297550</v>
      </c>
      <c r="H9" s="4">
        <f t="shared" ref="H9" si="7">I9-G9</f>
        <v>0</v>
      </c>
      <c r="I9" s="1">
        <v>297550</v>
      </c>
      <c r="J9" s="135">
        <f t="shared" ref="J9" si="8">L9-K9</f>
        <v>0</v>
      </c>
      <c r="K9" s="132"/>
      <c r="L9" s="2"/>
      <c r="M9" s="169">
        <f>210000+4000</f>
        <v>214000</v>
      </c>
      <c r="N9" s="4">
        <v>83600</v>
      </c>
      <c r="O9" s="4">
        <f t="shared" si="4"/>
        <v>297600</v>
      </c>
      <c r="P9" s="168">
        <f>I9-L9-O9</f>
        <v>-50</v>
      </c>
      <c r="Q9" s="112">
        <v>1</v>
      </c>
      <c r="S9" s="165"/>
    </row>
    <row r="10" spans="1:20" ht="33.75" customHeight="1" x14ac:dyDescent="0.3">
      <c r="A10" s="4">
        <v>4</v>
      </c>
      <c r="B10" s="130" t="s">
        <v>1418</v>
      </c>
      <c r="C10" s="10" t="s">
        <v>1419</v>
      </c>
      <c r="D10" s="4" t="s">
        <v>14</v>
      </c>
      <c r="E10" s="4">
        <v>1</v>
      </c>
      <c r="F10" s="4">
        <f t="shared" si="1"/>
        <v>7900</v>
      </c>
      <c r="G10" s="4">
        <v>7900</v>
      </c>
      <c r="H10" s="4">
        <f t="shared" si="2"/>
        <v>0</v>
      </c>
      <c r="I10" s="1">
        <v>7900</v>
      </c>
      <c r="J10" s="135">
        <f t="shared" si="3"/>
        <v>0</v>
      </c>
      <c r="K10" s="132"/>
      <c r="L10" s="2"/>
      <c r="M10" s="169">
        <v>7900</v>
      </c>
      <c r="N10" s="4">
        <v>0</v>
      </c>
      <c r="O10" s="4">
        <f t="shared" si="4"/>
        <v>7900</v>
      </c>
      <c r="P10" s="4">
        <f t="shared" si="5"/>
        <v>0</v>
      </c>
      <c r="Q10" s="112">
        <v>1</v>
      </c>
      <c r="S10" s="165"/>
    </row>
    <row r="11" spans="1:20" ht="33.75" customHeight="1" x14ac:dyDescent="0.3">
      <c r="A11" s="4">
        <v>5</v>
      </c>
      <c r="B11" s="172" t="s">
        <v>1421</v>
      </c>
      <c r="C11" s="10" t="s">
        <v>983</v>
      </c>
      <c r="D11" s="4" t="s">
        <v>14</v>
      </c>
      <c r="E11" s="4">
        <v>5</v>
      </c>
      <c r="F11" s="4">
        <f t="shared" si="1"/>
        <v>12596</v>
      </c>
      <c r="G11" s="4">
        <v>12596</v>
      </c>
      <c r="H11" s="4">
        <f t="shared" si="2"/>
        <v>0</v>
      </c>
      <c r="I11" s="1">
        <v>12596</v>
      </c>
      <c r="J11" s="135">
        <f t="shared" si="3"/>
        <v>0</v>
      </c>
      <c r="K11" s="132"/>
      <c r="L11" s="2"/>
      <c r="M11" s="169">
        <f>9000+1500+1500+600</f>
        <v>12600</v>
      </c>
      <c r="N11" s="4">
        <v>0</v>
      </c>
      <c r="O11" s="4">
        <f t="shared" si="4"/>
        <v>12600</v>
      </c>
      <c r="P11" s="4">
        <f t="shared" si="5"/>
        <v>-4</v>
      </c>
      <c r="Q11" s="112">
        <v>1</v>
      </c>
      <c r="S11" s="165"/>
    </row>
    <row r="12" spans="1:20" ht="33.6" customHeight="1" x14ac:dyDescent="0.3">
      <c r="A12" s="4">
        <v>6</v>
      </c>
      <c r="B12" s="172" t="s">
        <v>1422</v>
      </c>
      <c r="C12" s="10" t="s">
        <v>1423</v>
      </c>
      <c r="D12" s="4" t="s">
        <v>14</v>
      </c>
      <c r="E12" s="4">
        <v>4</v>
      </c>
      <c r="F12" s="4">
        <f t="shared" si="1"/>
        <v>13500</v>
      </c>
      <c r="G12" s="4">
        <v>13500</v>
      </c>
      <c r="H12" s="4">
        <f t="shared" si="2"/>
        <v>0</v>
      </c>
      <c r="I12" s="1">
        <v>13500</v>
      </c>
      <c r="J12" s="135">
        <f t="shared" si="3"/>
        <v>0</v>
      </c>
      <c r="K12" s="132"/>
      <c r="L12" s="2"/>
      <c r="M12" s="169">
        <f>10000+1000+1000+1500</f>
        <v>13500</v>
      </c>
      <c r="N12" s="4">
        <v>0</v>
      </c>
      <c r="O12" s="4">
        <f t="shared" si="4"/>
        <v>13500</v>
      </c>
      <c r="P12" s="4">
        <f t="shared" si="5"/>
        <v>0</v>
      </c>
      <c r="Q12" s="112">
        <v>1</v>
      </c>
      <c r="S12" s="165"/>
    </row>
    <row r="13" spans="1:20" ht="33.75" customHeight="1" x14ac:dyDescent="0.3">
      <c r="A13" s="4">
        <v>7</v>
      </c>
      <c r="B13" s="171" t="s">
        <v>75</v>
      </c>
      <c r="C13" s="10" t="s">
        <v>1424</v>
      </c>
      <c r="D13" s="4" t="s">
        <v>14</v>
      </c>
      <c r="E13" s="4">
        <v>5</v>
      </c>
      <c r="F13" s="4">
        <f t="shared" si="1"/>
        <v>79461</v>
      </c>
      <c r="G13" s="4">
        <v>79461</v>
      </c>
      <c r="H13" s="4">
        <f t="shared" si="2"/>
        <v>0</v>
      </c>
      <c r="I13" s="1">
        <v>79461</v>
      </c>
      <c r="J13" s="135">
        <f t="shared" si="3"/>
        <v>0</v>
      </c>
      <c r="K13" s="132">
        <v>0</v>
      </c>
      <c r="L13" s="2">
        <v>0</v>
      </c>
      <c r="M13" s="169">
        <f>60500+13000+900+5000</f>
        <v>79400</v>
      </c>
      <c r="N13" s="4">
        <v>0</v>
      </c>
      <c r="O13" s="4">
        <f t="shared" si="4"/>
        <v>79400</v>
      </c>
      <c r="P13" s="168">
        <f t="shared" si="5"/>
        <v>61</v>
      </c>
      <c r="Q13" s="112" t="s">
        <v>1567</v>
      </c>
      <c r="S13" s="165"/>
    </row>
    <row r="14" spans="1:20" ht="33.6" customHeight="1" x14ac:dyDescent="0.3">
      <c r="A14" s="4">
        <v>8</v>
      </c>
      <c r="B14" s="10" t="s">
        <v>822</v>
      </c>
      <c r="C14" s="10" t="s">
        <v>726</v>
      </c>
      <c r="D14" s="4" t="s">
        <v>14</v>
      </c>
      <c r="E14" s="4">
        <v>1</v>
      </c>
      <c r="F14" s="4">
        <f t="shared" si="1"/>
        <v>1800</v>
      </c>
      <c r="G14" s="4">
        <v>1800</v>
      </c>
      <c r="H14" s="4">
        <f t="shared" si="2"/>
        <v>0</v>
      </c>
      <c r="I14" s="1">
        <v>1800</v>
      </c>
      <c r="J14" s="135">
        <f t="shared" si="3"/>
        <v>0</v>
      </c>
      <c r="K14" s="132">
        <v>0</v>
      </c>
      <c r="L14" s="2">
        <v>0</v>
      </c>
      <c r="M14" s="169">
        <v>1800</v>
      </c>
      <c r="N14" s="4">
        <v>0</v>
      </c>
      <c r="O14" s="4">
        <f t="shared" si="4"/>
        <v>1800</v>
      </c>
      <c r="P14" s="4">
        <f t="shared" si="5"/>
        <v>0</v>
      </c>
      <c r="Q14" s="112">
        <v>0.75</v>
      </c>
      <c r="S14" s="165"/>
    </row>
    <row r="15" spans="1:20" ht="33.75" customHeight="1" x14ac:dyDescent="0.3">
      <c r="A15" s="4">
        <v>9</v>
      </c>
      <c r="B15" s="171" t="s">
        <v>1425</v>
      </c>
      <c r="C15" s="10" t="s">
        <v>837</v>
      </c>
      <c r="D15" s="4" t="s">
        <v>14</v>
      </c>
      <c r="E15" s="4">
        <v>3</v>
      </c>
      <c r="F15" s="4">
        <f t="shared" ref="F15:F21" si="9">G15-L15</f>
        <v>45000</v>
      </c>
      <c r="G15" s="4">
        <v>45000</v>
      </c>
      <c r="H15" s="4">
        <f t="shared" ref="H15:H21" si="10">I15-G15</f>
        <v>0</v>
      </c>
      <c r="I15" s="1">
        <v>45000</v>
      </c>
      <c r="J15" s="135">
        <f t="shared" ref="J15:J21" si="11">L15-K15</f>
        <v>0</v>
      </c>
      <c r="K15" s="132">
        <v>0</v>
      </c>
      <c r="L15" s="2">
        <v>0</v>
      </c>
      <c r="M15" s="169">
        <f>42000+3000</f>
        <v>45000</v>
      </c>
      <c r="N15" s="4">
        <v>0</v>
      </c>
      <c r="O15" s="4">
        <f t="shared" si="4"/>
        <v>45000</v>
      </c>
      <c r="P15" s="4">
        <f t="shared" si="5"/>
        <v>0</v>
      </c>
      <c r="Q15" s="112">
        <v>1</v>
      </c>
      <c r="S15" s="165"/>
    </row>
    <row r="16" spans="1:20" ht="33.6" customHeight="1" x14ac:dyDescent="0.3">
      <c r="A16" s="4">
        <v>10</v>
      </c>
      <c r="B16" s="171" t="s">
        <v>1426</v>
      </c>
      <c r="C16" s="10" t="s">
        <v>1427</v>
      </c>
      <c r="D16" s="4" t="s">
        <v>14</v>
      </c>
      <c r="E16" s="4">
        <v>3</v>
      </c>
      <c r="F16" s="4">
        <f t="shared" si="9"/>
        <v>61000</v>
      </c>
      <c r="G16" s="4">
        <v>61000</v>
      </c>
      <c r="H16" s="4">
        <f t="shared" si="10"/>
        <v>0</v>
      </c>
      <c r="I16" s="1">
        <v>61000</v>
      </c>
      <c r="J16" s="135">
        <f t="shared" si="11"/>
        <v>0</v>
      </c>
      <c r="K16" s="132">
        <v>0</v>
      </c>
      <c r="L16" s="2">
        <v>0</v>
      </c>
      <c r="M16" s="169">
        <f>41000+3500+3000+7000+3000+3000</f>
        <v>60500</v>
      </c>
      <c r="N16" s="4">
        <v>0</v>
      </c>
      <c r="O16" s="4">
        <f t="shared" si="4"/>
        <v>60500</v>
      </c>
      <c r="P16" s="4">
        <f t="shared" si="5"/>
        <v>500</v>
      </c>
      <c r="Q16" s="112">
        <v>1</v>
      </c>
      <c r="S16" s="165"/>
    </row>
    <row r="17" spans="1:19" ht="33.75" customHeight="1" x14ac:dyDescent="0.3">
      <c r="A17" s="4">
        <v>11</v>
      </c>
      <c r="B17" s="171" t="s">
        <v>1428</v>
      </c>
      <c r="C17" s="10" t="s">
        <v>557</v>
      </c>
      <c r="D17" s="4" t="s">
        <v>14</v>
      </c>
      <c r="E17" s="4">
        <v>2</v>
      </c>
      <c r="F17" s="4">
        <f t="shared" si="9"/>
        <v>21650</v>
      </c>
      <c r="G17" s="4">
        <v>21650</v>
      </c>
      <c r="H17" s="4">
        <f t="shared" si="10"/>
        <v>0</v>
      </c>
      <c r="I17" s="1">
        <v>21650</v>
      </c>
      <c r="J17" s="135">
        <f t="shared" si="11"/>
        <v>0</v>
      </c>
      <c r="K17" s="132">
        <v>0</v>
      </c>
      <c r="L17" s="2">
        <v>0</v>
      </c>
      <c r="M17" s="169">
        <f>20100+1000+500</f>
        <v>21600</v>
      </c>
      <c r="N17" s="4">
        <v>0</v>
      </c>
      <c r="O17" s="4">
        <f t="shared" si="4"/>
        <v>21600</v>
      </c>
      <c r="P17" s="4">
        <f t="shared" si="5"/>
        <v>50</v>
      </c>
      <c r="Q17" s="112">
        <v>1</v>
      </c>
      <c r="S17" s="165"/>
    </row>
    <row r="18" spans="1:19" ht="33.75" customHeight="1" x14ac:dyDescent="0.3">
      <c r="A18" s="4">
        <v>12</v>
      </c>
      <c r="B18" s="10" t="s">
        <v>1429</v>
      </c>
      <c r="C18" s="10" t="s">
        <v>1430</v>
      </c>
      <c r="D18" s="4" t="s">
        <v>14</v>
      </c>
      <c r="E18" s="4">
        <v>2</v>
      </c>
      <c r="F18" s="4">
        <f t="shared" si="9"/>
        <v>9550</v>
      </c>
      <c r="G18" s="4">
        <v>9550</v>
      </c>
      <c r="H18" s="4">
        <f t="shared" si="10"/>
        <v>0</v>
      </c>
      <c r="I18" s="1">
        <v>9550</v>
      </c>
      <c r="J18" s="135">
        <f t="shared" si="11"/>
        <v>0</v>
      </c>
      <c r="K18" s="132">
        <v>0</v>
      </c>
      <c r="L18" s="2">
        <v>0</v>
      </c>
      <c r="M18" s="169">
        <v>8350</v>
      </c>
      <c r="N18" s="4">
        <v>0</v>
      </c>
      <c r="O18" s="4">
        <f t="shared" si="4"/>
        <v>8350</v>
      </c>
      <c r="P18" s="4">
        <f t="shared" si="5"/>
        <v>1200</v>
      </c>
      <c r="Q18" s="112">
        <v>1</v>
      </c>
      <c r="S18" s="165"/>
    </row>
    <row r="19" spans="1:19" ht="33.75" customHeight="1" x14ac:dyDescent="0.3">
      <c r="A19" s="4">
        <v>13</v>
      </c>
      <c r="B19" s="10" t="s">
        <v>1432</v>
      </c>
      <c r="C19" s="10" t="s">
        <v>1433</v>
      </c>
      <c r="D19" s="4" t="s">
        <v>14</v>
      </c>
      <c r="E19" s="4">
        <v>2</v>
      </c>
      <c r="F19" s="4">
        <f t="shared" si="9"/>
        <v>2520</v>
      </c>
      <c r="G19" s="4">
        <v>2520</v>
      </c>
      <c r="H19" s="4">
        <f t="shared" si="10"/>
        <v>0</v>
      </c>
      <c r="I19" s="1">
        <v>2520</v>
      </c>
      <c r="J19" s="135">
        <f t="shared" si="11"/>
        <v>0</v>
      </c>
      <c r="K19" s="132">
        <v>0</v>
      </c>
      <c r="L19" s="2">
        <v>0</v>
      </c>
      <c r="M19" s="169">
        <v>2500</v>
      </c>
      <c r="N19" s="4">
        <v>0</v>
      </c>
      <c r="O19" s="4">
        <f t="shared" si="4"/>
        <v>2500</v>
      </c>
      <c r="P19" s="4">
        <f t="shared" si="5"/>
        <v>20</v>
      </c>
      <c r="Q19" s="112">
        <v>1</v>
      </c>
      <c r="S19" s="165"/>
    </row>
    <row r="20" spans="1:19" ht="33.75" customHeight="1" x14ac:dyDescent="0.3">
      <c r="A20" s="4">
        <v>14</v>
      </c>
      <c r="B20" s="171" t="s">
        <v>1307</v>
      </c>
      <c r="C20" s="10" t="s">
        <v>621</v>
      </c>
      <c r="D20" s="4" t="s">
        <v>14</v>
      </c>
      <c r="E20" s="4">
        <v>3</v>
      </c>
      <c r="F20" s="4">
        <f t="shared" si="9"/>
        <v>211521</v>
      </c>
      <c r="G20" s="4">
        <v>211521</v>
      </c>
      <c r="H20" s="4">
        <f t="shared" si="10"/>
        <v>0</v>
      </c>
      <c r="I20" s="1">
        <v>211521</v>
      </c>
      <c r="J20" s="135">
        <f t="shared" si="11"/>
        <v>0</v>
      </c>
      <c r="K20" s="132">
        <v>0</v>
      </c>
      <c r="L20" s="2">
        <v>0</v>
      </c>
      <c r="M20" s="169">
        <f>185000+14000+10000+2500</f>
        <v>211500</v>
      </c>
      <c r="N20" s="4">
        <v>0</v>
      </c>
      <c r="O20" s="4">
        <f t="shared" si="4"/>
        <v>211500</v>
      </c>
      <c r="P20" s="4">
        <f t="shared" si="5"/>
        <v>21</v>
      </c>
      <c r="Q20" s="112">
        <v>1</v>
      </c>
      <c r="S20" s="165"/>
    </row>
    <row r="21" spans="1:19" ht="33.75" customHeight="1" x14ac:dyDescent="0.3">
      <c r="A21" s="4">
        <v>15</v>
      </c>
      <c r="B21" s="10" t="s">
        <v>1434</v>
      </c>
      <c r="C21" s="10" t="s">
        <v>1435</v>
      </c>
      <c r="D21" s="4" t="s">
        <v>14</v>
      </c>
      <c r="E21" s="4">
        <v>2</v>
      </c>
      <c r="F21" s="4">
        <f t="shared" si="9"/>
        <v>63650</v>
      </c>
      <c r="G21" s="4">
        <v>63650</v>
      </c>
      <c r="H21" s="4">
        <f t="shared" si="10"/>
        <v>0</v>
      </c>
      <c r="I21" s="1">
        <v>63650</v>
      </c>
      <c r="J21" s="135">
        <f t="shared" si="11"/>
        <v>0</v>
      </c>
      <c r="K21" s="132">
        <v>0</v>
      </c>
      <c r="L21" s="2">
        <v>0</v>
      </c>
      <c r="M21" s="169">
        <v>63650</v>
      </c>
      <c r="N21" s="4">
        <v>0</v>
      </c>
      <c r="O21" s="4">
        <f t="shared" si="4"/>
        <v>63650</v>
      </c>
      <c r="P21" s="4">
        <f t="shared" si="5"/>
        <v>0</v>
      </c>
      <c r="Q21" s="112">
        <v>1</v>
      </c>
      <c r="S21" s="165"/>
    </row>
    <row r="22" spans="1:19" ht="33.75" customHeight="1" x14ac:dyDescent="0.3">
      <c r="A22" s="4">
        <v>16</v>
      </c>
      <c r="B22" s="10" t="s">
        <v>1436</v>
      </c>
      <c r="C22" s="10" t="s">
        <v>1437</v>
      </c>
      <c r="D22" s="4" t="s">
        <v>14</v>
      </c>
      <c r="E22" s="4">
        <v>3</v>
      </c>
      <c r="F22" s="4">
        <f t="shared" ref="F22" si="12">G22-L22</f>
        <v>42400</v>
      </c>
      <c r="G22" s="4">
        <v>42400</v>
      </c>
      <c r="H22" s="4">
        <f t="shared" ref="H22" si="13">I22-G22</f>
        <v>0</v>
      </c>
      <c r="I22" s="1">
        <v>42400</v>
      </c>
      <c r="J22" s="135">
        <f t="shared" ref="J22" si="14">L22-K22</f>
        <v>0</v>
      </c>
      <c r="K22" s="132">
        <v>0</v>
      </c>
      <c r="L22" s="2">
        <v>0</v>
      </c>
      <c r="M22" s="169">
        <f>36000+3500</f>
        <v>39500</v>
      </c>
      <c r="N22" s="4">
        <v>0</v>
      </c>
      <c r="O22" s="4">
        <f t="shared" si="4"/>
        <v>39500</v>
      </c>
      <c r="P22" s="4">
        <f t="shared" si="5"/>
        <v>2900</v>
      </c>
      <c r="Q22" s="112">
        <v>1</v>
      </c>
      <c r="S22" s="165"/>
    </row>
    <row r="23" spans="1:19" ht="39.9" customHeight="1" x14ac:dyDescent="0.3">
      <c r="A23" s="4">
        <v>17</v>
      </c>
      <c r="B23" s="171" t="s">
        <v>1108</v>
      </c>
      <c r="C23" s="10" t="s">
        <v>1476</v>
      </c>
      <c r="D23" s="4" t="s">
        <v>14</v>
      </c>
      <c r="E23" s="4">
        <v>3</v>
      </c>
      <c r="F23" s="4">
        <f t="shared" ref="F23" si="15">G23-L23</f>
        <v>93800</v>
      </c>
      <c r="G23" s="4">
        <v>93800</v>
      </c>
      <c r="H23" s="4">
        <f t="shared" ref="H23" si="16">I23-G23</f>
        <v>0</v>
      </c>
      <c r="I23" s="1">
        <v>93800</v>
      </c>
      <c r="J23" s="135">
        <f t="shared" ref="J23" si="17">L23-K23</f>
        <v>0</v>
      </c>
      <c r="K23" s="132">
        <v>0</v>
      </c>
      <c r="L23" s="2">
        <v>0</v>
      </c>
      <c r="M23" s="169">
        <f>25000+20000</f>
        <v>45000</v>
      </c>
      <c r="N23" s="4">
        <v>30000</v>
      </c>
      <c r="O23" s="4">
        <f t="shared" si="4"/>
        <v>75000</v>
      </c>
      <c r="P23" s="4">
        <f t="shared" si="5"/>
        <v>18800</v>
      </c>
      <c r="Q23" s="112">
        <v>1</v>
      </c>
      <c r="S23" s="170" t="s">
        <v>1544</v>
      </c>
    </row>
    <row r="24" spans="1:19" ht="39.9" customHeight="1" x14ac:dyDescent="0.3">
      <c r="A24" s="4">
        <v>18</v>
      </c>
      <c r="B24" s="171" t="s">
        <v>1480</v>
      </c>
      <c r="C24" s="10" t="s">
        <v>1481</v>
      </c>
      <c r="D24" s="4" t="s">
        <v>14</v>
      </c>
      <c r="E24" s="4">
        <v>2</v>
      </c>
      <c r="F24" s="4">
        <f t="shared" ref="F24" si="18">G24-L24</f>
        <v>28000</v>
      </c>
      <c r="G24" s="4">
        <v>28000</v>
      </c>
      <c r="H24" s="4">
        <f t="shared" ref="H24" si="19">I24-G24</f>
        <v>0</v>
      </c>
      <c r="I24" s="1">
        <v>28000</v>
      </c>
      <c r="J24" s="135">
        <f t="shared" ref="J24" si="20">L24-K24</f>
        <v>0</v>
      </c>
      <c r="K24" s="132">
        <v>0</v>
      </c>
      <c r="L24" s="2">
        <v>0</v>
      </c>
      <c r="M24" s="169">
        <f>25000+1600+1400</f>
        <v>28000</v>
      </c>
      <c r="N24" s="4">
        <v>0</v>
      </c>
      <c r="O24" s="4">
        <f t="shared" ref="O24" si="21">N24+M24</f>
        <v>28000</v>
      </c>
      <c r="P24" s="4">
        <f t="shared" ref="P24" si="22">I24-L24-O24</f>
        <v>0</v>
      </c>
      <c r="Q24" s="112">
        <v>1</v>
      </c>
    </row>
    <row r="25" spans="1:19" ht="31.2" x14ac:dyDescent="0.55000000000000004">
      <c r="A25" s="4"/>
      <c r="B25" s="10"/>
      <c r="C25" s="10"/>
      <c r="D25" s="4"/>
      <c r="E25" s="4"/>
      <c r="F25" s="4"/>
      <c r="G25" s="4"/>
      <c r="H25" s="4"/>
      <c r="I25" s="1"/>
      <c r="J25" s="93"/>
      <c r="K25" s="132"/>
      <c r="L25" s="2"/>
      <c r="M25" s="4"/>
      <c r="N25" s="4"/>
      <c r="O25" s="4">
        <f t="shared" si="4"/>
        <v>0</v>
      </c>
      <c r="P25" s="4"/>
      <c r="Q25" s="144"/>
    </row>
    <row r="26" spans="1:19" ht="31.2" x14ac:dyDescent="0.55000000000000004">
      <c r="A26" s="4"/>
      <c r="B26" s="10"/>
      <c r="C26" s="10"/>
      <c r="D26" s="4"/>
      <c r="E26" s="4"/>
      <c r="F26" s="4"/>
      <c r="G26" s="4"/>
      <c r="H26" s="4"/>
      <c r="I26" s="1"/>
      <c r="J26" s="93"/>
      <c r="K26" s="132"/>
      <c r="L26" s="2"/>
      <c r="M26" s="4"/>
      <c r="N26" s="4"/>
      <c r="O26" s="4">
        <f t="shared" si="4"/>
        <v>0</v>
      </c>
      <c r="P26" s="4"/>
      <c r="Q26" s="144"/>
    </row>
    <row r="27" spans="1:19" ht="31.2" x14ac:dyDescent="0.55000000000000004">
      <c r="A27" s="4"/>
      <c r="B27" s="10"/>
      <c r="C27" s="10"/>
      <c r="D27" s="4"/>
      <c r="E27" s="4"/>
      <c r="F27" s="4"/>
      <c r="G27" s="4"/>
      <c r="H27" s="4"/>
      <c r="I27" s="1"/>
      <c r="J27" s="93"/>
      <c r="K27" s="132"/>
      <c r="L27" s="2"/>
      <c r="M27" s="4"/>
      <c r="N27" s="4"/>
      <c r="O27" s="4">
        <f t="shared" si="4"/>
        <v>0</v>
      </c>
      <c r="P27" s="4"/>
      <c r="Q27" s="144"/>
    </row>
    <row r="28" spans="1:19" ht="31.2" x14ac:dyDescent="0.55000000000000004">
      <c r="A28" s="4"/>
      <c r="B28" s="10"/>
      <c r="C28" s="10"/>
      <c r="D28" s="4"/>
      <c r="E28" s="4"/>
      <c r="F28" s="4"/>
      <c r="G28" s="4"/>
      <c r="H28" s="4"/>
      <c r="I28" s="1"/>
      <c r="J28" s="93"/>
      <c r="K28" s="132"/>
      <c r="L28" s="2"/>
      <c r="M28" s="4"/>
      <c r="N28" s="4"/>
      <c r="O28" s="4">
        <f t="shared" si="4"/>
        <v>0</v>
      </c>
      <c r="P28" s="4"/>
      <c r="Q28" s="144"/>
    </row>
    <row r="29" spans="1:19" ht="31.2" x14ac:dyDescent="0.55000000000000004">
      <c r="A29" s="4"/>
      <c r="B29" s="10"/>
      <c r="C29" s="10"/>
      <c r="D29" s="4"/>
      <c r="E29" s="4"/>
      <c r="F29" s="4"/>
      <c r="G29" s="4"/>
      <c r="H29" s="4"/>
      <c r="I29" s="1"/>
      <c r="J29" s="93"/>
      <c r="K29" s="132"/>
      <c r="L29" s="2"/>
      <c r="M29" s="4"/>
      <c r="N29" s="4"/>
      <c r="O29" s="4">
        <f t="shared" si="4"/>
        <v>0</v>
      </c>
      <c r="P29" s="4"/>
      <c r="Q29" s="144"/>
    </row>
    <row r="30" spans="1:19" ht="39.9" customHeight="1" x14ac:dyDescent="0.55000000000000004">
      <c r="A30" s="4"/>
      <c r="B30" s="10"/>
      <c r="C30" s="10"/>
      <c r="D30" s="4"/>
      <c r="E30" s="4"/>
      <c r="F30" s="4"/>
      <c r="G30" s="4"/>
      <c r="H30" s="4"/>
      <c r="I30" s="1"/>
      <c r="J30" s="93"/>
      <c r="K30" s="132"/>
      <c r="L30" s="2"/>
      <c r="M30" s="4"/>
      <c r="N30" s="4"/>
      <c r="O30" s="4">
        <f t="shared" si="4"/>
        <v>0</v>
      </c>
      <c r="P30" s="4"/>
      <c r="Q30" s="144"/>
    </row>
    <row r="31" spans="1:19" ht="39.9" customHeight="1" x14ac:dyDescent="0.55000000000000004">
      <c r="A31" s="4"/>
      <c r="B31" s="10"/>
      <c r="C31" s="10"/>
      <c r="D31" s="4"/>
      <c r="E31" s="4"/>
      <c r="F31" s="4"/>
      <c r="G31" s="4"/>
      <c r="H31" s="4"/>
      <c r="I31" s="1"/>
      <c r="J31" s="93"/>
      <c r="K31" s="132"/>
      <c r="L31" s="2"/>
      <c r="M31" s="4"/>
      <c r="N31" s="4"/>
      <c r="O31" s="4">
        <f t="shared" si="4"/>
        <v>0</v>
      </c>
      <c r="P31" s="4"/>
      <c r="Q31" s="144"/>
    </row>
    <row r="32" spans="1:19" ht="39.9" customHeight="1" x14ac:dyDescent="0.55000000000000004">
      <c r="A32" s="4"/>
      <c r="B32" s="10"/>
      <c r="C32" s="10"/>
      <c r="D32" s="4"/>
      <c r="E32" s="4"/>
      <c r="F32" s="4"/>
      <c r="G32" s="4"/>
      <c r="H32" s="4"/>
      <c r="I32" s="1"/>
      <c r="J32" s="93"/>
      <c r="K32" s="132"/>
      <c r="L32" s="2"/>
      <c r="M32" s="4"/>
      <c r="N32" s="4"/>
      <c r="O32" s="4">
        <f t="shared" si="4"/>
        <v>0</v>
      </c>
      <c r="P32" s="4"/>
      <c r="Q32" s="144"/>
    </row>
    <row r="33" spans="1:17" ht="39.9" customHeight="1" x14ac:dyDescent="0.55000000000000004">
      <c r="A33" s="4"/>
      <c r="B33" s="10"/>
      <c r="C33" s="10"/>
      <c r="D33" s="4"/>
      <c r="E33" s="4"/>
      <c r="F33" s="4"/>
      <c r="G33" s="4"/>
      <c r="H33" s="4"/>
      <c r="I33" s="1"/>
      <c r="J33" s="93"/>
      <c r="K33" s="132"/>
      <c r="L33" s="2"/>
      <c r="M33" s="4"/>
      <c r="N33" s="4"/>
      <c r="O33" s="4">
        <f t="shared" si="4"/>
        <v>0</v>
      </c>
      <c r="P33" s="4"/>
      <c r="Q33" s="144"/>
    </row>
    <row r="34" spans="1:17" ht="39.9" customHeight="1" x14ac:dyDescent="0.55000000000000004">
      <c r="A34" s="4"/>
      <c r="B34" s="10"/>
      <c r="C34" s="10"/>
      <c r="D34" s="4"/>
      <c r="E34" s="4"/>
      <c r="F34" s="4"/>
      <c r="G34" s="4"/>
      <c r="H34" s="4"/>
      <c r="I34" s="1"/>
      <c r="J34" s="93"/>
      <c r="K34" s="132"/>
      <c r="L34" s="2"/>
      <c r="M34" s="4"/>
      <c r="N34" s="4"/>
      <c r="O34" s="4">
        <f t="shared" si="4"/>
        <v>0</v>
      </c>
      <c r="P34" s="4"/>
      <c r="Q34" s="144"/>
    </row>
    <row r="35" spans="1:17" ht="39.9" customHeight="1" x14ac:dyDescent="0.55000000000000004">
      <c r="A35" s="4"/>
      <c r="B35" s="10"/>
      <c r="C35" s="10"/>
      <c r="D35" s="4"/>
      <c r="E35" s="4"/>
      <c r="F35" s="4"/>
      <c r="G35" s="4"/>
      <c r="H35" s="4"/>
      <c r="I35" s="1"/>
      <c r="J35" s="93"/>
      <c r="K35" s="132"/>
      <c r="L35" s="2"/>
      <c r="M35" s="4"/>
      <c r="N35" s="4"/>
      <c r="O35" s="4"/>
      <c r="P35" s="4"/>
      <c r="Q35" s="144"/>
    </row>
    <row r="36" spans="1:17" ht="39.9" customHeight="1" x14ac:dyDescent="0.55000000000000004">
      <c r="A36" s="4"/>
      <c r="B36" s="10"/>
      <c r="C36" s="10"/>
      <c r="D36" s="4"/>
      <c r="E36" s="4"/>
      <c r="F36" s="4"/>
      <c r="G36" s="4"/>
      <c r="H36" s="4"/>
      <c r="I36" s="1"/>
      <c r="J36" s="93"/>
      <c r="K36" s="132"/>
      <c r="L36" s="2"/>
      <c r="M36" s="4"/>
      <c r="N36" s="4"/>
      <c r="O36" s="4"/>
      <c r="P36" s="4"/>
      <c r="Q36" s="144"/>
    </row>
    <row r="37" spans="1:17" ht="39.9" customHeight="1" x14ac:dyDescent="0.55000000000000004">
      <c r="A37" s="4"/>
      <c r="B37" s="10"/>
      <c r="C37" s="10"/>
      <c r="D37" s="4"/>
      <c r="E37" s="4"/>
      <c r="F37" s="4"/>
      <c r="G37" s="4"/>
      <c r="H37" s="4"/>
      <c r="I37" s="1"/>
      <c r="J37" s="93"/>
      <c r="K37" s="132"/>
      <c r="L37" s="2"/>
      <c r="M37" s="4"/>
      <c r="N37" s="4"/>
      <c r="O37" s="4"/>
      <c r="P37" s="4"/>
      <c r="Q37" s="144"/>
    </row>
    <row r="38" spans="1:17" ht="39.9" customHeight="1" x14ac:dyDescent="0.55000000000000004">
      <c r="A38" s="4"/>
      <c r="B38" s="10"/>
      <c r="C38" s="10"/>
      <c r="D38" s="4"/>
      <c r="E38" s="4"/>
      <c r="F38" s="4"/>
      <c r="G38" s="4"/>
      <c r="H38" s="4"/>
      <c r="I38" s="1"/>
      <c r="J38" s="93"/>
      <c r="K38" s="132"/>
      <c r="L38" s="2"/>
      <c r="M38" s="4"/>
      <c r="N38" s="4"/>
      <c r="O38" s="4"/>
      <c r="P38" s="4"/>
      <c r="Q38" s="144"/>
    </row>
    <row r="39" spans="1:17" ht="39.9" customHeight="1" x14ac:dyDescent="0.55000000000000004">
      <c r="A39" s="4"/>
      <c r="B39" s="10"/>
      <c r="C39" s="10"/>
      <c r="D39" s="4"/>
      <c r="E39" s="4"/>
      <c r="F39" s="4"/>
      <c r="G39" s="4"/>
      <c r="H39" s="4"/>
      <c r="I39" s="1"/>
      <c r="J39" s="93"/>
      <c r="K39" s="132"/>
      <c r="L39" s="2"/>
      <c r="M39" s="4"/>
      <c r="N39" s="4"/>
      <c r="O39" s="4"/>
      <c r="P39" s="4"/>
      <c r="Q39" s="144"/>
    </row>
    <row r="40" spans="1:17" ht="84.6" customHeight="1" x14ac:dyDescent="0.55000000000000004">
      <c r="A40" s="4"/>
      <c r="B40" s="10"/>
      <c r="C40" s="10"/>
      <c r="D40" s="4"/>
      <c r="E40" s="4"/>
      <c r="F40" s="4"/>
      <c r="G40" s="4"/>
      <c r="H40" s="4"/>
      <c r="I40" s="1"/>
      <c r="J40" s="93"/>
      <c r="K40" s="132"/>
      <c r="L40" s="2"/>
      <c r="M40" s="4"/>
      <c r="N40" s="4"/>
      <c r="O40" s="4"/>
      <c r="P40" s="4"/>
      <c r="Q40" s="144"/>
    </row>
    <row r="41" spans="1:17" ht="57.6" customHeight="1" x14ac:dyDescent="0.55000000000000004">
      <c r="A41" s="4"/>
      <c r="B41" s="10"/>
      <c r="C41" s="10"/>
      <c r="D41" s="4"/>
      <c r="E41" s="4"/>
      <c r="F41" s="4"/>
      <c r="G41" s="4"/>
      <c r="H41" s="4"/>
      <c r="I41" s="1"/>
      <c r="J41" s="93"/>
      <c r="K41" s="132"/>
      <c r="L41" s="2"/>
      <c r="M41" s="144"/>
      <c r="N41" s="144"/>
      <c r="O41" s="144"/>
      <c r="P41" s="144"/>
      <c r="Q41" s="144"/>
    </row>
    <row r="42" spans="1:17" ht="68.400000000000006" customHeight="1" x14ac:dyDescent="0.55000000000000004">
      <c r="A42" s="4"/>
      <c r="B42" s="10"/>
      <c r="C42" s="10"/>
      <c r="D42" s="4"/>
      <c r="E42" s="4"/>
      <c r="F42" s="4"/>
      <c r="G42" s="4"/>
      <c r="H42" s="4"/>
      <c r="I42" s="1"/>
      <c r="J42" s="93"/>
      <c r="K42" s="132"/>
      <c r="L42" s="2"/>
      <c r="M42" s="144"/>
      <c r="N42" s="144"/>
      <c r="O42" s="144"/>
      <c r="P42" s="144"/>
      <c r="Q42" s="144"/>
    </row>
    <row r="43" spans="1:17" ht="71.400000000000006" customHeight="1" x14ac:dyDescent="0.55000000000000004">
      <c r="A43" s="4"/>
      <c r="B43" s="10"/>
      <c r="C43" s="10"/>
      <c r="D43" s="4"/>
      <c r="E43" s="4"/>
      <c r="F43" s="4"/>
      <c r="G43" s="4"/>
      <c r="H43" s="4"/>
      <c r="I43" s="1"/>
      <c r="J43" s="93"/>
      <c r="K43" s="132"/>
      <c r="L43" s="2"/>
      <c r="M43" s="144"/>
      <c r="N43" s="144"/>
      <c r="O43" s="144"/>
      <c r="P43" s="144"/>
      <c r="Q43" s="144"/>
    </row>
    <row r="44" spans="1:17" ht="39.9" customHeight="1" x14ac:dyDescent="0.55000000000000004">
      <c r="A44" s="4"/>
      <c r="B44" s="10"/>
      <c r="C44" s="10"/>
      <c r="D44" s="4"/>
      <c r="E44" s="4"/>
      <c r="F44" s="4"/>
      <c r="G44" s="4"/>
      <c r="H44" s="4"/>
      <c r="I44" s="1"/>
      <c r="J44" s="93"/>
      <c r="K44" s="132"/>
      <c r="L44" s="2"/>
      <c r="M44" s="144"/>
      <c r="N44" s="144"/>
      <c r="O44" s="144"/>
      <c r="P44" s="144"/>
      <c r="Q44" s="144"/>
    </row>
    <row r="45" spans="1:17" ht="39.9" customHeight="1" x14ac:dyDescent="0.55000000000000004">
      <c r="A45" s="4"/>
      <c r="B45" s="10"/>
      <c r="C45" s="10"/>
      <c r="D45" s="4"/>
      <c r="E45" s="4"/>
      <c r="F45" s="4"/>
      <c r="G45" s="4"/>
      <c r="H45" s="4"/>
      <c r="I45" s="1"/>
      <c r="J45" s="93"/>
      <c r="K45" s="132"/>
      <c r="L45" s="2"/>
      <c r="M45" s="144"/>
      <c r="N45" s="144"/>
      <c r="O45" s="144"/>
      <c r="P45" s="144"/>
      <c r="Q45" s="144"/>
    </row>
    <row r="46" spans="1:17" ht="31.2" x14ac:dyDescent="0.55000000000000004">
      <c r="A46" s="4"/>
      <c r="B46" s="10"/>
      <c r="C46" s="10"/>
      <c r="D46" s="4"/>
      <c r="E46" s="4"/>
      <c r="F46" s="4"/>
      <c r="G46" s="4"/>
      <c r="H46" s="4"/>
      <c r="I46" s="1"/>
      <c r="J46" s="93"/>
      <c r="K46" s="132"/>
      <c r="L46" s="2"/>
      <c r="M46" s="144"/>
      <c r="N46" s="144"/>
      <c r="O46" s="144"/>
      <c r="P46" s="144"/>
      <c r="Q46" s="144"/>
    </row>
    <row r="47" spans="1:17" ht="31.2" x14ac:dyDescent="0.55000000000000004">
      <c r="A47" s="4"/>
      <c r="B47" s="10"/>
      <c r="C47" s="10"/>
      <c r="D47" s="4"/>
      <c r="E47" s="4"/>
      <c r="F47" s="4"/>
      <c r="G47" s="4"/>
      <c r="H47" s="4"/>
      <c r="I47" s="1"/>
      <c r="J47" s="93"/>
      <c r="K47" s="132"/>
      <c r="L47" s="2"/>
      <c r="M47" s="144"/>
      <c r="N47" s="144"/>
      <c r="O47" s="144"/>
      <c r="P47" s="144"/>
      <c r="Q47" s="144"/>
    </row>
    <row r="48" spans="1:17" ht="31.2" x14ac:dyDescent="0.55000000000000004">
      <c r="A48" s="4"/>
      <c r="B48" s="10"/>
      <c r="C48" s="10"/>
      <c r="D48" s="4"/>
      <c r="E48" s="4"/>
      <c r="F48" s="4"/>
      <c r="G48" s="4"/>
      <c r="H48" s="4"/>
      <c r="I48" s="1"/>
      <c r="J48" s="93"/>
      <c r="K48" s="132"/>
      <c r="L48" s="2"/>
      <c r="M48" s="144"/>
      <c r="N48" s="144"/>
      <c r="O48" s="144"/>
      <c r="P48" s="144"/>
      <c r="Q48" s="144"/>
    </row>
    <row r="49" spans="1:17" ht="31.2" x14ac:dyDescent="0.55000000000000004">
      <c r="A49" s="4"/>
      <c r="B49" s="10"/>
      <c r="C49" s="10"/>
      <c r="D49" s="4"/>
      <c r="E49" s="4"/>
      <c r="F49" s="4"/>
      <c r="G49" s="4"/>
      <c r="H49" s="4"/>
      <c r="I49" s="1"/>
      <c r="J49" s="93"/>
      <c r="K49" s="132"/>
      <c r="L49" s="2"/>
      <c r="M49" s="144"/>
      <c r="N49" s="144"/>
      <c r="O49" s="144"/>
      <c r="P49" s="144"/>
      <c r="Q49" s="144"/>
    </row>
    <row r="50" spans="1:17" ht="31.2" x14ac:dyDescent="0.55000000000000004">
      <c r="A50" s="4"/>
      <c r="B50" s="10"/>
      <c r="C50" s="10"/>
      <c r="D50" s="4"/>
      <c r="E50" s="4"/>
      <c r="F50" s="4"/>
      <c r="G50" s="4"/>
      <c r="H50" s="4"/>
      <c r="I50" s="1"/>
      <c r="J50" s="93"/>
      <c r="K50" s="132"/>
      <c r="L50" s="2"/>
      <c r="M50" s="144"/>
      <c r="N50" s="144"/>
      <c r="O50" s="144"/>
      <c r="P50" s="144"/>
      <c r="Q50" s="144"/>
    </row>
    <row r="51" spans="1:17" ht="31.2" x14ac:dyDescent="0.55000000000000004">
      <c r="A51" s="4"/>
      <c r="B51" s="10"/>
      <c r="C51" s="10"/>
      <c r="D51" s="4"/>
      <c r="E51" s="4"/>
      <c r="F51" s="4"/>
      <c r="G51" s="4"/>
      <c r="H51" s="4"/>
      <c r="I51" s="1"/>
      <c r="J51" s="93"/>
      <c r="K51" s="132"/>
      <c r="L51" s="2"/>
      <c r="M51" s="144"/>
      <c r="N51" s="144"/>
      <c r="O51" s="144"/>
      <c r="P51" s="144"/>
      <c r="Q51" s="144"/>
    </row>
    <row r="52" spans="1:17" ht="31.2" x14ac:dyDescent="0.55000000000000004">
      <c r="A52" s="4"/>
      <c r="B52" s="10"/>
      <c r="C52" s="10"/>
      <c r="D52" s="4"/>
      <c r="E52" s="4"/>
      <c r="F52" s="4"/>
      <c r="G52" s="4"/>
      <c r="H52" s="4"/>
      <c r="I52" s="1"/>
      <c r="J52" s="93"/>
      <c r="K52" s="132"/>
      <c r="L52" s="2"/>
      <c r="M52" s="144"/>
      <c r="N52" s="144"/>
      <c r="O52" s="144"/>
      <c r="P52" s="144"/>
      <c r="Q52" s="144"/>
    </row>
    <row r="53" spans="1:17" ht="31.2" x14ac:dyDescent="0.55000000000000004">
      <c r="A53" s="4"/>
      <c r="B53" s="10"/>
      <c r="C53" s="10"/>
      <c r="D53" s="4"/>
      <c r="E53" s="4"/>
      <c r="F53" s="4"/>
      <c r="G53" s="4"/>
      <c r="H53" s="4"/>
      <c r="I53" s="1"/>
      <c r="J53" s="93"/>
      <c r="K53" s="132"/>
      <c r="L53" s="2"/>
      <c r="M53" s="144"/>
      <c r="N53" s="144"/>
      <c r="O53" s="144"/>
      <c r="P53" s="144"/>
      <c r="Q53" s="144"/>
    </row>
    <row r="54" spans="1:17" ht="31.2" x14ac:dyDescent="0.55000000000000004">
      <c r="A54" s="4"/>
      <c r="B54" s="10"/>
      <c r="C54" s="10"/>
      <c r="D54" s="4"/>
      <c r="E54" s="4"/>
      <c r="F54" s="4"/>
      <c r="G54" s="4"/>
      <c r="H54" s="4"/>
      <c r="I54" s="1"/>
      <c r="J54" s="93"/>
      <c r="K54" s="132"/>
      <c r="L54" s="2"/>
      <c r="M54" s="144"/>
      <c r="N54" s="144"/>
      <c r="O54" s="144"/>
      <c r="P54" s="144"/>
      <c r="Q54" s="144"/>
    </row>
    <row r="55" spans="1:17" ht="31.2" x14ac:dyDescent="0.55000000000000004">
      <c r="A55" s="4"/>
      <c r="B55" s="10"/>
      <c r="C55" s="10"/>
      <c r="D55" s="4"/>
      <c r="E55" s="4"/>
      <c r="F55" s="4"/>
      <c r="G55" s="4"/>
      <c r="H55" s="4"/>
      <c r="I55" s="1"/>
      <c r="J55" s="93"/>
      <c r="K55" s="132"/>
      <c r="L55" s="2"/>
      <c r="M55" s="144"/>
      <c r="N55" s="144"/>
      <c r="O55" s="144"/>
      <c r="P55" s="144"/>
      <c r="Q55" s="144"/>
    </row>
    <row r="56" spans="1:17" ht="31.2" x14ac:dyDescent="0.55000000000000004">
      <c r="A56" s="4"/>
      <c r="B56" s="10"/>
      <c r="C56" s="10"/>
      <c r="D56" s="4"/>
      <c r="E56" s="4"/>
      <c r="F56" s="4"/>
      <c r="G56" s="4"/>
      <c r="H56" s="4"/>
      <c r="I56" s="1"/>
      <c r="J56" s="93"/>
      <c r="K56" s="132"/>
      <c r="L56" s="2"/>
      <c r="M56" s="144"/>
      <c r="N56" s="144"/>
      <c r="O56" s="144"/>
      <c r="P56" s="144"/>
      <c r="Q56" s="144"/>
    </row>
    <row r="57" spans="1:17" ht="31.2" x14ac:dyDescent="0.55000000000000004">
      <c r="A57" s="4"/>
      <c r="B57" s="10"/>
      <c r="C57" s="10"/>
      <c r="D57" s="4"/>
      <c r="E57" s="4"/>
      <c r="F57" s="4"/>
      <c r="G57" s="4"/>
      <c r="H57" s="4"/>
      <c r="I57" s="1"/>
      <c r="J57" s="93"/>
      <c r="K57" s="132"/>
      <c r="L57" s="2"/>
      <c r="M57" s="144"/>
      <c r="N57" s="144"/>
      <c r="O57" s="144"/>
      <c r="P57" s="144"/>
      <c r="Q57" s="144"/>
    </row>
    <row r="58" spans="1:17" ht="39.9" customHeight="1" x14ac:dyDescent="0.55000000000000004">
      <c r="A58" s="4"/>
      <c r="B58" s="10"/>
      <c r="C58" s="10"/>
      <c r="D58" s="4"/>
      <c r="E58" s="4"/>
      <c r="F58" s="4"/>
      <c r="G58" s="4"/>
      <c r="H58" s="4"/>
      <c r="I58" s="1"/>
      <c r="J58" s="93"/>
      <c r="K58" s="132"/>
      <c r="L58" s="2"/>
      <c r="M58" s="144"/>
      <c r="N58" s="144"/>
      <c r="O58" s="144"/>
      <c r="P58" s="144"/>
      <c r="Q58" s="144"/>
    </row>
    <row r="59" spans="1:17" ht="39.9" customHeight="1" x14ac:dyDescent="0.55000000000000004">
      <c r="A59" s="4"/>
      <c r="B59" s="10"/>
      <c r="C59" s="10"/>
      <c r="D59" s="4"/>
      <c r="E59" s="4"/>
      <c r="F59" s="4"/>
      <c r="G59" s="4"/>
      <c r="H59" s="4"/>
      <c r="I59" s="1"/>
      <c r="J59" s="93"/>
      <c r="K59" s="132"/>
      <c r="L59" s="2"/>
      <c r="M59" s="144"/>
      <c r="N59" s="144"/>
      <c r="O59" s="144"/>
      <c r="P59" s="144"/>
      <c r="Q59" s="144"/>
    </row>
    <row r="60" spans="1:17" ht="39.9" customHeight="1" x14ac:dyDescent="0.55000000000000004">
      <c r="A60" s="4"/>
      <c r="B60" s="10"/>
      <c r="C60" s="10"/>
      <c r="D60" s="4"/>
      <c r="E60" s="4"/>
      <c r="F60" s="44"/>
      <c r="G60" s="4"/>
      <c r="H60" s="4"/>
      <c r="I60" s="1"/>
      <c r="J60" s="93"/>
      <c r="K60" s="132"/>
      <c r="L60" s="2"/>
      <c r="M60" s="144"/>
      <c r="N60" s="144"/>
      <c r="O60" s="144"/>
      <c r="P60" s="144"/>
      <c r="Q60" s="144"/>
    </row>
    <row r="61" spans="1:17" ht="39.9" customHeight="1" x14ac:dyDescent="0.55000000000000004">
      <c r="A61" s="4"/>
      <c r="B61" s="10"/>
      <c r="C61" s="10"/>
      <c r="D61" s="4"/>
      <c r="E61" s="4"/>
      <c r="F61" s="4"/>
      <c r="G61" s="4"/>
      <c r="H61" s="4"/>
      <c r="I61" s="1"/>
      <c r="J61" s="93"/>
      <c r="K61" s="132"/>
      <c r="L61" s="2"/>
      <c r="M61" s="144"/>
      <c r="N61" s="144"/>
      <c r="O61" s="144"/>
      <c r="P61" s="144"/>
      <c r="Q61" s="144"/>
    </row>
    <row r="62" spans="1:17" ht="39.9" customHeight="1" x14ac:dyDescent="0.55000000000000004">
      <c r="A62" s="4"/>
      <c r="B62" s="10"/>
      <c r="C62" s="10"/>
      <c r="D62" s="4"/>
      <c r="E62" s="4"/>
      <c r="F62" s="4"/>
      <c r="G62" s="4"/>
      <c r="H62" s="4"/>
      <c r="I62" s="1"/>
      <c r="J62" s="93"/>
      <c r="K62" s="132"/>
      <c r="L62" s="2"/>
      <c r="M62" s="144"/>
      <c r="N62" s="144"/>
      <c r="O62" s="144"/>
      <c r="P62" s="144"/>
      <c r="Q62" s="144"/>
    </row>
    <row r="63" spans="1:17" ht="39.9" customHeight="1" x14ac:dyDescent="0.55000000000000004">
      <c r="A63" s="4"/>
      <c r="B63" s="10"/>
      <c r="C63" s="10"/>
      <c r="D63" s="4"/>
      <c r="E63" s="4"/>
      <c r="F63" s="4"/>
      <c r="G63" s="4"/>
      <c r="H63" s="4"/>
      <c r="I63" s="1"/>
      <c r="J63" s="93"/>
      <c r="K63" s="132"/>
      <c r="L63" s="2"/>
      <c r="M63" s="144"/>
      <c r="N63" s="144"/>
      <c r="O63" s="144"/>
      <c r="P63" s="144"/>
      <c r="Q63" s="144"/>
    </row>
    <row r="64" spans="1:17" ht="39.9" customHeight="1" x14ac:dyDescent="0.55000000000000004">
      <c r="A64" s="4"/>
      <c r="B64" s="10"/>
      <c r="C64" s="10"/>
      <c r="D64" s="4"/>
      <c r="E64" s="4"/>
      <c r="F64" s="4"/>
      <c r="G64" s="4"/>
      <c r="H64" s="4"/>
      <c r="I64" s="1"/>
      <c r="J64" s="93"/>
      <c r="K64" s="132"/>
      <c r="L64" s="2"/>
      <c r="M64" s="144"/>
      <c r="N64" s="144"/>
      <c r="O64" s="144"/>
      <c r="P64" s="144"/>
      <c r="Q64" s="144"/>
    </row>
    <row r="65" spans="1:17" ht="39.9" customHeight="1" x14ac:dyDescent="0.55000000000000004">
      <c r="A65" s="4"/>
      <c r="B65" s="10"/>
      <c r="C65" s="10"/>
      <c r="D65" s="4"/>
      <c r="E65" s="4"/>
      <c r="F65" s="4"/>
      <c r="G65" s="4"/>
      <c r="H65" s="4"/>
      <c r="I65" s="1"/>
      <c r="J65" s="93"/>
      <c r="K65" s="132"/>
      <c r="L65" s="2"/>
      <c r="M65" s="144"/>
      <c r="N65" s="144"/>
      <c r="O65" s="144"/>
      <c r="P65" s="144"/>
      <c r="Q65" s="144"/>
    </row>
    <row r="66" spans="1:17" ht="39.9" customHeight="1" x14ac:dyDescent="0.55000000000000004">
      <c r="A66" s="4"/>
      <c r="B66" s="10"/>
      <c r="C66" s="10"/>
      <c r="D66" s="4"/>
      <c r="E66" s="4"/>
      <c r="F66" s="4"/>
      <c r="G66" s="4"/>
      <c r="H66" s="4"/>
      <c r="I66" s="1"/>
      <c r="J66" s="93"/>
      <c r="K66" s="132"/>
      <c r="L66" s="2"/>
      <c r="M66" s="144"/>
      <c r="N66" s="144"/>
      <c r="O66" s="144"/>
      <c r="P66" s="144"/>
      <c r="Q66" s="144"/>
    </row>
    <row r="67" spans="1:17" ht="39.9" customHeight="1" x14ac:dyDescent="0.55000000000000004">
      <c r="A67" s="4"/>
      <c r="B67" s="10"/>
      <c r="C67" s="10"/>
      <c r="D67" s="4"/>
      <c r="E67" s="4"/>
      <c r="F67" s="4"/>
      <c r="G67" s="4"/>
      <c r="H67" s="4"/>
      <c r="I67" s="1"/>
      <c r="J67" s="93"/>
      <c r="K67" s="132"/>
      <c r="L67" s="2"/>
      <c r="M67" s="144"/>
      <c r="N67" s="144"/>
      <c r="O67" s="144"/>
      <c r="P67" s="144"/>
      <c r="Q67" s="144"/>
    </row>
    <row r="68" spans="1:17" ht="39.9" customHeight="1" x14ac:dyDescent="0.55000000000000004">
      <c r="A68" s="4"/>
      <c r="B68" s="10"/>
      <c r="C68" s="10"/>
      <c r="D68" s="4"/>
      <c r="E68" s="4"/>
      <c r="F68" s="4"/>
      <c r="G68" s="4"/>
      <c r="H68" s="4"/>
      <c r="I68" s="1"/>
      <c r="J68" s="93"/>
      <c r="K68" s="132"/>
      <c r="L68" s="2"/>
      <c r="M68" s="144"/>
      <c r="N68" s="144"/>
      <c r="O68" s="144"/>
      <c r="P68" s="144"/>
      <c r="Q68" s="144"/>
    </row>
    <row r="69" spans="1:17" ht="39.9" customHeight="1" x14ac:dyDescent="0.55000000000000004">
      <c r="A69" s="4"/>
      <c r="B69" s="10"/>
      <c r="C69" s="10"/>
      <c r="D69" s="4"/>
      <c r="E69" s="4"/>
      <c r="F69" s="4"/>
      <c r="G69" s="4"/>
      <c r="H69" s="4"/>
      <c r="I69" s="1"/>
      <c r="J69" s="93"/>
      <c r="K69" s="132"/>
      <c r="L69" s="2"/>
      <c r="M69" s="144"/>
      <c r="N69" s="144"/>
      <c r="O69" s="144"/>
      <c r="P69" s="144"/>
      <c r="Q69" s="144"/>
    </row>
    <row r="70" spans="1:17" ht="39.9" customHeight="1" x14ac:dyDescent="0.55000000000000004">
      <c r="A70" s="4"/>
      <c r="B70" s="10"/>
      <c r="C70" s="10"/>
      <c r="D70" s="4"/>
      <c r="E70" s="4"/>
      <c r="F70" s="4"/>
      <c r="G70" s="4"/>
      <c r="H70" s="4"/>
      <c r="I70" s="1"/>
      <c r="J70" s="93"/>
      <c r="K70" s="132"/>
      <c r="L70" s="2"/>
      <c r="M70" s="144"/>
      <c r="N70" s="144"/>
      <c r="O70" s="144"/>
      <c r="P70" s="144"/>
      <c r="Q70" s="144"/>
    </row>
    <row r="71" spans="1:17" ht="63.6" customHeight="1" x14ac:dyDescent="0.55000000000000004">
      <c r="A71" s="4"/>
      <c r="B71" s="10"/>
      <c r="C71" s="10"/>
      <c r="D71" s="4"/>
      <c r="E71" s="4"/>
      <c r="F71" s="4"/>
      <c r="G71" s="4"/>
      <c r="H71" s="4"/>
      <c r="I71" s="1"/>
      <c r="J71" s="93"/>
      <c r="K71" s="132"/>
      <c r="L71" s="2"/>
      <c r="M71" s="144"/>
      <c r="N71" s="144"/>
      <c r="O71" s="144"/>
      <c r="P71" s="144"/>
      <c r="Q71" s="144"/>
    </row>
    <row r="72" spans="1:17" ht="39.9" customHeight="1" x14ac:dyDescent="0.55000000000000004">
      <c r="A72" s="4"/>
      <c r="B72" s="10"/>
      <c r="C72" s="10"/>
      <c r="D72" s="4"/>
      <c r="E72" s="4"/>
      <c r="F72" s="4"/>
      <c r="G72" s="4"/>
      <c r="H72" s="4"/>
      <c r="I72" s="1"/>
      <c r="J72" s="93"/>
      <c r="K72" s="132"/>
      <c r="L72" s="2"/>
      <c r="M72" s="144"/>
      <c r="N72" s="144"/>
      <c r="O72" s="144"/>
      <c r="P72" s="144"/>
      <c r="Q72" s="144"/>
    </row>
    <row r="73" spans="1:17" ht="39.9" customHeight="1" x14ac:dyDescent="0.55000000000000004">
      <c r="A73" s="4"/>
      <c r="B73" s="10"/>
      <c r="C73" s="10"/>
      <c r="D73" s="4"/>
      <c r="E73" s="4"/>
      <c r="F73" s="4"/>
      <c r="G73" s="4"/>
      <c r="H73" s="4"/>
      <c r="I73" s="1"/>
      <c r="J73" s="93"/>
      <c r="K73" s="132"/>
      <c r="L73" s="2"/>
      <c r="M73" s="144"/>
      <c r="N73" s="144"/>
      <c r="O73" s="144"/>
      <c r="P73" s="144"/>
      <c r="Q73" s="144"/>
    </row>
    <row r="74" spans="1:17" ht="39.9" customHeight="1" x14ac:dyDescent="0.55000000000000004">
      <c r="A74" s="4"/>
      <c r="B74" s="10"/>
      <c r="C74" s="10"/>
      <c r="D74" s="4"/>
      <c r="E74" s="4"/>
      <c r="F74" s="4"/>
      <c r="G74" s="4"/>
      <c r="H74" s="4"/>
      <c r="I74" s="1"/>
      <c r="J74" s="93"/>
      <c r="K74" s="132"/>
      <c r="L74" s="2"/>
      <c r="M74" s="144"/>
      <c r="N74" s="144"/>
      <c r="O74" s="144"/>
      <c r="P74" s="144"/>
      <c r="Q74" s="144"/>
    </row>
    <row r="75" spans="1:17" ht="39.6" customHeight="1" x14ac:dyDescent="0.55000000000000004">
      <c r="A75" s="4"/>
      <c r="B75" s="10"/>
      <c r="C75" s="10"/>
      <c r="D75" s="4"/>
      <c r="E75" s="4"/>
      <c r="F75" s="4"/>
      <c r="G75" s="4"/>
      <c r="H75" s="4"/>
      <c r="I75" s="1"/>
      <c r="J75" s="93"/>
      <c r="K75" s="132"/>
      <c r="L75" s="2"/>
      <c r="M75" s="144"/>
      <c r="N75" s="144"/>
      <c r="O75" s="144"/>
      <c r="P75" s="144"/>
      <c r="Q75" s="144"/>
    </row>
    <row r="76" spans="1:17" ht="39.6" customHeight="1" x14ac:dyDescent="0.55000000000000004">
      <c r="A76" s="4"/>
      <c r="B76" s="10"/>
      <c r="C76" s="10"/>
      <c r="D76" s="4"/>
      <c r="E76" s="4"/>
      <c r="F76" s="4"/>
      <c r="G76" s="4"/>
      <c r="H76" s="4"/>
      <c r="I76" s="1"/>
      <c r="J76" s="93"/>
      <c r="K76" s="132"/>
      <c r="L76" s="2"/>
      <c r="M76" s="144"/>
      <c r="N76" s="144"/>
      <c r="O76" s="144"/>
      <c r="P76" s="144"/>
      <c r="Q76" s="144"/>
    </row>
    <row r="77" spans="1:17" ht="39.9" customHeight="1" x14ac:dyDescent="0.55000000000000004">
      <c r="A77" s="4"/>
      <c r="B77" s="10"/>
      <c r="C77" s="10"/>
      <c r="D77" s="4"/>
      <c r="E77" s="4"/>
      <c r="F77" s="4"/>
      <c r="G77" s="4"/>
      <c r="H77" s="4"/>
      <c r="I77" s="1"/>
      <c r="J77" s="93"/>
      <c r="K77" s="132"/>
      <c r="L77" s="2"/>
      <c r="M77" s="144"/>
      <c r="N77" s="144"/>
      <c r="O77" s="144"/>
      <c r="P77" s="144"/>
      <c r="Q77" s="144"/>
    </row>
    <row r="78" spans="1:17" ht="39.9" customHeight="1" x14ac:dyDescent="0.55000000000000004">
      <c r="A78" s="4"/>
      <c r="B78" s="10"/>
      <c r="C78" s="10"/>
      <c r="D78" s="4"/>
      <c r="E78" s="4"/>
      <c r="F78" s="4"/>
      <c r="G78" s="4"/>
      <c r="H78" s="4"/>
      <c r="I78" s="1"/>
      <c r="J78" s="93"/>
      <c r="K78" s="132"/>
      <c r="L78" s="2"/>
      <c r="M78" s="144"/>
      <c r="N78" s="144"/>
      <c r="O78" s="144"/>
      <c r="P78" s="144"/>
      <c r="Q78" s="144"/>
    </row>
    <row r="79" spans="1:17" ht="39.6" customHeight="1" x14ac:dyDescent="0.55000000000000004">
      <c r="A79" s="4"/>
      <c r="B79" s="10"/>
      <c r="C79" s="10"/>
      <c r="D79" s="4"/>
      <c r="E79" s="4"/>
      <c r="F79" s="4"/>
      <c r="G79" s="4"/>
      <c r="H79" s="4"/>
      <c r="I79" s="1"/>
      <c r="J79" s="93"/>
      <c r="K79" s="132"/>
      <c r="L79" s="2"/>
      <c r="M79" s="144"/>
      <c r="N79" s="144"/>
      <c r="O79" s="144"/>
      <c r="P79" s="144"/>
      <c r="Q79" s="144"/>
    </row>
    <row r="80" spans="1:17" ht="39.9" customHeight="1" x14ac:dyDescent="0.55000000000000004">
      <c r="A80" s="4"/>
      <c r="B80" s="10"/>
      <c r="C80" s="10"/>
      <c r="D80" s="4"/>
      <c r="E80" s="4"/>
      <c r="F80" s="4"/>
      <c r="G80" s="4"/>
      <c r="H80" s="4"/>
      <c r="I80" s="1"/>
      <c r="J80" s="93"/>
      <c r="K80" s="132"/>
      <c r="L80" s="2"/>
      <c r="M80" s="144"/>
      <c r="N80" s="144"/>
      <c r="O80" s="144"/>
      <c r="P80" s="144"/>
      <c r="Q80" s="144"/>
    </row>
    <row r="81" spans="1:17" ht="39.9" customHeight="1" x14ac:dyDescent="0.55000000000000004">
      <c r="A81" s="4"/>
      <c r="B81" s="10"/>
      <c r="C81" s="10"/>
      <c r="D81" s="4"/>
      <c r="E81" s="4"/>
      <c r="F81" s="4"/>
      <c r="G81" s="4"/>
      <c r="H81" s="4"/>
      <c r="I81" s="1"/>
      <c r="J81" s="93"/>
      <c r="K81" s="132"/>
      <c r="L81" s="2"/>
      <c r="M81" s="144"/>
      <c r="N81" s="144"/>
      <c r="O81" s="144"/>
      <c r="P81" s="144"/>
      <c r="Q81" s="144"/>
    </row>
    <row r="82" spans="1:17" ht="39.9" customHeight="1" x14ac:dyDescent="0.55000000000000004">
      <c r="A82" s="4"/>
      <c r="B82" s="10"/>
      <c r="C82" s="10"/>
      <c r="D82" s="4"/>
      <c r="E82" s="4"/>
      <c r="F82" s="4"/>
      <c r="G82" s="4"/>
      <c r="H82" s="4"/>
      <c r="I82" s="1"/>
      <c r="J82" s="93"/>
      <c r="K82" s="132"/>
      <c r="L82" s="2"/>
      <c r="M82" s="144"/>
      <c r="N82" s="144"/>
      <c r="O82" s="144"/>
      <c r="P82" s="144"/>
      <c r="Q82" s="144"/>
    </row>
    <row r="83" spans="1:17" ht="39.9" customHeight="1" x14ac:dyDescent="0.55000000000000004">
      <c r="A83" s="4"/>
      <c r="B83" s="10"/>
      <c r="C83" s="10"/>
      <c r="D83" s="4"/>
      <c r="E83" s="4"/>
      <c r="F83" s="4"/>
      <c r="G83" s="4"/>
      <c r="H83" s="4"/>
      <c r="I83" s="1"/>
      <c r="J83" s="93"/>
      <c r="K83" s="132"/>
      <c r="L83" s="2"/>
      <c r="M83" s="144"/>
      <c r="N83" s="144"/>
      <c r="O83" s="144"/>
      <c r="P83" s="144"/>
      <c r="Q83" s="144"/>
    </row>
    <row r="84" spans="1:17" ht="39.9" customHeight="1" x14ac:dyDescent="0.55000000000000004">
      <c r="A84" s="4"/>
      <c r="B84" s="10"/>
      <c r="C84" s="10"/>
      <c r="D84" s="4"/>
      <c r="E84" s="4"/>
      <c r="F84" s="4"/>
      <c r="G84" s="4"/>
      <c r="H84" s="4"/>
      <c r="I84" s="1"/>
      <c r="J84" s="93"/>
      <c r="K84" s="132"/>
      <c r="L84" s="2"/>
      <c r="M84" s="144"/>
      <c r="N84" s="144"/>
      <c r="O84" s="144"/>
      <c r="P84" s="144"/>
      <c r="Q84" s="144"/>
    </row>
    <row r="85" spans="1:17" ht="39.9" customHeight="1" x14ac:dyDescent="0.55000000000000004">
      <c r="A85" s="4"/>
      <c r="B85" s="10"/>
      <c r="C85" s="10"/>
      <c r="D85" s="4"/>
      <c r="E85" s="4"/>
      <c r="F85" s="4"/>
      <c r="G85" s="4"/>
      <c r="H85" s="4"/>
      <c r="I85" s="1"/>
      <c r="J85" s="93"/>
      <c r="K85" s="132"/>
      <c r="L85" s="2"/>
      <c r="M85" s="144"/>
      <c r="N85" s="144"/>
      <c r="O85" s="144"/>
      <c r="P85" s="144"/>
      <c r="Q85" s="144"/>
    </row>
    <row r="86" spans="1:17" ht="39.9" customHeight="1" x14ac:dyDescent="0.55000000000000004">
      <c r="A86" s="4"/>
      <c r="B86" s="10"/>
      <c r="C86" s="10"/>
      <c r="D86" s="4"/>
      <c r="E86" s="4"/>
      <c r="F86" s="4"/>
      <c r="G86" s="4"/>
      <c r="H86" s="4"/>
      <c r="I86" s="1"/>
      <c r="J86" s="93"/>
      <c r="K86" s="132"/>
      <c r="L86" s="2"/>
      <c r="M86" s="144"/>
      <c r="N86" s="144"/>
      <c r="O86" s="144"/>
      <c r="P86" s="144"/>
      <c r="Q86" s="144"/>
    </row>
    <row r="87" spans="1:17" ht="39.9" customHeight="1" x14ac:dyDescent="0.55000000000000004">
      <c r="A87" s="4"/>
      <c r="B87" s="10"/>
      <c r="C87" s="10"/>
      <c r="D87" s="4"/>
      <c r="E87" s="4"/>
      <c r="F87" s="4"/>
      <c r="G87" s="4"/>
      <c r="H87" s="4"/>
      <c r="I87" s="1"/>
      <c r="J87" s="93"/>
      <c r="K87" s="132"/>
      <c r="L87" s="2"/>
      <c r="M87" s="144"/>
      <c r="N87" s="144"/>
      <c r="O87" s="144"/>
      <c r="P87" s="144"/>
      <c r="Q87" s="144"/>
    </row>
    <row r="88" spans="1:17" ht="39.9" customHeight="1" x14ac:dyDescent="0.55000000000000004">
      <c r="A88" s="4"/>
      <c r="B88" s="10"/>
      <c r="C88" s="10"/>
      <c r="D88" s="4"/>
      <c r="E88" s="4"/>
      <c r="F88" s="4"/>
      <c r="G88" s="4"/>
      <c r="H88" s="4"/>
      <c r="I88" s="1"/>
      <c r="J88" s="93"/>
      <c r="K88" s="132"/>
      <c r="L88" s="2"/>
      <c r="M88" s="144"/>
      <c r="N88" s="144"/>
      <c r="O88" s="144"/>
      <c r="P88" s="144"/>
      <c r="Q88" s="144"/>
    </row>
    <row r="89" spans="1:17" ht="39.9" customHeight="1" x14ac:dyDescent="0.55000000000000004">
      <c r="A89" s="4"/>
      <c r="B89" s="10"/>
      <c r="C89" s="10"/>
      <c r="D89" s="4"/>
      <c r="E89" s="4"/>
      <c r="F89" s="4"/>
      <c r="G89" s="4"/>
      <c r="H89" s="4"/>
      <c r="I89" s="1"/>
      <c r="J89" s="93"/>
      <c r="K89" s="132"/>
      <c r="L89" s="2"/>
      <c r="M89" s="144"/>
      <c r="N89" s="144"/>
      <c r="O89" s="144"/>
      <c r="P89" s="144"/>
      <c r="Q89" s="144"/>
    </row>
    <row r="90" spans="1:17" ht="39.9" customHeight="1" x14ac:dyDescent="0.55000000000000004">
      <c r="A90" s="4"/>
      <c r="B90" s="10"/>
      <c r="C90" s="10"/>
      <c r="D90" s="4"/>
      <c r="E90" s="4"/>
      <c r="F90" s="4"/>
      <c r="G90" s="4"/>
      <c r="H90" s="4"/>
      <c r="I90" s="1"/>
      <c r="J90" s="93"/>
      <c r="K90" s="132"/>
      <c r="L90" s="2"/>
      <c r="M90" s="144"/>
      <c r="N90" s="144"/>
      <c r="O90" s="144"/>
      <c r="P90" s="144"/>
      <c r="Q90" s="144"/>
    </row>
    <row r="91" spans="1:17" ht="39.9" customHeight="1" x14ac:dyDescent="0.55000000000000004">
      <c r="A91" s="4"/>
      <c r="B91" s="10"/>
      <c r="C91" s="10"/>
      <c r="D91" s="4"/>
      <c r="E91" s="4"/>
      <c r="F91" s="4"/>
      <c r="G91" s="4"/>
      <c r="H91" s="4"/>
      <c r="I91" s="1"/>
      <c r="J91" s="93"/>
      <c r="K91" s="132"/>
      <c r="L91" s="2"/>
      <c r="M91" s="144"/>
      <c r="N91" s="144"/>
      <c r="O91" s="144"/>
      <c r="P91" s="144"/>
      <c r="Q91" s="144"/>
    </row>
    <row r="92" spans="1:17" ht="39.9" customHeight="1" x14ac:dyDescent="0.55000000000000004">
      <c r="A92" s="4"/>
      <c r="B92" s="10"/>
      <c r="C92" s="10"/>
      <c r="D92" s="4"/>
      <c r="E92" s="4"/>
      <c r="F92" s="4"/>
      <c r="G92" s="4"/>
      <c r="H92" s="4"/>
      <c r="I92" s="1"/>
      <c r="J92" s="93"/>
      <c r="K92" s="132"/>
      <c r="L92" s="2"/>
      <c r="M92" s="144"/>
      <c r="N92" s="144"/>
      <c r="O92" s="144"/>
      <c r="P92" s="144"/>
      <c r="Q92" s="144"/>
    </row>
    <row r="93" spans="1:17" ht="39.9" customHeight="1" x14ac:dyDescent="0.55000000000000004">
      <c r="A93" s="4"/>
      <c r="B93" s="10"/>
      <c r="C93" s="10"/>
      <c r="D93" s="4"/>
      <c r="E93" s="4"/>
      <c r="F93" s="4"/>
      <c r="G93" s="4"/>
      <c r="H93" s="4"/>
      <c r="I93" s="1"/>
      <c r="J93" s="93"/>
      <c r="K93" s="132"/>
      <c r="L93" s="2"/>
      <c r="M93" s="144"/>
      <c r="N93" s="144"/>
      <c r="O93" s="144"/>
      <c r="P93" s="144"/>
      <c r="Q93" s="144"/>
    </row>
    <row r="94" spans="1:17" ht="39.9" customHeight="1" x14ac:dyDescent="0.55000000000000004">
      <c r="A94" s="4"/>
      <c r="B94" s="10"/>
      <c r="C94" s="10"/>
      <c r="D94" s="4"/>
      <c r="E94" s="4"/>
      <c r="F94" s="4"/>
      <c r="G94" s="4"/>
      <c r="H94" s="4"/>
      <c r="I94" s="1"/>
      <c r="J94" s="93"/>
      <c r="K94" s="132"/>
      <c r="L94" s="2"/>
      <c r="M94" s="144"/>
      <c r="N94" s="144"/>
      <c r="O94" s="144"/>
      <c r="P94" s="144"/>
      <c r="Q94" s="144"/>
    </row>
    <row r="95" spans="1:17" ht="39.9" customHeight="1" x14ac:dyDescent="0.55000000000000004">
      <c r="A95" s="4"/>
      <c r="B95" s="10"/>
      <c r="C95" s="10"/>
      <c r="D95" s="4"/>
      <c r="E95" s="4"/>
      <c r="F95" s="4"/>
      <c r="G95" s="4"/>
      <c r="H95" s="4"/>
      <c r="I95" s="1"/>
      <c r="J95" s="93"/>
      <c r="K95" s="132"/>
      <c r="L95" s="2"/>
      <c r="M95" s="144"/>
      <c r="N95" s="144"/>
      <c r="O95" s="144"/>
      <c r="P95" s="144"/>
      <c r="Q95" s="144"/>
    </row>
    <row r="96" spans="1:17" ht="39.9" customHeight="1" x14ac:dyDescent="0.55000000000000004">
      <c r="A96" s="4"/>
      <c r="B96" s="10"/>
      <c r="C96" s="10"/>
      <c r="D96" s="4"/>
      <c r="E96" s="4"/>
      <c r="F96" s="4"/>
      <c r="G96" s="4"/>
      <c r="H96" s="4"/>
      <c r="I96" s="1"/>
      <c r="J96" s="93"/>
      <c r="K96" s="132"/>
      <c r="L96" s="2"/>
      <c r="M96" s="144"/>
      <c r="N96" s="144"/>
      <c r="O96" s="144"/>
      <c r="P96" s="144"/>
      <c r="Q96" s="144"/>
    </row>
    <row r="97" spans="1:17" ht="39.9" customHeight="1" x14ac:dyDescent="0.55000000000000004">
      <c r="A97" s="4"/>
      <c r="B97" s="10"/>
      <c r="C97" s="10"/>
      <c r="D97" s="4"/>
      <c r="E97" s="4"/>
      <c r="F97" s="4"/>
      <c r="G97" s="4"/>
      <c r="H97" s="4"/>
      <c r="I97" s="1"/>
      <c r="J97" s="93"/>
      <c r="K97" s="132"/>
      <c r="L97" s="2"/>
      <c r="M97" s="144"/>
      <c r="N97" s="144"/>
      <c r="O97" s="144"/>
      <c r="P97" s="144"/>
      <c r="Q97" s="144"/>
    </row>
    <row r="98" spans="1:17" ht="39.9" customHeight="1" x14ac:dyDescent="0.55000000000000004">
      <c r="A98" s="4"/>
      <c r="B98" s="10"/>
      <c r="C98" s="10"/>
      <c r="D98" s="4"/>
      <c r="E98" s="4"/>
      <c r="F98" s="4"/>
      <c r="G98" s="4"/>
      <c r="H98" s="4"/>
      <c r="I98" s="1"/>
      <c r="J98" s="93"/>
      <c r="K98" s="132"/>
      <c r="L98" s="2"/>
      <c r="M98" s="144"/>
      <c r="N98" s="144"/>
      <c r="O98" s="144"/>
      <c r="P98" s="144"/>
      <c r="Q98" s="144"/>
    </row>
    <row r="99" spans="1:17" ht="39.9" customHeight="1" x14ac:dyDescent="0.55000000000000004">
      <c r="A99" s="4"/>
      <c r="B99" s="10"/>
      <c r="C99" s="10"/>
      <c r="D99" s="4"/>
      <c r="E99" s="4"/>
      <c r="F99" s="4"/>
      <c r="G99" s="4"/>
      <c r="H99" s="4"/>
      <c r="I99" s="1"/>
      <c r="J99" s="93"/>
      <c r="K99" s="132"/>
      <c r="L99" s="2"/>
      <c r="M99" s="144"/>
      <c r="N99" s="144"/>
      <c r="O99" s="144"/>
      <c r="P99" s="144"/>
      <c r="Q99" s="144"/>
    </row>
    <row r="100" spans="1:17" ht="39.9" customHeight="1" x14ac:dyDescent="0.55000000000000004">
      <c r="A100" s="4"/>
      <c r="B100" s="10"/>
      <c r="C100" s="10"/>
      <c r="D100" s="4"/>
      <c r="E100" s="4"/>
      <c r="F100" s="4"/>
      <c r="G100" s="4"/>
      <c r="H100" s="4"/>
      <c r="I100" s="1"/>
      <c r="J100" s="93"/>
      <c r="K100" s="132"/>
      <c r="L100" s="2"/>
      <c r="M100" s="144"/>
      <c r="N100" s="144"/>
      <c r="O100" s="144"/>
      <c r="P100" s="144"/>
      <c r="Q100" s="144"/>
    </row>
    <row r="101" spans="1:17" ht="39.9" customHeight="1" x14ac:dyDescent="0.55000000000000004">
      <c r="A101" s="4"/>
      <c r="B101" s="10"/>
      <c r="C101" s="10"/>
      <c r="D101" s="4"/>
      <c r="E101" s="4"/>
      <c r="F101" s="4"/>
      <c r="G101" s="4"/>
      <c r="H101" s="4"/>
      <c r="I101" s="1"/>
      <c r="J101" s="93"/>
      <c r="K101" s="132"/>
      <c r="L101" s="2"/>
      <c r="M101" s="144"/>
      <c r="N101" s="144"/>
      <c r="O101" s="144"/>
      <c r="P101" s="144"/>
      <c r="Q101" s="144"/>
    </row>
    <row r="102" spans="1:17" ht="39.9" customHeight="1" x14ac:dyDescent="0.55000000000000004">
      <c r="A102" s="4"/>
      <c r="B102" s="10"/>
      <c r="C102" s="10"/>
      <c r="D102" s="4"/>
      <c r="E102" s="4"/>
      <c r="F102" s="4"/>
      <c r="G102" s="4"/>
      <c r="H102" s="4"/>
      <c r="I102" s="1"/>
      <c r="J102" s="93"/>
      <c r="K102" s="132"/>
      <c r="L102" s="2"/>
      <c r="M102" s="144"/>
      <c r="N102" s="144"/>
      <c r="O102" s="144"/>
      <c r="P102" s="144"/>
      <c r="Q102" s="144"/>
    </row>
    <row r="103" spans="1:17" ht="39.9" customHeight="1" x14ac:dyDescent="0.55000000000000004">
      <c r="A103" s="4"/>
      <c r="B103" s="10"/>
      <c r="C103" s="10"/>
      <c r="D103" s="4"/>
      <c r="E103" s="4"/>
      <c r="F103" s="4"/>
      <c r="G103" s="4"/>
      <c r="H103" s="4"/>
      <c r="I103" s="1"/>
      <c r="J103" s="93"/>
      <c r="K103" s="132"/>
      <c r="L103" s="2"/>
      <c r="M103" s="144"/>
      <c r="N103" s="144"/>
      <c r="O103" s="144"/>
      <c r="P103" s="144"/>
      <c r="Q103" s="144"/>
    </row>
    <row r="104" spans="1:17" ht="39.9" customHeight="1" x14ac:dyDescent="0.55000000000000004">
      <c r="A104" s="4"/>
      <c r="B104" s="10"/>
      <c r="C104" s="10"/>
      <c r="D104" s="4"/>
      <c r="E104" s="4"/>
      <c r="F104" s="4"/>
      <c r="G104" s="4"/>
      <c r="H104" s="4"/>
      <c r="I104" s="1"/>
      <c r="J104" s="93"/>
      <c r="K104" s="132"/>
      <c r="L104" s="2"/>
      <c r="M104" s="144"/>
      <c r="N104" s="144"/>
      <c r="O104" s="144"/>
      <c r="P104" s="144"/>
      <c r="Q104" s="144"/>
    </row>
    <row r="105" spans="1:17" ht="39.9" customHeight="1" x14ac:dyDescent="0.55000000000000004">
      <c r="A105" s="4"/>
      <c r="B105" s="10"/>
      <c r="C105" s="10"/>
      <c r="D105" s="4"/>
      <c r="E105" s="4"/>
      <c r="F105" s="4"/>
      <c r="G105" s="4"/>
      <c r="H105" s="4"/>
      <c r="I105" s="1"/>
      <c r="J105" s="93"/>
      <c r="K105" s="132"/>
      <c r="L105" s="2"/>
      <c r="M105" s="144"/>
      <c r="N105" s="144"/>
      <c r="O105" s="144"/>
      <c r="P105" s="144"/>
      <c r="Q105" s="144"/>
    </row>
    <row r="106" spans="1:17" ht="39.9" customHeight="1" x14ac:dyDescent="0.55000000000000004">
      <c r="A106" s="4"/>
      <c r="B106" s="10"/>
      <c r="C106" s="10"/>
      <c r="D106" s="4"/>
      <c r="E106" s="4"/>
      <c r="F106" s="4"/>
      <c r="G106" s="4"/>
      <c r="H106" s="4"/>
      <c r="I106" s="1"/>
      <c r="J106" s="93"/>
      <c r="K106" s="132"/>
      <c r="L106" s="2"/>
      <c r="M106" s="144"/>
      <c r="N106" s="144"/>
      <c r="O106" s="144"/>
      <c r="P106" s="144"/>
      <c r="Q106" s="144"/>
    </row>
    <row r="107" spans="1:17" ht="39.9" customHeight="1" x14ac:dyDescent="0.55000000000000004">
      <c r="A107" s="4"/>
      <c r="B107" s="10"/>
      <c r="C107" s="10"/>
      <c r="D107" s="4"/>
      <c r="E107" s="4"/>
      <c r="F107" s="4"/>
      <c r="G107" s="4"/>
      <c r="H107" s="4"/>
      <c r="I107" s="1"/>
      <c r="J107" s="93"/>
      <c r="K107" s="132"/>
      <c r="L107" s="2"/>
      <c r="M107" s="144"/>
      <c r="N107" s="144"/>
      <c r="O107" s="144"/>
      <c r="P107" s="144"/>
      <c r="Q107" s="144"/>
    </row>
    <row r="108" spans="1:17" ht="39.9" customHeight="1" x14ac:dyDescent="0.55000000000000004">
      <c r="A108" s="4"/>
      <c r="B108" s="10"/>
      <c r="C108" s="10"/>
      <c r="D108" s="4"/>
      <c r="E108" s="4"/>
      <c r="F108" s="4"/>
      <c r="G108" s="4"/>
      <c r="H108" s="4"/>
      <c r="I108" s="1"/>
      <c r="J108" s="93"/>
      <c r="K108" s="132"/>
      <c r="L108" s="2"/>
      <c r="M108" s="144"/>
      <c r="N108" s="144"/>
      <c r="O108" s="144"/>
      <c r="P108" s="144"/>
      <c r="Q108" s="144"/>
    </row>
    <row r="109" spans="1:17" ht="39.9" customHeight="1" x14ac:dyDescent="0.55000000000000004">
      <c r="A109" s="4">
        <v>62</v>
      </c>
      <c r="B109" s="10"/>
      <c r="C109" s="10"/>
      <c r="D109" s="4"/>
      <c r="E109" s="4"/>
      <c r="F109" s="4">
        <f>G109-L109</f>
        <v>0</v>
      </c>
      <c r="G109" s="4"/>
      <c r="H109" s="4">
        <f>I109-G109</f>
        <v>0</v>
      </c>
      <c r="I109" s="1"/>
      <c r="J109" s="93"/>
      <c r="K109" s="132"/>
      <c r="L109" s="2"/>
      <c r="M109" s="144"/>
      <c r="N109" s="144"/>
      <c r="O109" s="144"/>
      <c r="P109" s="144"/>
      <c r="Q109" s="144"/>
    </row>
    <row r="110" spans="1:17" ht="39.9" customHeight="1" x14ac:dyDescent="0.55000000000000004">
      <c r="A110" s="443" t="s">
        <v>3</v>
      </c>
      <c r="B110" s="443"/>
      <c r="C110" s="443"/>
      <c r="D110" s="4"/>
      <c r="E110" s="4"/>
      <c r="F110" s="4">
        <f>SUM(F6:F109)</f>
        <v>1635760</v>
      </c>
      <c r="G110" s="4">
        <f>SUM(G6:G109)</f>
        <v>1636510</v>
      </c>
      <c r="H110" s="4">
        <f>SUM(H6:H109)</f>
        <v>0</v>
      </c>
      <c r="I110" s="4">
        <f>SUM(I6:I109)</f>
        <v>1636510</v>
      </c>
      <c r="J110" s="93"/>
      <c r="K110" s="132">
        <f t="shared" ref="K110:P110" si="23">SUM(K6:K109)</f>
        <v>750</v>
      </c>
      <c r="L110" s="4">
        <f t="shared" si="23"/>
        <v>750</v>
      </c>
      <c r="M110" s="4">
        <f t="shared" si="23"/>
        <v>1176550</v>
      </c>
      <c r="N110" s="4">
        <f t="shared" si="23"/>
        <v>393600</v>
      </c>
      <c r="O110" s="4">
        <f t="shared" si="23"/>
        <v>1570150</v>
      </c>
      <c r="P110" s="4">
        <f t="shared" si="23"/>
        <v>65610</v>
      </c>
      <c r="Q110" s="144"/>
    </row>
    <row r="111" spans="1:17" ht="39.9" customHeight="1" x14ac:dyDescent="0.6">
      <c r="A111" s="5"/>
      <c r="B111" s="5"/>
      <c r="C111" s="5"/>
      <c r="D111" s="5"/>
      <c r="E111" s="5"/>
      <c r="F111" s="5"/>
      <c r="G111" s="5"/>
      <c r="H111" s="5"/>
      <c r="I111" s="8"/>
      <c r="J111" s="131"/>
      <c r="K111" s="133"/>
      <c r="L111" s="7"/>
      <c r="M111" s="144"/>
      <c r="N111" s="144"/>
      <c r="O111" s="144"/>
      <c r="P111" s="144"/>
      <c r="Q111" s="144"/>
    </row>
  </sheetData>
  <autoFilter ref="A4:Q4" xr:uid="{517BCC1D-8DA2-45B7-9FB0-4E8811EC4C0F}"/>
  <mergeCells count="2">
    <mergeCell ref="A1:Q2"/>
    <mergeCell ref="A110:C110"/>
  </mergeCells>
  <phoneticPr fontId="5" type="noConversion"/>
  <printOptions horizontalCentered="1" verticalCentered="1"/>
  <pageMargins left="0" right="0" top="0" bottom="0" header="0" footer="0"/>
  <pageSetup paperSize="9" scale="23" orientation="landscape" r:id="rId1"/>
  <rowBreaks count="1" manualBreakCount="1">
    <brk id="25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7B9-93D9-47BF-A0AA-5C7075525E99}">
  <dimension ref="A1:AF665"/>
  <sheetViews>
    <sheetView rightToLeft="1" view="pageBreakPreview" zoomScale="30" zoomScaleNormal="50" zoomScaleSheetLayoutView="30" workbookViewId="0">
      <pane ySplit="5" topLeftCell="A165" activePane="bottomLeft" state="frozen"/>
      <selection activeCell="C1" sqref="C1"/>
      <selection pane="bottomLeft" activeCell="G181" sqref="G181"/>
    </sheetView>
  </sheetViews>
  <sheetFormatPr defaultColWidth="9" defaultRowHeight="14.4" x14ac:dyDescent="0.3"/>
  <cols>
    <col min="1" max="1" width="14.109375" style="176" customWidth="1"/>
    <col min="2" max="2" width="49.44140625" style="198" customWidth="1"/>
    <col min="3" max="3" width="31.5546875" style="198" customWidth="1"/>
    <col min="4" max="4" width="46.88671875" style="176" customWidth="1"/>
    <col min="5" max="5" width="67" style="176" bestFit="1" customWidth="1"/>
    <col min="6" max="6" width="24.5546875" style="176" customWidth="1"/>
    <col min="7" max="7" width="27.5546875" style="176" customWidth="1"/>
    <col min="8" max="8" width="37.5546875" style="176" customWidth="1"/>
    <col min="9" max="9" width="23.33203125" style="176" customWidth="1"/>
    <col min="10" max="10" width="29.5546875" style="176" customWidth="1"/>
    <col min="11" max="11" width="24.33203125" style="176" customWidth="1"/>
    <col min="12" max="12" width="21.44140625" style="176" customWidth="1"/>
    <col min="13" max="13" width="25.109375" style="176" customWidth="1"/>
    <col min="14" max="14" width="21.88671875" style="176" customWidth="1"/>
    <col min="15" max="15" width="19.109375" style="176" customWidth="1"/>
    <col min="16" max="16" width="26" style="176" customWidth="1"/>
    <col min="17" max="18" width="24.44140625" style="176" customWidth="1"/>
    <col min="19" max="26" width="9" style="176"/>
    <col min="27" max="27" width="11.5546875" style="176" bestFit="1" customWidth="1"/>
    <col min="28" max="28" width="9" style="176"/>
    <col min="29" max="29" width="11.5546875" style="176" bestFit="1" customWidth="1"/>
    <col min="30" max="16384" width="9" style="176"/>
  </cols>
  <sheetData>
    <row r="1" spans="1:32" ht="60" customHeight="1" x14ac:dyDescent="0.3">
      <c r="A1" s="378" t="s">
        <v>1357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227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</row>
    <row r="2" spans="1:32" ht="49.5" customHeight="1" x14ac:dyDescent="0.3">
      <c r="A2" s="378" t="s">
        <v>1580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227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</row>
    <row r="3" spans="1:32" ht="54.75" customHeight="1" x14ac:dyDescent="0.3">
      <c r="A3" s="380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228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</row>
    <row r="4" spans="1:32" ht="126.75" customHeight="1" x14ac:dyDescent="0.3">
      <c r="A4" s="382" t="s">
        <v>1</v>
      </c>
      <c r="B4" s="382" t="s">
        <v>1581</v>
      </c>
      <c r="C4" s="383" t="s">
        <v>1582</v>
      </c>
      <c r="D4" s="382" t="s">
        <v>1583</v>
      </c>
      <c r="E4" s="382" t="s">
        <v>1584</v>
      </c>
      <c r="F4" s="383" t="s">
        <v>494</v>
      </c>
      <c r="G4" s="383" t="s">
        <v>1585</v>
      </c>
      <c r="H4" s="384" t="s">
        <v>60</v>
      </c>
      <c r="I4" s="383" t="s">
        <v>61</v>
      </c>
      <c r="J4" s="385" t="s">
        <v>2</v>
      </c>
      <c r="K4" s="386" t="s">
        <v>1586</v>
      </c>
      <c r="L4" s="386"/>
      <c r="M4" s="386"/>
      <c r="N4" s="387" t="s">
        <v>1587</v>
      </c>
      <c r="O4" s="387"/>
      <c r="P4" s="387"/>
      <c r="Q4" s="377" t="s">
        <v>1588</v>
      </c>
      <c r="R4" s="229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</row>
    <row r="5" spans="1:32" ht="126.75" customHeight="1" x14ac:dyDescent="0.3">
      <c r="A5" s="382"/>
      <c r="B5" s="382"/>
      <c r="C5" s="383"/>
      <c r="D5" s="382"/>
      <c r="E5" s="382"/>
      <c r="F5" s="383"/>
      <c r="G5" s="383"/>
      <c r="H5" s="384"/>
      <c r="I5" s="383"/>
      <c r="J5" s="385"/>
      <c r="K5" s="204" t="s">
        <v>1589</v>
      </c>
      <c r="L5" s="204" t="s">
        <v>1590</v>
      </c>
      <c r="M5" s="204" t="s">
        <v>1591</v>
      </c>
      <c r="N5" s="213" t="s">
        <v>1589</v>
      </c>
      <c r="O5" s="213" t="s">
        <v>1590</v>
      </c>
      <c r="P5" s="213" t="s">
        <v>1591</v>
      </c>
      <c r="Q5" s="377"/>
      <c r="R5" s="229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</row>
    <row r="6" spans="1:32" ht="75.75" customHeight="1" x14ac:dyDescent="0.3">
      <c r="A6" s="177" t="s">
        <v>1592</v>
      </c>
      <c r="B6" s="178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30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</row>
    <row r="7" spans="1:32" ht="73.95" customHeight="1" x14ac:dyDescent="0.3">
      <c r="A7" s="180">
        <v>1</v>
      </c>
      <c r="B7" s="181" t="s">
        <v>1593</v>
      </c>
      <c r="C7" s="182" t="s">
        <v>1594</v>
      </c>
      <c r="D7" s="182" t="s">
        <v>1595</v>
      </c>
      <c r="E7" s="183" t="s">
        <v>666</v>
      </c>
      <c r="F7" s="183"/>
      <c r="G7" s="183">
        <f t="shared" ref="G7:G68" si="0">H7-Q7</f>
        <v>8665</v>
      </c>
      <c r="H7" s="183">
        <v>8665</v>
      </c>
      <c r="I7" s="183">
        <f>J7-H7</f>
        <v>0</v>
      </c>
      <c r="J7" s="184">
        <v>8665</v>
      </c>
      <c r="K7" s="211">
        <v>8665</v>
      </c>
      <c r="L7" s="211">
        <f>M7-K7</f>
        <v>0</v>
      </c>
      <c r="M7" s="205">
        <v>8665</v>
      </c>
      <c r="N7" s="219">
        <v>0</v>
      </c>
      <c r="O7" s="219">
        <f>P7-N7</f>
        <v>0</v>
      </c>
      <c r="P7" s="217">
        <f>J7-M7</f>
        <v>0</v>
      </c>
      <c r="Q7" s="214">
        <v>0</v>
      </c>
      <c r="R7" s="231">
        <f>I7-L7-O7</f>
        <v>0</v>
      </c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</row>
    <row r="8" spans="1:32" ht="73.95" customHeight="1" x14ac:dyDescent="0.3">
      <c r="A8" s="180">
        <v>2</v>
      </c>
      <c r="B8" s="181" t="s">
        <v>1217</v>
      </c>
      <c r="C8" s="182" t="s">
        <v>1594</v>
      </c>
      <c r="D8" s="182" t="s">
        <v>1595</v>
      </c>
      <c r="E8" s="183" t="s">
        <v>666</v>
      </c>
      <c r="F8" s="183"/>
      <c r="G8" s="183">
        <f t="shared" si="0"/>
        <v>10263</v>
      </c>
      <c r="H8" s="183">
        <v>10263</v>
      </c>
      <c r="I8" s="183">
        <f t="shared" ref="I8:I71" si="1">J8-H8</f>
        <v>0</v>
      </c>
      <c r="J8" s="184">
        <v>10263</v>
      </c>
      <c r="K8" s="211">
        <v>10093</v>
      </c>
      <c r="L8" s="211">
        <f t="shared" ref="L8:L71" si="2">M8-K8</f>
        <v>0</v>
      </c>
      <c r="M8" s="205">
        <v>10093</v>
      </c>
      <c r="N8" s="219">
        <v>170</v>
      </c>
      <c r="O8" s="219">
        <f t="shared" ref="O8:O71" si="3">P8-N8</f>
        <v>0</v>
      </c>
      <c r="P8" s="217">
        <f t="shared" ref="P8:P71" si="4">J8-M8</f>
        <v>170</v>
      </c>
      <c r="Q8" s="214">
        <v>0</v>
      </c>
      <c r="R8" s="231">
        <f t="shared" ref="R8:R71" si="5">I8-L8-O8</f>
        <v>0</v>
      </c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</row>
    <row r="9" spans="1:32" ht="73.95" customHeight="1" x14ac:dyDescent="0.3">
      <c r="A9" s="180">
        <v>3</v>
      </c>
      <c r="B9" s="181" t="s">
        <v>1217</v>
      </c>
      <c r="C9" s="182" t="s">
        <v>1594</v>
      </c>
      <c r="D9" s="182" t="s">
        <v>1595</v>
      </c>
      <c r="E9" s="183" t="s">
        <v>663</v>
      </c>
      <c r="F9" s="183"/>
      <c r="G9" s="183">
        <f t="shared" si="0"/>
        <v>41795</v>
      </c>
      <c r="H9" s="183">
        <v>41795</v>
      </c>
      <c r="I9" s="183">
        <f t="shared" si="1"/>
        <v>0</v>
      </c>
      <c r="J9" s="184">
        <v>41795</v>
      </c>
      <c r="K9" s="211">
        <v>23480</v>
      </c>
      <c r="L9" s="211">
        <f t="shared" si="2"/>
        <v>0</v>
      </c>
      <c r="M9" s="205">
        <v>23480</v>
      </c>
      <c r="N9" s="219">
        <v>18315</v>
      </c>
      <c r="O9" s="219">
        <f t="shared" si="3"/>
        <v>0</v>
      </c>
      <c r="P9" s="217">
        <f t="shared" si="4"/>
        <v>18315</v>
      </c>
      <c r="Q9" s="214">
        <v>0</v>
      </c>
      <c r="R9" s="231">
        <f t="shared" si="5"/>
        <v>0</v>
      </c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</row>
    <row r="10" spans="1:32" ht="73.95" customHeight="1" x14ac:dyDescent="0.3">
      <c r="A10" s="180">
        <v>4</v>
      </c>
      <c r="B10" s="181" t="s">
        <v>1593</v>
      </c>
      <c r="C10" s="182" t="s">
        <v>1594</v>
      </c>
      <c r="D10" s="182" t="s">
        <v>1595</v>
      </c>
      <c r="E10" s="183" t="s">
        <v>663</v>
      </c>
      <c r="F10" s="183"/>
      <c r="G10" s="183">
        <f t="shared" si="0"/>
        <v>18275</v>
      </c>
      <c r="H10" s="183">
        <v>18275</v>
      </c>
      <c r="I10" s="183">
        <f t="shared" si="1"/>
        <v>0</v>
      </c>
      <c r="J10" s="184">
        <v>18275</v>
      </c>
      <c r="K10" s="211">
        <v>18275</v>
      </c>
      <c r="L10" s="211">
        <f t="shared" si="2"/>
        <v>0</v>
      </c>
      <c r="M10" s="205">
        <v>18275</v>
      </c>
      <c r="N10" s="219">
        <v>0</v>
      </c>
      <c r="O10" s="219">
        <f t="shared" si="3"/>
        <v>0</v>
      </c>
      <c r="P10" s="217">
        <f t="shared" si="4"/>
        <v>0</v>
      </c>
      <c r="Q10" s="214">
        <v>0</v>
      </c>
      <c r="R10" s="231">
        <f t="shared" si="5"/>
        <v>0</v>
      </c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</row>
    <row r="11" spans="1:32" ht="73.95" customHeight="1" x14ac:dyDescent="0.3">
      <c r="A11" s="180">
        <v>5</v>
      </c>
      <c r="B11" s="181" t="s">
        <v>1593</v>
      </c>
      <c r="C11" s="182" t="s">
        <v>1594</v>
      </c>
      <c r="D11" s="182" t="s">
        <v>1596</v>
      </c>
      <c r="E11" s="183" t="s">
        <v>1105</v>
      </c>
      <c r="F11" s="183">
        <v>31</v>
      </c>
      <c r="G11" s="183">
        <f t="shared" si="0"/>
        <v>281259</v>
      </c>
      <c r="H11" s="183">
        <v>281259</v>
      </c>
      <c r="I11" s="183">
        <f t="shared" si="1"/>
        <v>0</v>
      </c>
      <c r="J11" s="184">
        <v>281259</v>
      </c>
      <c r="K11" s="211">
        <v>280059</v>
      </c>
      <c r="L11" s="211">
        <f t="shared" si="2"/>
        <v>0</v>
      </c>
      <c r="M11" s="205">
        <v>280059</v>
      </c>
      <c r="N11" s="219">
        <v>1200</v>
      </c>
      <c r="O11" s="219">
        <f t="shared" si="3"/>
        <v>0</v>
      </c>
      <c r="P11" s="217">
        <f t="shared" si="4"/>
        <v>1200</v>
      </c>
      <c r="Q11" s="214">
        <v>0</v>
      </c>
      <c r="R11" s="231">
        <f t="shared" si="5"/>
        <v>0</v>
      </c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</row>
    <row r="12" spans="1:32" ht="73.95" customHeight="1" x14ac:dyDescent="0.3">
      <c r="A12" s="180">
        <v>6</v>
      </c>
      <c r="B12" s="181" t="s">
        <v>1217</v>
      </c>
      <c r="C12" s="182" t="s">
        <v>1594</v>
      </c>
      <c r="D12" s="182" t="s">
        <v>1595</v>
      </c>
      <c r="E12" s="183" t="s">
        <v>1597</v>
      </c>
      <c r="F12" s="183"/>
      <c r="G12" s="183">
        <f t="shared" si="0"/>
        <v>1200</v>
      </c>
      <c r="H12" s="183">
        <v>1200</v>
      </c>
      <c r="I12" s="183">
        <f t="shared" si="1"/>
        <v>0</v>
      </c>
      <c r="J12" s="184">
        <v>1200</v>
      </c>
      <c r="K12" s="211">
        <v>1200</v>
      </c>
      <c r="L12" s="211">
        <f t="shared" si="2"/>
        <v>0</v>
      </c>
      <c r="M12" s="205">
        <v>1200</v>
      </c>
      <c r="N12" s="219">
        <v>0</v>
      </c>
      <c r="O12" s="219">
        <f t="shared" si="3"/>
        <v>0</v>
      </c>
      <c r="P12" s="217">
        <f t="shared" si="4"/>
        <v>0</v>
      </c>
      <c r="Q12" s="214">
        <v>0</v>
      </c>
      <c r="R12" s="231">
        <f t="shared" si="5"/>
        <v>0</v>
      </c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</row>
    <row r="13" spans="1:32" ht="74.25" customHeight="1" x14ac:dyDescent="0.3">
      <c r="A13" s="180">
        <v>7</v>
      </c>
      <c r="B13" s="181" t="s">
        <v>1217</v>
      </c>
      <c r="C13" s="182" t="s">
        <v>1594</v>
      </c>
      <c r="D13" s="182" t="s">
        <v>1595</v>
      </c>
      <c r="E13" s="183" t="s">
        <v>701</v>
      </c>
      <c r="F13" s="183"/>
      <c r="G13" s="183">
        <f t="shared" si="0"/>
        <v>1510</v>
      </c>
      <c r="H13" s="183">
        <v>1510</v>
      </c>
      <c r="I13" s="183">
        <f t="shared" si="1"/>
        <v>0</v>
      </c>
      <c r="J13" s="184">
        <v>1510</v>
      </c>
      <c r="K13" s="211">
        <v>1510</v>
      </c>
      <c r="L13" s="211">
        <f t="shared" si="2"/>
        <v>0</v>
      </c>
      <c r="M13" s="205">
        <v>1510</v>
      </c>
      <c r="N13" s="219">
        <v>0</v>
      </c>
      <c r="O13" s="219">
        <f t="shared" si="3"/>
        <v>0</v>
      </c>
      <c r="P13" s="217">
        <f t="shared" si="4"/>
        <v>0</v>
      </c>
      <c r="Q13" s="214">
        <v>0</v>
      </c>
      <c r="R13" s="231">
        <f t="shared" si="5"/>
        <v>0</v>
      </c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</row>
    <row r="14" spans="1:32" ht="73.95" customHeight="1" x14ac:dyDescent="0.3">
      <c r="A14" s="180">
        <v>8</v>
      </c>
      <c r="B14" s="181" t="s">
        <v>1593</v>
      </c>
      <c r="C14" s="182" t="s">
        <v>1594</v>
      </c>
      <c r="D14" s="182" t="s">
        <v>1595</v>
      </c>
      <c r="E14" s="183" t="s">
        <v>701</v>
      </c>
      <c r="F14" s="183"/>
      <c r="G14" s="183">
        <f t="shared" si="0"/>
        <v>7300</v>
      </c>
      <c r="H14" s="183">
        <v>7300</v>
      </c>
      <c r="I14" s="183">
        <f t="shared" si="1"/>
        <v>0</v>
      </c>
      <c r="J14" s="184">
        <v>7300</v>
      </c>
      <c r="K14" s="211">
        <v>7300</v>
      </c>
      <c r="L14" s="211">
        <f t="shared" si="2"/>
        <v>0</v>
      </c>
      <c r="M14" s="205">
        <v>7300</v>
      </c>
      <c r="N14" s="219">
        <v>0</v>
      </c>
      <c r="O14" s="219">
        <f t="shared" si="3"/>
        <v>0</v>
      </c>
      <c r="P14" s="217">
        <f t="shared" si="4"/>
        <v>0</v>
      </c>
      <c r="Q14" s="214">
        <v>0</v>
      </c>
      <c r="R14" s="231">
        <f t="shared" si="5"/>
        <v>0</v>
      </c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</row>
    <row r="15" spans="1:32" ht="73.95" customHeight="1" x14ac:dyDescent="0.3">
      <c r="A15" s="180">
        <v>9</v>
      </c>
      <c r="B15" s="181" t="s">
        <v>1593</v>
      </c>
      <c r="C15" s="182" t="s">
        <v>1594</v>
      </c>
      <c r="D15" s="182" t="s">
        <v>1595</v>
      </c>
      <c r="E15" s="182" t="s">
        <v>545</v>
      </c>
      <c r="F15" s="182"/>
      <c r="G15" s="183">
        <f t="shared" si="0"/>
        <v>80320</v>
      </c>
      <c r="H15" s="182">
        <v>80320</v>
      </c>
      <c r="I15" s="183">
        <f t="shared" si="1"/>
        <v>0</v>
      </c>
      <c r="J15" s="184">
        <v>80320</v>
      </c>
      <c r="K15" s="211">
        <v>75440</v>
      </c>
      <c r="L15" s="211">
        <f t="shared" si="2"/>
        <v>0</v>
      </c>
      <c r="M15" s="205">
        <v>75440</v>
      </c>
      <c r="N15" s="219">
        <v>4880</v>
      </c>
      <c r="O15" s="219">
        <f t="shared" si="3"/>
        <v>0</v>
      </c>
      <c r="P15" s="217">
        <f t="shared" si="4"/>
        <v>4880</v>
      </c>
      <c r="Q15" s="214">
        <v>0</v>
      </c>
      <c r="R15" s="231">
        <f t="shared" si="5"/>
        <v>0</v>
      </c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</row>
    <row r="16" spans="1:32" ht="73.95" customHeight="1" x14ac:dyDescent="0.3">
      <c r="A16" s="180">
        <v>10</v>
      </c>
      <c r="B16" s="181" t="s">
        <v>1217</v>
      </c>
      <c r="C16" s="182" t="s">
        <v>1594</v>
      </c>
      <c r="D16" s="182" t="s">
        <v>1595</v>
      </c>
      <c r="E16" s="182" t="s">
        <v>545</v>
      </c>
      <c r="F16" s="182"/>
      <c r="G16" s="183">
        <f t="shared" si="0"/>
        <v>61715</v>
      </c>
      <c r="H16" s="182">
        <v>61715</v>
      </c>
      <c r="I16" s="183">
        <f t="shared" si="1"/>
        <v>0</v>
      </c>
      <c r="J16" s="184">
        <v>61715</v>
      </c>
      <c r="K16" s="211">
        <v>30895</v>
      </c>
      <c r="L16" s="211">
        <f t="shared" si="2"/>
        <v>0</v>
      </c>
      <c r="M16" s="205">
        <v>30895</v>
      </c>
      <c r="N16" s="219">
        <v>30820</v>
      </c>
      <c r="O16" s="219">
        <f t="shared" si="3"/>
        <v>0</v>
      </c>
      <c r="P16" s="217">
        <f t="shared" si="4"/>
        <v>30820</v>
      </c>
      <c r="Q16" s="214">
        <v>0</v>
      </c>
      <c r="R16" s="231">
        <f t="shared" si="5"/>
        <v>0</v>
      </c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</row>
    <row r="17" spans="1:32" ht="75" customHeight="1" x14ac:dyDescent="0.3">
      <c r="A17" s="180">
        <v>11</v>
      </c>
      <c r="B17" s="181" t="s">
        <v>1593</v>
      </c>
      <c r="C17" s="182" t="s">
        <v>1594</v>
      </c>
      <c r="D17" s="182" t="s">
        <v>1595</v>
      </c>
      <c r="E17" s="183" t="s">
        <v>1598</v>
      </c>
      <c r="F17" s="183"/>
      <c r="G17" s="183">
        <f t="shared" si="0"/>
        <v>111720</v>
      </c>
      <c r="H17" s="183">
        <v>111720</v>
      </c>
      <c r="I17" s="183">
        <f t="shared" si="1"/>
        <v>0</v>
      </c>
      <c r="J17" s="184">
        <v>111720</v>
      </c>
      <c r="K17" s="211">
        <v>102200</v>
      </c>
      <c r="L17" s="211">
        <f t="shared" si="2"/>
        <v>0</v>
      </c>
      <c r="M17" s="205">
        <v>102200</v>
      </c>
      <c r="N17" s="219">
        <v>9520</v>
      </c>
      <c r="O17" s="219">
        <f t="shared" si="3"/>
        <v>0</v>
      </c>
      <c r="P17" s="217">
        <f t="shared" si="4"/>
        <v>9520</v>
      </c>
      <c r="Q17" s="214">
        <v>0</v>
      </c>
      <c r="R17" s="231">
        <f t="shared" si="5"/>
        <v>0</v>
      </c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</row>
    <row r="18" spans="1:32" ht="73.95" customHeight="1" x14ac:dyDescent="0.3">
      <c r="A18" s="180">
        <v>12</v>
      </c>
      <c r="B18" s="181" t="s">
        <v>1217</v>
      </c>
      <c r="C18" s="182" t="s">
        <v>1594</v>
      </c>
      <c r="D18" s="182" t="s">
        <v>1595</v>
      </c>
      <c r="E18" s="183" t="s">
        <v>1598</v>
      </c>
      <c r="F18" s="183">
        <v>31</v>
      </c>
      <c r="G18" s="183">
        <f t="shared" si="0"/>
        <v>98930</v>
      </c>
      <c r="H18" s="183">
        <v>98930</v>
      </c>
      <c r="I18" s="183">
        <f t="shared" si="1"/>
        <v>0</v>
      </c>
      <c r="J18" s="184">
        <v>98930</v>
      </c>
      <c r="K18" s="211">
        <v>63240</v>
      </c>
      <c r="L18" s="211">
        <f t="shared" si="2"/>
        <v>0</v>
      </c>
      <c r="M18" s="205">
        <v>63240</v>
      </c>
      <c r="N18" s="219">
        <v>35690</v>
      </c>
      <c r="O18" s="219">
        <f t="shared" si="3"/>
        <v>0</v>
      </c>
      <c r="P18" s="217">
        <f t="shared" si="4"/>
        <v>35690</v>
      </c>
      <c r="Q18" s="214">
        <v>0</v>
      </c>
      <c r="R18" s="231">
        <f t="shared" si="5"/>
        <v>0</v>
      </c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</row>
    <row r="19" spans="1:32" ht="73.95" customHeight="1" x14ac:dyDescent="0.3">
      <c r="A19" s="180">
        <v>13</v>
      </c>
      <c r="B19" s="181" t="s">
        <v>1593</v>
      </c>
      <c r="C19" s="182" t="s">
        <v>1594</v>
      </c>
      <c r="D19" s="182" t="s">
        <v>1595</v>
      </c>
      <c r="E19" s="183" t="s">
        <v>505</v>
      </c>
      <c r="F19" s="183"/>
      <c r="G19" s="183">
        <f t="shared" si="0"/>
        <v>180485</v>
      </c>
      <c r="H19" s="183">
        <v>180485</v>
      </c>
      <c r="I19" s="183">
        <f t="shared" si="1"/>
        <v>0</v>
      </c>
      <c r="J19" s="184">
        <v>180485</v>
      </c>
      <c r="K19" s="211">
        <v>178375</v>
      </c>
      <c r="L19" s="211">
        <f t="shared" si="2"/>
        <v>0</v>
      </c>
      <c r="M19" s="205">
        <v>178375</v>
      </c>
      <c r="N19" s="219">
        <v>2110</v>
      </c>
      <c r="O19" s="219">
        <f t="shared" si="3"/>
        <v>0</v>
      </c>
      <c r="P19" s="217">
        <f t="shared" si="4"/>
        <v>2110</v>
      </c>
      <c r="Q19" s="214">
        <v>0</v>
      </c>
      <c r="R19" s="231">
        <f t="shared" si="5"/>
        <v>0</v>
      </c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</row>
    <row r="20" spans="1:32" ht="73.95" customHeight="1" x14ac:dyDescent="0.3">
      <c r="A20" s="180">
        <v>14</v>
      </c>
      <c r="B20" s="181" t="s">
        <v>1217</v>
      </c>
      <c r="C20" s="182" t="s">
        <v>1594</v>
      </c>
      <c r="D20" s="182" t="s">
        <v>1595</v>
      </c>
      <c r="E20" s="183" t="s">
        <v>505</v>
      </c>
      <c r="F20" s="183">
        <v>28</v>
      </c>
      <c r="G20" s="183">
        <f t="shared" si="0"/>
        <v>84255</v>
      </c>
      <c r="H20" s="183">
        <v>84255</v>
      </c>
      <c r="I20" s="183">
        <f t="shared" si="1"/>
        <v>0</v>
      </c>
      <c r="J20" s="184">
        <v>84255</v>
      </c>
      <c r="K20" s="211">
        <v>49605</v>
      </c>
      <c r="L20" s="211">
        <f t="shared" si="2"/>
        <v>0</v>
      </c>
      <c r="M20" s="205">
        <v>49605</v>
      </c>
      <c r="N20" s="219">
        <v>34650</v>
      </c>
      <c r="O20" s="219">
        <f t="shared" si="3"/>
        <v>0</v>
      </c>
      <c r="P20" s="217">
        <f t="shared" si="4"/>
        <v>34650</v>
      </c>
      <c r="Q20" s="214">
        <v>0</v>
      </c>
      <c r="R20" s="231">
        <f t="shared" si="5"/>
        <v>0</v>
      </c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</row>
    <row r="21" spans="1:32" ht="73.95" customHeight="1" x14ac:dyDescent="0.3">
      <c r="A21" s="180">
        <v>15</v>
      </c>
      <c r="B21" s="181" t="s">
        <v>1217</v>
      </c>
      <c r="C21" s="182" t="s">
        <v>1594</v>
      </c>
      <c r="D21" s="182" t="s">
        <v>1596</v>
      </c>
      <c r="E21" s="183" t="s">
        <v>1105</v>
      </c>
      <c r="F21" s="183">
        <v>38</v>
      </c>
      <c r="G21" s="183">
        <f t="shared" si="0"/>
        <v>82795</v>
      </c>
      <c r="H21" s="183">
        <v>82795</v>
      </c>
      <c r="I21" s="183">
        <f t="shared" si="1"/>
        <v>0</v>
      </c>
      <c r="J21" s="184">
        <v>82795</v>
      </c>
      <c r="K21" s="224">
        <v>43855</v>
      </c>
      <c r="L21" s="211">
        <f t="shared" si="2"/>
        <v>0</v>
      </c>
      <c r="M21" s="205">
        <v>43855</v>
      </c>
      <c r="N21" s="226">
        <v>38940</v>
      </c>
      <c r="O21" s="219">
        <f t="shared" si="3"/>
        <v>0</v>
      </c>
      <c r="P21" s="217">
        <f t="shared" si="4"/>
        <v>38940</v>
      </c>
      <c r="Q21" s="214">
        <v>0</v>
      </c>
      <c r="R21" s="231">
        <f t="shared" si="5"/>
        <v>0</v>
      </c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</row>
    <row r="22" spans="1:32" ht="73.95" customHeight="1" x14ac:dyDescent="0.3">
      <c r="A22" s="180">
        <v>16</v>
      </c>
      <c r="B22" s="181" t="s">
        <v>1593</v>
      </c>
      <c r="C22" s="182" t="s">
        <v>1594</v>
      </c>
      <c r="D22" s="182" t="s">
        <v>1596</v>
      </c>
      <c r="E22" s="183" t="s">
        <v>1001</v>
      </c>
      <c r="F22" s="183">
        <v>39</v>
      </c>
      <c r="G22" s="183">
        <f t="shared" si="0"/>
        <v>204200</v>
      </c>
      <c r="H22" s="183">
        <v>204200</v>
      </c>
      <c r="I22" s="183">
        <f t="shared" si="1"/>
        <v>0</v>
      </c>
      <c r="J22" s="184">
        <v>204200</v>
      </c>
      <c r="K22" s="211">
        <v>201195</v>
      </c>
      <c r="L22" s="211">
        <f t="shared" si="2"/>
        <v>0</v>
      </c>
      <c r="M22" s="205">
        <v>201195</v>
      </c>
      <c r="N22" s="219">
        <v>3005</v>
      </c>
      <c r="O22" s="219">
        <f t="shared" si="3"/>
        <v>0</v>
      </c>
      <c r="P22" s="217">
        <f t="shared" si="4"/>
        <v>3005</v>
      </c>
      <c r="Q22" s="214">
        <v>0</v>
      </c>
      <c r="R22" s="231">
        <f t="shared" si="5"/>
        <v>0</v>
      </c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</row>
    <row r="23" spans="1:32" ht="73.95" customHeight="1" x14ac:dyDescent="0.3">
      <c r="A23" s="180">
        <v>17</v>
      </c>
      <c r="B23" s="181" t="s">
        <v>1730</v>
      </c>
      <c r="C23" s="182" t="s">
        <v>1594</v>
      </c>
      <c r="D23" s="182" t="s">
        <v>1596</v>
      </c>
      <c r="E23" s="183" t="s">
        <v>1001</v>
      </c>
      <c r="F23" s="183">
        <v>1</v>
      </c>
      <c r="G23" s="183">
        <f t="shared" ref="G23" si="6">H23-Q23</f>
        <v>2000</v>
      </c>
      <c r="H23" s="183">
        <v>2000</v>
      </c>
      <c r="I23" s="183">
        <f t="shared" ref="I23" si="7">J23-H23</f>
        <v>0</v>
      </c>
      <c r="J23" s="184">
        <v>2000</v>
      </c>
      <c r="K23" s="224">
        <v>2000</v>
      </c>
      <c r="L23" s="211">
        <f t="shared" ref="L23" si="8">M23-K23</f>
        <v>0</v>
      </c>
      <c r="M23" s="205">
        <v>2000</v>
      </c>
      <c r="N23" s="226">
        <v>0</v>
      </c>
      <c r="O23" s="219">
        <f t="shared" ref="O23" si="9">P23-N23</f>
        <v>0</v>
      </c>
      <c r="P23" s="217">
        <v>0</v>
      </c>
      <c r="Q23" s="214">
        <v>0</v>
      </c>
      <c r="R23" s="231">
        <f t="shared" ref="R23" si="10">I23-L23-O23</f>
        <v>0</v>
      </c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</row>
    <row r="24" spans="1:32" ht="73.95" customHeight="1" x14ac:dyDescent="0.3">
      <c r="A24" s="180">
        <v>17</v>
      </c>
      <c r="B24" s="181" t="s">
        <v>1217</v>
      </c>
      <c r="C24" s="182" t="s">
        <v>1594</v>
      </c>
      <c r="D24" s="182" t="s">
        <v>1596</v>
      </c>
      <c r="E24" s="183" t="s">
        <v>1001</v>
      </c>
      <c r="F24" s="183">
        <v>35</v>
      </c>
      <c r="G24" s="183">
        <f t="shared" si="0"/>
        <v>84970</v>
      </c>
      <c r="H24" s="183">
        <v>84970</v>
      </c>
      <c r="I24" s="183">
        <f t="shared" si="1"/>
        <v>0</v>
      </c>
      <c r="J24" s="184">
        <v>84970</v>
      </c>
      <c r="K24" s="224">
        <v>50360</v>
      </c>
      <c r="L24" s="211">
        <f t="shared" si="2"/>
        <v>0</v>
      </c>
      <c r="M24" s="205">
        <v>50360</v>
      </c>
      <c r="N24" s="226">
        <v>34610</v>
      </c>
      <c r="O24" s="219">
        <f t="shared" si="3"/>
        <v>0</v>
      </c>
      <c r="P24" s="217">
        <f t="shared" si="4"/>
        <v>34610</v>
      </c>
      <c r="Q24" s="214">
        <v>0</v>
      </c>
      <c r="R24" s="231">
        <f t="shared" si="5"/>
        <v>0</v>
      </c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</row>
    <row r="25" spans="1:32" ht="74.25" customHeight="1" x14ac:dyDescent="0.3">
      <c r="A25" s="180">
        <v>18</v>
      </c>
      <c r="B25" s="181" t="s">
        <v>1593</v>
      </c>
      <c r="C25" s="182" t="s">
        <v>1594</v>
      </c>
      <c r="D25" s="182" t="s">
        <v>1595</v>
      </c>
      <c r="E25" s="183" t="s">
        <v>702</v>
      </c>
      <c r="F25" s="183"/>
      <c r="G25" s="183">
        <f t="shared" si="0"/>
        <v>7200</v>
      </c>
      <c r="H25" s="183">
        <v>7200</v>
      </c>
      <c r="I25" s="183">
        <f t="shared" si="1"/>
        <v>0</v>
      </c>
      <c r="J25" s="184">
        <v>7200</v>
      </c>
      <c r="K25" s="211">
        <v>7200</v>
      </c>
      <c r="L25" s="211">
        <f t="shared" si="2"/>
        <v>0</v>
      </c>
      <c r="M25" s="205">
        <v>7200</v>
      </c>
      <c r="N25" s="219">
        <v>0</v>
      </c>
      <c r="O25" s="219">
        <f t="shared" si="3"/>
        <v>0</v>
      </c>
      <c r="P25" s="217">
        <f t="shared" si="4"/>
        <v>0</v>
      </c>
      <c r="Q25" s="214">
        <v>0</v>
      </c>
      <c r="R25" s="231">
        <f t="shared" si="5"/>
        <v>0</v>
      </c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</row>
    <row r="26" spans="1:32" ht="74.25" customHeight="1" x14ac:dyDescent="0.3">
      <c r="A26" s="180">
        <v>19</v>
      </c>
      <c r="B26" s="181" t="s">
        <v>1217</v>
      </c>
      <c r="C26" s="182" t="s">
        <v>1594</v>
      </c>
      <c r="D26" s="182" t="s">
        <v>1595</v>
      </c>
      <c r="E26" s="183" t="s">
        <v>702</v>
      </c>
      <c r="F26" s="183">
        <v>3</v>
      </c>
      <c r="G26" s="183">
        <f t="shared" si="0"/>
        <v>1460</v>
      </c>
      <c r="H26" s="183">
        <v>1460</v>
      </c>
      <c r="I26" s="183">
        <f t="shared" si="1"/>
        <v>0</v>
      </c>
      <c r="J26" s="184">
        <v>1460</v>
      </c>
      <c r="K26" s="211">
        <v>1460</v>
      </c>
      <c r="L26" s="211">
        <f t="shared" si="2"/>
        <v>0</v>
      </c>
      <c r="M26" s="205">
        <v>1460</v>
      </c>
      <c r="N26" s="219">
        <v>0</v>
      </c>
      <c r="O26" s="219">
        <f t="shared" si="3"/>
        <v>0</v>
      </c>
      <c r="P26" s="217">
        <f t="shared" si="4"/>
        <v>0</v>
      </c>
      <c r="Q26" s="214">
        <v>0</v>
      </c>
      <c r="R26" s="231">
        <f t="shared" si="5"/>
        <v>0</v>
      </c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</row>
    <row r="27" spans="1:32" ht="74.25" customHeight="1" x14ac:dyDescent="0.3">
      <c r="A27" s="180">
        <v>20</v>
      </c>
      <c r="B27" s="181" t="s">
        <v>1593</v>
      </c>
      <c r="C27" s="182" t="s">
        <v>1594</v>
      </c>
      <c r="D27" s="182" t="s">
        <v>1599</v>
      </c>
      <c r="E27" s="183" t="s">
        <v>1600</v>
      </c>
      <c r="F27" s="183">
        <v>9</v>
      </c>
      <c r="G27" s="183">
        <f t="shared" si="0"/>
        <v>33475</v>
      </c>
      <c r="H27" s="183">
        <v>33475</v>
      </c>
      <c r="I27" s="183">
        <f t="shared" si="1"/>
        <v>0</v>
      </c>
      <c r="J27" s="184">
        <v>33475</v>
      </c>
      <c r="K27" s="211">
        <v>30725</v>
      </c>
      <c r="L27" s="211">
        <f t="shared" si="2"/>
        <v>0</v>
      </c>
      <c r="M27" s="205">
        <v>30725</v>
      </c>
      <c r="N27" s="219">
        <v>2750</v>
      </c>
      <c r="O27" s="219">
        <f t="shared" si="3"/>
        <v>0</v>
      </c>
      <c r="P27" s="217">
        <f t="shared" si="4"/>
        <v>2750</v>
      </c>
      <c r="Q27" s="214">
        <v>0</v>
      </c>
      <c r="R27" s="231">
        <f t="shared" si="5"/>
        <v>0</v>
      </c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</row>
    <row r="28" spans="1:32" ht="74.25" customHeight="1" x14ac:dyDescent="0.3">
      <c r="A28" s="180">
        <v>21</v>
      </c>
      <c r="B28" s="181" t="s">
        <v>1217</v>
      </c>
      <c r="C28" s="182" t="s">
        <v>1594</v>
      </c>
      <c r="D28" s="182" t="s">
        <v>1599</v>
      </c>
      <c r="E28" s="183" t="s">
        <v>1600</v>
      </c>
      <c r="F28" s="183">
        <v>15</v>
      </c>
      <c r="G28" s="183">
        <f t="shared" si="0"/>
        <v>72255</v>
      </c>
      <c r="H28" s="183">
        <v>72255</v>
      </c>
      <c r="I28" s="183">
        <f t="shared" si="1"/>
        <v>0</v>
      </c>
      <c r="J28" s="184">
        <v>72255</v>
      </c>
      <c r="K28" s="211">
        <v>66460</v>
      </c>
      <c r="L28" s="211">
        <f t="shared" si="2"/>
        <v>0</v>
      </c>
      <c r="M28" s="205">
        <v>66460</v>
      </c>
      <c r="N28" s="219">
        <v>5795</v>
      </c>
      <c r="O28" s="219">
        <f t="shared" si="3"/>
        <v>0</v>
      </c>
      <c r="P28" s="217">
        <f t="shared" si="4"/>
        <v>5795</v>
      </c>
      <c r="Q28" s="214">
        <v>0</v>
      </c>
      <c r="R28" s="231">
        <f t="shared" si="5"/>
        <v>0</v>
      </c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</row>
    <row r="29" spans="1:32" ht="73.95" customHeight="1" x14ac:dyDescent="0.3">
      <c r="A29" s="180">
        <v>22</v>
      </c>
      <c r="B29" s="181" t="s">
        <v>1593</v>
      </c>
      <c r="C29" s="182" t="s">
        <v>1594</v>
      </c>
      <c r="D29" s="182" t="s">
        <v>1595</v>
      </c>
      <c r="E29" s="183" t="s">
        <v>1601</v>
      </c>
      <c r="F29" s="183"/>
      <c r="G29" s="183">
        <f t="shared" si="0"/>
        <v>1500</v>
      </c>
      <c r="H29" s="183">
        <v>1500</v>
      </c>
      <c r="I29" s="183">
        <f t="shared" si="1"/>
        <v>0</v>
      </c>
      <c r="J29" s="184">
        <v>1500</v>
      </c>
      <c r="K29" s="211">
        <v>1500</v>
      </c>
      <c r="L29" s="211">
        <f t="shared" si="2"/>
        <v>0</v>
      </c>
      <c r="M29" s="205">
        <v>1500</v>
      </c>
      <c r="N29" s="219">
        <v>0</v>
      </c>
      <c r="O29" s="219">
        <f t="shared" si="3"/>
        <v>0</v>
      </c>
      <c r="P29" s="217">
        <f t="shared" si="4"/>
        <v>0</v>
      </c>
      <c r="Q29" s="214">
        <v>0</v>
      </c>
      <c r="R29" s="231">
        <f t="shared" si="5"/>
        <v>0</v>
      </c>
      <c r="S29" s="373" t="s">
        <v>1602</v>
      </c>
      <c r="T29" s="374"/>
      <c r="U29" s="374"/>
      <c r="V29" s="374"/>
      <c r="W29" s="374"/>
      <c r="X29" s="374"/>
      <c r="Y29" s="374"/>
      <c r="Z29" s="374"/>
      <c r="AA29" s="374"/>
      <c r="AB29" s="374"/>
      <c r="AC29" s="374"/>
      <c r="AD29" s="374"/>
      <c r="AE29" s="374"/>
      <c r="AF29" s="374"/>
    </row>
    <row r="30" spans="1:32" ht="72.599999999999994" customHeight="1" x14ac:dyDescent="0.3">
      <c r="A30" s="180">
        <v>23</v>
      </c>
      <c r="B30" s="181" t="s">
        <v>1217</v>
      </c>
      <c r="C30" s="182" t="s">
        <v>1594</v>
      </c>
      <c r="D30" s="182" t="s">
        <v>1595</v>
      </c>
      <c r="E30" s="183" t="s">
        <v>1603</v>
      </c>
      <c r="F30" s="183"/>
      <c r="G30" s="183">
        <f t="shared" si="0"/>
        <v>20275</v>
      </c>
      <c r="H30" s="183">
        <v>20275</v>
      </c>
      <c r="I30" s="183">
        <f t="shared" si="1"/>
        <v>0</v>
      </c>
      <c r="J30" s="184">
        <v>20275</v>
      </c>
      <c r="K30" s="211">
        <v>13885</v>
      </c>
      <c r="L30" s="211">
        <f t="shared" si="2"/>
        <v>0</v>
      </c>
      <c r="M30" s="205">
        <v>13885</v>
      </c>
      <c r="N30" s="219">
        <v>6390</v>
      </c>
      <c r="O30" s="219">
        <f t="shared" si="3"/>
        <v>0</v>
      </c>
      <c r="P30" s="217">
        <f t="shared" si="4"/>
        <v>6390</v>
      </c>
      <c r="Q30" s="214">
        <v>0</v>
      </c>
      <c r="R30" s="231">
        <f t="shared" si="5"/>
        <v>0</v>
      </c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</row>
    <row r="31" spans="1:32" ht="74.25" customHeight="1" x14ac:dyDescent="0.3">
      <c r="A31" s="180">
        <v>24</v>
      </c>
      <c r="B31" s="181" t="s">
        <v>1217</v>
      </c>
      <c r="C31" s="182" t="s">
        <v>1594</v>
      </c>
      <c r="D31" s="182" t="s">
        <v>1595</v>
      </c>
      <c r="E31" s="183" t="s">
        <v>637</v>
      </c>
      <c r="F31" s="183"/>
      <c r="G31" s="183">
        <f t="shared" si="0"/>
        <v>45710</v>
      </c>
      <c r="H31" s="183">
        <v>45710</v>
      </c>
      <c r="I31" s="183">
        <f t="shared" si="1"/>
        <v>0</v>
      </c>
      <c r="J31" s="184">
        <v>45710</v>
      </c>
      <c r="K31" s="211">
        <v>38580</v>
      </c>
      <c r="L31" s="211">
        <f t="shared" si="2"/>
        <v>0</v>
      </c>
      <c r="M31" s="205">
        <v>38580</v>
      </c>
      <c r="N31" s="219">
        <v>7130</v>
      </c>
      <c r="O31" s="219">
        <f t="shared" si="3"/>
        <v>0</v>
      </c>
      <c r="P31" s="217">
        <f t="shared" si="4"/>
        <v>7130</v>
      </c>
      <c r="Q31" s="214">
        <v>0</v>
      </c>
      <c r="R31" s="231">
        <f t="shared" si="5"/>
        <v>0</v>
      </c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</row>
    <row r="32" spans="1:32" ht="74.25" customHeight="1" x14ac:dyDescent="0.3">
      <c r="A32" s="180">
        <v>25</v>
      </c>
      <c r="B32" s="181" t="s">
        <v>1593</v>
      </c>
      <c r="C32" s="182" t="s">
        <v>1594</v>
      </c>
      <c r="D32" s="182" t="s">
        <v>1595</v>
      </c>
      <c r="E32" s="183" t="s">
        <v>637</v>
      </c>
      <c r="F32" s="183"/>
      <c r="G32" s="183">
        <f t="shared" si="0"/>
        <v>1350</v>
      </c>
      <c r="H32" s="183">
        <v>1350</v>
      </c>
      <c r="I32" s="183">
        <f t="shared" si="1"/>
        <v>0</v>
      </c>
      <c r="J32" s="184">
        <v>1350</v>
      </c>
      <c r="K32" s="211">
        <v>1350</v>
      </c>
      <c r="L32" s="211">
        <f t="shared" si="2"/>
        <v>0</v>
      </c>
      <c r="M32" s="205">
        <v>1350</v>
      </c>
      <c r="N32" s="219">
        <v>0</v>
      </c>
      <c r="O32" s="219">
        <f t="shared" si="3"/>
        <v>0</v>
      </c>
      <c r="P32" s="217">
        <f t="shared" si="4"/>
        <v>0</v>
      </c>
      <c r="Q32" s="214">
        <v>0</v>
      </c>
      <c r="R32" s="231">
        <f t="shared" si="5"/>
        <v>0</v>
      </c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</row>
    <row r="33" spans="1:32" ht="74.25" customHeight="1" x14ac:dyDescent="0.3">
      <c r="A33" s="180">
        <v>26</v>
      </c>
      <c r="B33" s="181" t="s">
        <v>1217</v>
      </c>
      <c r="C33" s="182" t="s">
        <v>1594</v>
      </c>
      <c r="D33" s="182" t="s">
        <v>1604</v>
      </c>
      <c r="E33" s="183" t="s">
        <v>1605</v>
      </c>
      <c r="F33" s="183">
        <v>30</v>
      </c>
      <c r="G33" s="183">
        <f t="shared" si="0"/>
        <v>91665</v>
      </c>
      <c r="H33" s="183">
        <v>91665</v>
      </c>
      <c r="I33" s="183">
        <f t="shared" si="1"/>
        <v>0</v>
      </c>
      <c r="J33" s="184">
        <v>91665</v>
      </c>
      <c r="K33" s="211">
        <v>38675</v>
      </c>
      <c r="L33" s="211">
        <f t="shared" si="2"/>
        <v>0</v>
      </c>
      <c r="M33" s="205">
        <v>38675</v>
      </c>
      <c r="N33" s="219">
        <v>52990</v>
      </c>
      <c r="O33" s="219">
        <f t="shared" si="3"/>
        <v>0</v>
      </c>
      <c r="P33" s="217">
        <f t="shared" si="4"/>
        <v>52990</v>
      </c>
      <c r="Q33" s="214">
        <v>0</v>
      </c>
      <c r="R33" s="231">
        <f t="shared" si="5"/>
        <v>0</v>
      </c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</row>
    <row r="34" spans="1:32" ht="73.95" customHeight="1" x14ac:dyDescent="0.3">
      <c r="A34" s="180">
        <v>27</v>
      </c>
      <c r="B34" s="181" t="s">
        <v>1593</v>
      </c>
      <c r="C34" s="182" t="s">
        <v>1594</v>
      </c>
      <c r="D34" s="182" t="s">
        <v>1604</v>
      </c>
      <c r="E34" s="183" t="s">
        <v>1605</v>
      </c>
      <c r="F34" s="183"/>
      <c r="G34" s="183">
        <f t="shared" si="0"/>
        <v>88765</v>
      </c>
      <c r="H34" s="183">
        <v>88765</v>
      </c>
      <c r="I34" s="183">
        <f t="shared" si="1"/>
        <v>0</v>
      </c>
      <c r="J34" s="184">
        <v>88765</v>
      </c>
      <c r="K34" s="211">
        <v>83365</v>
      </c>
      <c r="L34" s="211">
        <f t="shared" si="2"/>
        <v>0</v>
      </c>
      <c r="M34" s="205">
        <v>83365</v>
      </c>
      <c r="N34" s="219">
        <v>5400</v>
      </c>
      <c r="O34" s="219">
        <f t="shared" si="3"/>
        <v>0</v>
      </c>
      <c r="P34" s="217">
        <f t="shared" si="4"/>
        <v>5400</v>
      </c>
      <c r="Q34" s="214">
        <v>0</v>
      </c>
      <c r="R34" s="231">
        <f t="shared" si="5"/>
        <v>0</v>
      </c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</row>
    <row r="35" spans="1:32" ht="70.2" customHeight="1" x14ac:dyDescent="0.3">
      <c r="A35" s="180">
        <v>28</v>
      </c>
      <c r="B35" s="181" t="s">
        <v>1593</v>
      </c>
      <c r="C35" s="182" t="s">
        <v>1594</v>
      </c>
      <c r="D35" s="182" t="s">
        <v>1606</v>
      </c>
      <c r="E35" s="183" t="s">
        <v>1606</v>
      </c>
      <c r="F35" s="183"/>
      <c r="G35" s="183">
        <f t="shared" si="0"/>
        <v>64450</v>
      </c>
      <c r="H35" s="183">
        <v>64450</v>
      </c>
      <c r="I35" s="183">
        <f t="shared" si="1"/>
        <v>0</v>
      </c>
      <c r="J35" s="184">
        <v>64450</v>
      </c>
      <c r="K35" s="211">
        <v>49550</v>
      </c>
      <c r="L35" s="211">
        <f t="shared" si="2"/>
        <v>0</v>
      </c>
      <c r="M35" s="205">
        <v>49550</v>
      </c>
      <c r="N35" s="219">
        <v>14900</v>
      </c>
      <c r="O35" s="219">
        <f t="shared" si="3"/>
        <v>0</v>
      </c>
      <c r="P35" s="217">
        <f t="shared" si="4"/>
        <v>14900</v>
      </c>
      <c r="Q35" s="214">
        <v>0</v>
      </c>
      <c r="R35" s="231">
        <f t="shared" si="5"/>
        <v>0</v>
      </c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</row>
    <row r="36" spans="1:32" ht="70.5" customHeight="1" x14ac:dyDescent="0.3">
      <c r="A36" s="180">
        <v>29</v>
      </c>
      <c r="B36" s="181" t="s">
        <v>1217</v>
      </c>
      <c r="C36" s="182" t="s">
        <v>1594</v>
      </c>
      <c r="D36" s="182" t="s">
        <v>1606</v>
      </c>
      <c r="E36" s="183" t="s">
        <v>1606</v>
      </c>
      <c r="F36" s="183"/>
      <c r="G36" s="183">
        <f t="shared" si="0"/>
        <v>34770</v>
      </c>
      <c r="H36" s="183">
        <v>34770</v>
      </c>
      <c r="I36" s="183">
        <f t="shared" si="1"/>
        <v>0</v>
      </c>
      <c r="J36" s="184">
        <v>34770</v>
      </c>
      <c r="K36" s="211">
        <v>14515</v>
      </c>
      <c r="L36" s="211">
        <f t="shared" si="2"/>
        <v>0</v>
      </c>
      <c r="M36" s="205">
        <v>14515</v>
      </c>
      <c r="N36" s="219">
        <v>20255</v>
      </c>
      <c r="O36" s="219">
        <f t="shared" si="3"/>
        <v>0</v>
      </c>
      <c r="P36" s="217">
        <f t="shared" si="4"/>
        <v>20255</v>
      </c>
      <c r="Q36" s="214">
        <v>0</v>
      </c>
      <c r="R36" s="231">
        <f t="shared" si="5"/>
        <v>0</v>
      </c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</row>
    <row r="37" spans="1:32" ht="70.2" customHeight="1" x14ac:dyDescent="0.3">
      <c r="A37" s="180">
        <v>30</v>
      </c>
      <c r="B37" s="181" t="s">
        <v>1217</v>
      </c>
      <c r="C37" s="182" t="s">
        <v>500</v>
      </c>
      <c r="D37" s="182" t="s">
        <v>1595</v>
      </c>
      <c r="E37" s="182" t="s">
        <v>530</v>
      </c>
      <c r="F37" s="182"/>
      <c r="G37" s="183">
        <f t="shared" si="0"/>
        <v>11780</v>
      </c>
      <c r="H37" s="182">
        <v>11780</v>
      </c>
      <c r="I37" s="183">
        <f t="shared" si="1"/>
        <v>0</v>
      </c>
      <c r="J37" s="184">
        <v>11780</v>
      </c>
      <c r="K37" s="211">
        <v>8335</v>
      </c>
      <c r="L37" s="211">
        <f t="shared" si="2"/>
        <v>0</v>
      </c>
      <c r="M37" s="205">
        <v>8335</v>
      </c>
      <c r="N37" s="219">
        <v>3445</v>
      </c>
      <c r="O37" s="219">
        <f t="shared" si="3"/>
        <v>0</v>
      </c>
      <c r="P37" s="217">
        <f t="shared" si="4"/>
        <v>3445</v>
      </c>
      <c r="Q37" s="214">
        <v>0</v>
      </c>
      <c r="R37" s="231">
        <f t="shared" si="5"/>
        <v>0</v>
      </c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</row>
    <row r="38" spans="1:32" ht="70.5" customHeight="1" x14ac:dyDescent="0.3">
      <c r="A38" s="180">
        <v>31</v>
      </c>
      <c r="B38" s="181" t="s">
        <v>1217</v>
      </c>
      <c r="C38" s="182" t="s">
        <v>500</v>
      </c>
      <c r="D38" s="182" t="s">
        <v>1595</v>
      </c>
      <c r="E38" s="182" t="s">
        <v>529</v>
      </c>
      <c r="F38" s="182"/>
      <c r="G38" s="183">
        <f t="shared" si="0"/>
        <v>13255</v>
      </c>
      <c r="H38" s="182">
        <v>13255</v>
      </c>
      <c r="I38" s="183">
        <f t="shared" si="1"/>
        <v>0</v>
      </c>
      <c r="J38" s="184">
        <v>13255</v>
      </c>
      <c r="K38" s="211">
        <v>9155</v>
      </c>
      <c r="L38" s="211">
        <f t="shared" si="2"/>
        <v>0</v>
      </c>
      <c r="M38" s="205">
        <v>9155</v>
      </c>
      <c r="N38" s="219">
        <v>4100</v>
      </c>
      <c r="O38" s="219">
        <f t="shared" si="3"/>
        <v>0</v>
      </c>
      <c r="P38" s="217">
        <f t="shared" si="4"/>
        <v>4100</v>
      </c>
      <c r="Q38" s="214">
        <v>0</v>
      </c>
      <c r="R38" s="231">
        <f t="shared" si="5"/>
        <v>0</v>
      </c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</row>
    <row r="39" spans="1:32" ht="70.5" customHeight="1" x14ac:dyDescent="0.3">
      <c r="A39" s="180">
        <v>32</v>
      </c>
      <c r="B39" s="181" t="s">
        <v>1593</v>
      </c>
      <c r="C39" s="182" t="s">
        <v>500</v>
      </c>
      <c r="D39" s="182" t="s">
        <v>1595</v>
      </c>
      <c r="E39" s="182" t="s">
        <v>529</v>
      </c>
      <c r="F39" s="182"/>
      <c r="G39" s="183">
        <f t="shared" si="0"/>
        <v>1900</v>
      </c>
      <c r="H39" s="182">
        <v>1900</v>
      </c>
      <c r="I39" s="183">
        <f t="shared" si="1"/>
        <v>0</v>
      </c>
      <c r="J39" s="184">
        <v>1900</v>
      </c>
      <c r="K39" s="211">
        <v>1900</v>
      </c>
      <c r="L39" s="211">
        <f t="shared" si="2"/>
        <v>0</v>
      </c>
      <c r="M39" s="205">
        <v>1900</v>
      </c>
      <c r="N39" s="219">
        <v>0</v>
      </c>
      <c r="O39" s="219">
        <f t="shared" si="3"/>
        <v>0</v>
      </c>
      <c r="P39" s="217">
        <f t="shared" si="4"/>
        <v>0</v>
      </c>
      <c r="Q39" s="214">
        <v>0</v>
      </c>
      <c r="R39" s="231">
        <f t="shared" si="5"/>
        <v>0</v>
      </c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</row>
    <row r="40" spans="1:32" ht="70.2" customHeight="1" x14ac:dyDescent="0.3">
      <c r="A40" s="180">
        <v>33</v>
      </c>
      <c r="B40" s="181" t="s">
        <v>1217</v>
      </c>
      <c r="C40" s="182" t="s">
        <v>500</v>
      </c>
      <c r="D40" s="182" t="s">
        <v>1604</v>
      </c>
      <c r="E40" s="182" t="s">
        <v>1607</v>
      </c>
      <c r="F40" s="182">
        <v>35</v>
      </c>
      <c r="G40" s="183">
        <f t="shared" si="0"/>
        <v>74550</v>
      </c>
      <c r="H40" s="182">
        <v>74550</v>
      </c>
      <c r="I40" s="183">
        <f t="shared" si="1"/>
        <v>0</v>
      </c>
      <c r="J40" s="184">
        <v>74550</v>
      </c>
      <c r="K40" s="211">
        <v>29210</v>
      </c>
      <c r="L40" s="211">
        <f t="shared" si="2"/>
        <v>0</v>
      </c>
      <c r="M40" s="205">
        <v>29210</v>
      </c>
      <c r="N40" s="219">
        <v>45340</v>
      </c>
      <c r="O40" s="219">
        <f t="shared" si="3"/>
        <v>0</v>
      </c>
      <c r="P40" s="217">
        <f t="shared" si="4"/>
        <v>45340</v>
      </c>
      <c r="Q40" s="214">
        <v>0</v>
      </c>
      <c r="R40" s="231">
        <f t="shared" si="5"/>
        <v>0</v>
      </c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</row>
    <row r="41" spans="1:32" ht="66.599999999999994" customHeight="1" x14ac:dyDescent="0.3">
      <c r="A41" s="180">
        <v>34</v>
      </c>
      <c r="B41" s="181" t="s">
        <v>1593</v>
      </c>
      <c r="C41" s="182" t="s">
        <v>500</v>
      </c>
      <c r="D41" s="182" t="s">
        <v>1604</v>
      </c>
      <c r="E41" s="182" t="s">
        <v>1607</v>
      </c>
      <c r="F41" s="182"/>
      <c r="G41" s="183">
        <f t="shared" si="0"/>
        <v>53072</v>
      </c>
      <c r="H41" s="182">
        <v>53072</v>
      </c>
      <c r="I41" s="183">
        <f t="shared" si="1"/>
        <v>0</v>
      </c>
      <c r="J41" s="184">
        <v>53072</v>
      </c>
      <c r="K41" s="211">
        <v>48692</v>
      </c>
      <c r="L41" s="211">
        <f t="shared" si="2"/>
        <v>0</v>
      </c>
      <c r="M41" s="205">
        <v>48692</v>
      </c>
      <c r="N41" s="219">
        <v>4380</v>
      </c>
      <c r="O41" s="219">
        <f t="shared" si="3"/>
        <v>0</v>
      </c>
      <c r="P41" s="217">
        <f t="shared" si="4"/>
        <v>4380</v>
      </c>
      <c r="Q41" s="214">
        <v>0</v>
      </c>
      <c r="R41" s="231">
        <f t="shared" si="5"/>
        <v>0</v>
      </c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</row>
    <row r="42" spans="1:32" ht="70.5" customHeight="1" x14ac:dyDescent="0.3">
      <c r="A42" s="180">
        <v>35</v>
      </c>
      <c r="B42" s="181" t="s">
        <v>1217</v>
      </c>
      <c r="C42" s="182" t="s">
        <v>500</v>
      </c>
      <c r="D42" s="182" t="s">
        <v>1595</v>
      </c>
      <c r="E42" s="182" t="s">
        <v>767</v>
      </c>
      <c r="F42" s="182"/>
      <c r="G42" s="183">
        <f t="shared" si="0"/>
        <v>85475</v>
      </c>
      <c r="H42" s="182">
        <v>85475</v>
      </c>
      <c r="I42" s="183">
        <f t="shared" si="1"/>
        <v>0</v>
      </c>
      <c r="J42" s="184">
        <v>85475</v>
      </c>
      <c r="K42" s="211">
        <v>75915</v>
      </c>
      <c r="L42" s="211">
        <f t="shared" si="2"/>
        <v>0</v>
      </c>
      <c r="M42" s="205">
        <v>75915</v>
      </c>
      <c r="N42" s="219">
        <v>9560</v>
      </c>
      <c r="O42" s="219">
        <f t="shared" si="3"/>
        <v>0</v>
      </c>
      <c r="P42" s="217">
        <f t="shared" si="4"/>
        <v>9560</v>
      </c>
      <c r="Q42" s="214">
        <v>0</v>
      </c>
      <c r="R42" s="231">
        <f t="shared" si="5"/>
        <v>0</v>
      </c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</row>
    <row r="43" spans="1:32" ht="70.5" customHeight="1" x14ac:dyDescent="0.3">
      <c r="A43" s="180">
        <v>36</v>
      </c>
      <c r="B43" s="181" t="s">
        <v>1593</v>
      </c>
      <c r="C43" s="182" t="s">
        <v>500</v>
      </c>
      <c r="D43" s="182" t="s">
        <v>1595</v>
      </c>
      <c r="E43" s="182" t="s">
        <v>530</v>
      </c>
      <c r="F43" s="182"/>
      <c r="G43" s="183">
        <f t="shared" si="0"/>
        <v>400</v>
      </c>
      <c r="H43" s="182">
        <v>400</v>
      </c>
      <c r="I43" s="183">
        <f t="shared" si="1"/>
        <v>0</v>
      </c>
      <c r="J43" s="184">
        <v>400</v>
      </c>
      <c r="K43" s="211">
        <v>400</v>
      </c>
      <c r="L43" s="211">
        <f t="shared" si="2"/>
        <v>0</v>
      </c>
      <c r="M43" s="205">
        <v>400</v>
      </c>
      <c r="N43" s="219">
        <v>0</v>
      </c>
      <c r="O43" s="219">
        <f t="shared" si="3"/>
        <v>0</v>
      </c>
      <c r="P43" s="217">
        <f t="shared" si="4"/>
        <v>0</v>
      </c>
      <c r="Q43" s="214">
        <v>0</v>
      </c>
      <c r="R43" s="231">
        <f t="shared" si="5"/>
        <v>0</v>
      </c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</row>
    <row r="44" spans="1:32" ht="65.400000000000006" customHeight="1" x14ac:dyDescent="0.3">
      <c r="A44" s="180">
        <v>37</v>
      </c>
      <c r="B44" s="181" t="s">
        <v>1593</v>
      </c>
      <c r="C44" s="182" t="s">
        <v>500</v>
      </c>
      <c r="D44" s="182" t="s">
        <v>1595</v>
      </c>
      <c r="E44" s="182" t="s">
        <v>767</v>
      </c>
      <c r="F44" s="182"/>
      <c r="G44" s="183">
        <f t="shared" si="0"/>
        <v>68325</v>
      </c>
      <c r="H44" s="182">
        <v>68325</v>
      </c>
      <c r="I44" s="183">
        <f t="shared" si="1"/>
        <v>0</v>
      </c>
      <c r="J44" s="184">
        <v>68325</v>
      </c>
      <c r="K44" s="211">
        <v>66765</v>
      </c>
      <c r="L44" s="211">
        <f t="shared" si="2"/>
        <v>0</v>
      </c>
      <c r="M44" s="205">
        <v>66765</v>
      </c>
      <c r="N44" s="219">
        <v>1560</v>
      </c>
      <c r="O44" s="219">
        <f t="shared" si="3"/>
        <v>0</v>
      </c>
      <c r="P44" s="217">
        <f t="shared" si="4"/>
        <v>1560</v>
      </c>
      <c r="Q44" s="214">
        <v>0</v>
      </c>
      <c r="R44" s="231">
        <f t="shared" si="5"/>
        <v>0</v>
      </c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</row>
    <row r="45" spans="1:32" ht="70.5" customHeight="1" x14ac:dyDescent="0.3">
      <c r="A45" s="180">
        <v>38</v>
      </c>
      <c r="B45" s="181" t="s">
        <v>1593</v>
      </c>
      <c r="C45" s="182" t="s">
        <v>500</v>
      </c>
      <c r="D45" s="182" t="s">
        <v>1606</v>
      </c>
      <c r="E45" s="182" t="s">
        <v>510</v>
      </c>
      <c r="F45" s="182"/>
      <c r="G45" s="183">
        <f t="shared" si="0"/>
        <v>55975</v>
      </c>
      <c r="H45" s="182">
        <v>55975</v>
      </c>
      <c r="I45" s="183">
        <f t="shared" si="1"/>
        <v>0</v>
      </c>
      <c r="J45" s="184">
        <v>55975</v>
      </c>
      <c r="K45" s="211">
        <v>47425</v>
      </c>
      <c r="L45" s="211">
        <f t="shared" si="2"/>
        <v>0</v>
      </c>
      <c r="M45" s="205">
        <v>47425</v>
      </c>
      <c r="N45" s="219">
        <v>8550</v>
      </c>
      <c r="O45" s="219">
        <f t="shared" si="3"/>
        <v>0</v>
      </c>
      <c r="P45" s="217">
        <f t="shared" si="4"/>
        <v>8550</v>
      </c>
      <c r="Q45" s="214">
        <v>0</v>
      </c>
      <c r="R45" s="231">
        <f t="shared" si="5"/>
        <v>0</v>
      </c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</row>
    <row r="46" spans="1:32" ht="70.2" customHeight="1" x14ac:dyDescent="0.3">
      <c r="A46" s="180">
        <v>39</v>
      </c>
      <c r="B46" s="181" t="s">
        <v>1217</v>
      </c>
      <c r="C46" s="182" t="s">
        <v>500</v>
      </c>
      <c r="D46" s="182" t="s">
        <v>1606</v>
      </c>
      <c r="E46" s="182" t="s">
        <v>510</v>
      </c>
      <c r="F46" s="182"/>
      <c r="G46" s="183">
        <f t="shared" si="0"/>
        <v>40000</v>
      </c>
      <c r="H46" s="182">
        <v>40000</v>
      </c>
      <c r="I46" s="183">
        <f t="shared" si="1"/>
        <v>0</v>
      </c>
      <c r="J46" s="184">
        <v>40000</v>
      </c>
      <c r="K46" s="211">
        <v>18300</v>
      </c>
      <c r="L46" s="211">
        <f t="shared" si="2"/>
        <v>0</v>
      </c>
      <c r="M46" s="205">
        <v>18300</v>
      </c>
      <c r="N46" s="219">
        <v>21700</v>
      </c>
      <c r="O46" s="219">
        <f t="shared" si="3"/>
        <v>0</v>
      </c>
      <c r="P46" s="217">
        <f t="shared" si="4"/>
        <v>21700</v>
      </c>
      <c r="Q46" s="214">
        <v>0</v>
      </c>
      <c r="R46" s="231">
        <f t="shared" si="5"/>
        <v>0</v>
      </c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</row>
    <row r="47" spans="1:32" ht="70.5" customHeight="1" x14ac:dyDescent="0.3">
      <c r="A47" s="180">
        <v>40</v>
      </c>
      <c r="B47" s="181" t="s">
        <v>1217</v>
      </c>
      <c r="C47" s="182" t="s">
        <v>500</v>
      </c>
      <c r="D47" s="182" t="s">
        <v>1595</v>
      </c>
      <c r="E47" s="182" t="s">
        <v>1601</v>
      </c>
      <c r="F47" s="182"/>
      <c r="G47" s="183">
        <f t="shared" si="0"/>
        <v>16235</v>
      </c>
      <c r="H47" s="182">
        <v>16235</v>
      </c>
      <c r="I47" s="183">
        <f t="shared" si="1"/>
        <v>0</v>
      </c>
      <c r="J47" s="184">
        <v>16235</v>
      </c>
      <c r="K47" s="211">
        <v>13460</v>
      </c>
      <c r="L47" s="211">
        <f t="shared" si="2"/>
        <v>0</v>
      </c>
      <c r="M47" s="205">
        <f>12860+600</f>
        <v>13460</v>
      </c>
      <c r="N47" s="219">
        <v>2775</v>
      </c>
      <c r="O47" s="219">
        <f t="shared" si="3"/>
        <v>0</v>
      </c>
      <c r="P47" s="217">
        <f t="shared" si="4"/>
        <v>2775</v>
      </c>
      <c r="Q47" s="214">
        <v>0</v>
      </c>
      <c r="R47" s="231">
        <f t="shared" si="5"/>
        <v>0</v>
      </c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</row>
    <row r="48" spans="1:32" ht="71.400000000000006" customHeight="1" x14ac:dyDescent="0.3">
      <c r="A48" s="180">
        <v>41</v>
      </c>
      <c r="B48" s="181" t="s">
        <v>1593</v>
      </c>
      <c r="C48" s="182" t="s">
        <v>500</v>
      </c>
      <c r="D48" s="182" t="s">
        <v>1595</v>
      </c>
      <c r="E48" s="182" t="s">
        <v>1601</v>
      </c>
      <c r="F48" s="182"/>
      <c r="G48" s="183">
        <f t="shared" si="0"/>
        <v>3550</v>
      </c>
      <c r="H48" s="182">
        <v>3550</v>
      </c>
      <c r="I48" s="183">
        <f t="shared" si="1"/>
        <v>0</v>
      </c>
      <c r="J48" s="184">
        <v>3550</v>
      </c>
      <c r="K48" s="211">
        <v>3550</v>
      </c>
      <c r="L48" s="211">
        <f t="shared" si="2"/>
        <v>0</v>
      </c>
      <c r="M48" s="205">
        <v>3550</v>
      </c>
      <c r="N48" s="219">
        <v>0</v>
      </c>
      <c r="O48" s="219">
        <f t="shared" si="3"/>
        <v>0</v>
      </c>
      <c r="P48" s="217">
        <f t="shared" si="4"/>
        <v>0</v>
      </c>
      <c r="Q48" s="214">
        <v>0</v>
      </c>
      <c r="R48" s="231">
        <f t="shared" si="5"/>
        <v>0</v>
      </c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</row>
    <row r="49" spans="1:32" ht="71.400000000000006" customHeight="1" x14ac:dyDescent="0.3">
      <c r="A49" s="180">
        <v>42</v>
      </c>
      <c r="B49" s="181" t="s">
        <v>1217</v>
      </c>
      <c r="C49" s="182" t="s">
        <v>500</v>
      </c>
      <c r="D49" s="182" t="s">
        <v>1596</v>
      </c>
      <c r="E49" s="182" t="s">
        <v>527</v>
      </c>
      <c r="F49" s="182"/>
      <c r="G49" s="183">
        <f t="shared" si="0"/>
        <v>10400</v>
      </c>
      <c r="H49" s="182">
        <v>10400</v>
      </c>
      <c r="I49" s="183">
        <f t="shared" si="1"/>
        <v>0</v>
      </c>
      <c r="J49" s="184">
        <v>10400</v>
      </c>
      <c r="K49" s="211">
        <v>7350</v>
      </c>
      <c r="L49" s="211">
        <f t="shared" si="2"/>
        <v>0</v>
      </c>
      <c r="M49" s="205">
        <v>7350</v>
      </c>
      <c r="N49" s="219">
        <v>3050</v>
      </c>
      <c r="O49" s="219">
        <f t="shared" si="3"/>
        <v>0</v>
      </c>
      <c r="P49" s="217">
        <f t="shared" si="4"/>
        <v>3050</v>
      </c>
      <c r="Q49" s="214">
        <v>0</v>
      </c>
      <c r="R49" s="231">
        <f t="shared" si="5"/>
        <v>0</v>
      </c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</row>
    <row r="50" spans="1:32" ht="70.5" customHeight="1" x14ac:dyDescent="0.3">
      <c r="A50" s="180">
        <v>43</v>
      </c>
      <c r="B50" s="181" t="s">
        <v>1217</v>
      </c>
      <c r="C50" s="182" t="s">
        <v>500</v>
      </c>
      <c r="D50" s="182" t="s">
        <v>1595</v>
      </c>
      <c r="E50" s="182" t="s">
        <v>532</v>
      </c>
      <c r="F50" s="182"/>
      <c r="G50" s="183">
        <f t="shared" si="0"/>
        <v>39695</v>
      </c>
      <c r="H50" s="182">
        <v>39695</v>
      </c>
      <c r="I50" s="183">
        <f t="shared" si="1"/>
        <v>0</v>
      </c>
      <c r="J50" s="184">
        <v>39695</v>
      </c>
      <c r="K50" s="211">
        <v>31840</v>
      </c>
      <c r="L50" s="211">
        <f t="shared" si="2"/>
        <v>0</v>
      </c>
      <c r="M50" s="205">
        <v>31840</v>
      </c>
      <c r="N50" s="219">
        <v>7855</v>
      </c>
      <c r="O50" s="219">
        <f t="shared" si="3"/>
        <v>0</v>
      </c>
      <c r="P50" s="217">
        <f t="shared" si="4"/>
        <v>7855</v>
      </c>
      <c r="Q50" s="214">
        <v>0</v>
      </c>
      <c r="R50" s="231">
        <f t="shared" si="5"/>
        <v>0</v>
      </c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</row>
    <row r="51" spans="1:32" ht="70.2" customHeight="1" x14ac:dyDescent="0.3">
      <c r="A51" s="180">
        <v>44</v>
      </c>
      <c r="B51" s="181" t="s">
        <v>1593</v>
      </c>
      <c r="C51" s="182" t="s">
        <v>500</v>
      </c>
      <c r="D51" s="182" t="s">
        <v>1596</v>
      </c>
      <c r="E51" s="182" t="s">
        <v>527</v>
      </c>
      <c r="F51" s="182"/>
      <c r="G51" s="183">
        <f t="shared" si="0"/>
        <v>2760</v>
      </c>
      <c r="H51" s="182">
        <v>2760</v>
      </c>
      <c r="I51" s="183">
        <f t="shared" si="1"/>
        <v>0</v>
      </c>
      <c r="J51" s="184">
        <v>2760</v>
      </c>
      <c r="K51" s="211">
        <v>2760</v>
      </c>
      <c r="L51" s="211">
        <f t="shared" si="2"/>
        <v>0</v>
      </c>
      <c r="M51" s="205">
        <v>2760</v>
      </c>
      <c r="N51" s="219">
        <v>0</v>
      </c>
      <c r="O51" s="219">
        <f t="shared" si="3"/>
        <v>0</v>
      </c>
      <c r="P51" s="217">
        <f t="shared" si="4"/>
        <v>0</v>
      </c>
      <c r="Q51" s="214">
        <v>0</v>
      </c>
      <c r="R51" s="231">
        <f t="shared" si="5"/>
        <v>0</v>
      </c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</row>
    <row r="52" spans="1:32" ht="70.2" customHeight="1" x14ac:dyDescent="0.3">
      <c r="A52" s="180">
        <v>45</v>
      </c>
      <c r="B52" s="181" t="s">
        <v>1593</v>
      </c>
      <c r="C52" s="182" t="s">
        <v>500</v>
      </c>
      <c r="D52" s="182" t="s">
        <v>1596</v>
      </c>
      <c r="E52" s="182" t="s">
        <v>521</v>
      </c>
      <c r="F52" s="182"/>
      <c r="G52" s="183">
        <f t="shared" si="0"/>
        <v>5425</v>
      </c>
      <c r="H52" s="182">
        <v>5425</v>
      </c>
      <c r="I52" s="183">
        <f t="shared" si="1"/>
        <v>0</v>
      </c>
      <c r="J52" s="184">
        <v>5425</v>
      </c>
      <c r="K52" s="211">
        <v>5425</v>
      </c>
      <c r="L52" s="211">
        <f t="shared" si="2"/>
        <v>0</v>
      </c>
      <c r="M52" s="205">
        <v>5425</v>
      </c>
      <c r="N52" s="219">
        <v>0</v>
      </c>
      <c r="O52" s="219">
        <f t="shared" si="3"/>
        <v>0</v>
      </c>
      <c r="P52" s="217">
        <f t="shared" si="4"/>
        <v>0</v>
      </c>
      <c r="Q52" s="214">
        <v>0</v>
      </c>
      <c r="R52" s="231">
        <f t="shared" si="5"/>
        <v>0</v>
      </c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</row>
    <row r="53" spans="1:32" ht="70.5" customHeight="1" x14ac:dyDescent="0.3">
      <c r="A53" s="180">
        <v>46</v>
      </c>
      <c r="B53" s="181" t="s">
        <v>1593</v>
      </c>
      <c r="C53" s="182" t="s">
        <v>500</v>
      </c>
      <c r="D53" s="182" t="s">
        <v>1595</v>
      </c>
      <c r="E53" s="182" t="s">
        <v>532</v>
      </c>
      <c r="F53" s="182"/>
      <c r="G53" s="183">
        <f t="shared" si="0"/>
        <v>375</v>
      </c>
      <c r="H53" s="182">
        <v>375</v>
      </c>
      <c r="I53" s="183">
        <f t="shared" si="1"/>
        <v>0</v>
      </c>
      <c r="J53" s="184">
        <v>375</v>
      </c>
      <c r="K53" s="211">
        <v>375</v>
      </c>
      <c r="L53" s="211">
        <f t="shared" si="2"/>
        <v>0</v>
      </c>
      <c r="M53" s="205">
        <v>375</v>
      </c>
      <c r="N53" s="219">
        <v>0</v>
      </c>
      <c r="O53" s="219">
        <f t="shared" si="3"/>
        <v>0</v>
      </c>
      <c r="P53" s="217">
        <f t="shared" si="4"/>
        <v>0</v>
      </c>
      <c r="Q53" s="214">
        <v>0</v>
      </c>
      <c r="R53" s="231">
        <f t="shared" si="5"/>
        <v>0</v>
      </c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</row>
    <row r="54" spans="1:32" ht="70.5" customHeight="1" x14ac:dyDescent="0.3">
      <c r="A54" s="180">
        <v>47</v>
      </c>
      <c r="B54" s="181" t="s">
        <v>1217</v>
      </c>
      <c r="C54" s="182" t="s">
        <v>500</v>
      </c>
      <c r="D54" s="182" t="s">
        <v>910</v>
      </c>
      <c r="E54" s="182" t="s">
        <v>1609</v>
      </c>
      <c r="F54" s="182"/>
      <c r="G54" s="183">
        <f t="shared" si="0"/>
        <v>47150</v>
      </c>
      <c r="H54" s="182">
        <v>47150</v>
      </c>
      <c r="I54" s="183">
        <f t="shared" si="1"/>
        <v>0</v>
      </c>
      <c r="J54" s="184">
        <v>47150</v>
      </c>
      <c r="K54" s="211">
        <v>44950</v>
      </c>
      <c r="L54" s="211">
        <f t="shared" si="2"/>
        <v>0</v>
      </c>
      <c r="M54" s="205">
        <v>44950</v>
      </c>
      <c r="N54" s="219">
        <v>2200</v>
      </c>
      <c r="O54" s="219">
        <f t="shared" si="3"/>
        <v>0</v>
      </c>
      <c r="P54" s="217">
        <f t="shared" si="4"/>
        <v>2200</v>
      </c>
      <c r="Q54" s="214">
        <v>0</v>
      </c>
      <c r="R54" s="231">
        <f t="shared" si="5"/>
        <v>0</v>
      </c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</row>
    <row r="55" spans="1:32" ht="70.5" customHeight="1" x14ac:dyDescent="0.3">
      <c r="A55" s="180">
        <v>48</v>
      </c>
      <c r="B55" s="181" t="s">
        <v>1217</v>
      </c>
      <c r="C55" s="182" t="s">
        <v>500</v>
      </c>
      <c r="D55" s="182" t="s">
        <v>1596</v>
      </c>
      <c r="E55" s="182" t="s">
        <v>521</v>
      </c>
      <c r="F55" s="182"/>
      <c r="G55" s="183">
        <f t="shared" si="0"/>
        <v>24655</v>
      </c>
      <c r="H55" s="182">
        <v>24655</v>
      </c>
      <c r="I55" s="183">
        <f t="shared" si="1"/>
        <v>0</v>
      </c>
      <c r="J55" s="184">
        <v>24655</v>
      </c>
      <c r="K55" s="211">
        <v>24655</v>
      </c>
      <c r="L55" s="211">
        <f t="shared" si="2"/>
        <v>0</v>
      </c>
      <c r="M55" s="205">
        <v>24655</v>
      </c>
      <c r="N55" s="219">
        <v>0</v>
      </c>
      <c r="O55" s="219">
        <f t="shared" si="3"/>
        <v>0</v>
      </c>
      <c r="P55" s="217">
        <f t="shared" si="4"/>
        <v>0</v>
      </c>
      <c r="Q55" s="214">
        <v>0</v>
      </c>
      <c r="R55" s="231">
        <f t="shared" si="5"/>
        <v>0</v>
      </c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</row>
    <row r="56" spans="1:32" ht="70.5" customHeight="1" x14ac:dyDescent="0.3">
      <c r="A56" s="180">
        <v>49</v>
      </c>
      <c r="B56" s="185" t="s">
        <v>1593</v>
      </c>
      <c r="C56" s="182" t="s">
        <v>14</v>
      </c>
      <c r="D56" s="182" t="s">
        <v>14</v>
      </c>
      <c r="E56" s="182" t="s">
        <v>14</v>
      </c>
      <c r="F56" s="182"/>
      <c r="G56" s="183">
        <f t="shared" si="0"/>
        <v>700</v>
      </c>
      <c r="H56" s="182">
        <v>700</v>
      </c>
      <c r="I56" s="183">
        <f t="shared" si="1"/>
        <v>0</v>
      </c>
      <c r="J56" s="184">
        <v>700</v>
      </c>
      <c r="K56" s="211">
        <v>700</v>
      </c>
      <c r="L56" s="211">
        <f t="shared" si="2"/>
        <v>0</v>
      </c>
      <c r="M56" s="205">
        <v>700</v>
      </c>
      <c r="N56" s="219">
        <v>0</v>
      </c>
      <c r="O56" s="219">
        <f t="shared" si="3"/>
        <v>0</v>
      </c>
      <c r="P56" s="217">
        <f t="shared" si="4"/>
        <v>0</v>
      </c>
      <c r="Q56" s="214">
        <v>0</v>
      </c>
      <c r="R56" s="231">
        <f t="shared" si="5"/>
        <v>0</v>
      </c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</row>
    <row r="57" spans="1:32" ht="58.95" customHeight="1" x14ac:dyDescent="0.3">
      <c r="A57" s="180">
        <v>50</v>
      </c>
      <c r="B57" s="185" t="s">
        <v>1217</v>
      </c>
      <c r="C57" s="182" t="s">
        <v>514</v>
      </c>
      <c r="D57" s="182" t="s">
        <v>1604</v>
      </c>
      <c r="E57" s="182" t="s">
        <v>1607</v>
      </c>
      <c r="F57" s="182">
        <v>29</v>
      </c>
      <c r="G57" s="183">
        <f t="shared" si="0"/>
        <v>54260</v>
      </c>
      <c r="H57" s="182">
        <v>54260</v>
      </c>
      <c r="I57" s="183">
        <f t="shared" si="1"/>
        <v>0</v>
      </c>
      <c r="J57" s="184">
        <v>54260</v>
      </c>
      <c r="K57" s="211">
        <v>27110</v>
      </c>
      <c r="L57" s="211">
        <f t="shared" si="2"/>
        <v>0</v>
      </c>
      <c r="M57" s="205">
        <v>27110</v>
      </c>
      <c r="N57" s="219">
        <v>27150</v>
      </c>
      <c r="O57" s="219">
        <f t="shared" si="3"/>
        <v>0</v>
      </c>
      <c r="P57" s="217">
        <f t="shared" si="4"/>
        <v>27150</v>
      </c>
      <c r="Q57" s="214">
        <v>0</v>
      </c>
      <c r="R57" s="231">
        <f t="shared" si="5"/>
        <v>0</v>
      </c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</row>
    <row r="58" spans="1:32" ht="70.5" customHeight="1" x14ac:dyDescent="0.3">
      <c r="A58" s="180">
        <v>51</v>
      </c>
      <c r="B58" s="185" t="s">
        <v>1593</v>
      </c>
      <c r="C58" s="182" t="s">
        <v>514</v>
      </c>
      <c r="D58" s="182" t="s">
        <v>1604</v>
      </c>
      <c r="E58" s="182" t="s">
        <v>1607</v>
      </c>
      <c r="F58" s="182"/>
      <c r="G58" s="183">
        <f t="shared" si="0"/>
        <v>56430</v>
      </c>
      <c r="H58" s="182">
        <v>56430</v>
      </c>
      <c r="I58" s="183">
        <f t="shared" si="1"/>
        <v>0</v>
      </c>
      <c r="J58" s="184">
        <v>56430</v>
      </c>
      <c r="K58" s="211">
        <v>53730</v>
      </c>
      <c r="L58" s="211">
        <f t="shared" si="2"/>
        <v>0</v>
      </c>
      <c r="M58" s="205">
        <v>53730</v>
      </c>
      <c r="N58" s="219">
        <v>2700</v>
      </c>
      <c r="O58" s="219">
        <f t="shared" si="3"/>
        <v>0</v>
      </c>
      <c r="P58" s="217">
        <f t="shared" si="4"/>
        <v>2700</v>
      </c>
      <c r="Q58" s="214">
        <v>0</v>
      </c>
      <c r="R58" s="231">
        <f t="shared" si="5"/>
        <v>0</v>
      </c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</row>
    <row r="59" spans="1:32" ht="70.5" customHeight="1" x14ac:dyDescent="0.3">
      <c r="A59" s="180">
        <v>52</v>
      </c>
      <c r="B59" s="185" t="s">
        <v>1593</v>
      </c>
      <c r="C59" s="182" t="s">
        <v>514</v>
      </c>
      <c r="D59" s="182" t="s">
        <v>1606</v>
      </c>
      <c r="E59" s="180" t="s">
        <v>1606</v>
      </c>
      <c r="F59" s="180"/>
      <c r="G59" s="183">
        <f t="shared" si="0"/>
        <v>62950</v>
      </c>
      <c r="H59" s="180">
        <v>62950</v>
      </c>
      <c r="I59" s="183">
        <f t="shared" si="1"/>
        <v>0</v>
      </c>
      <c r="J59" s="184">
        <v>62950</v>
      </c>
      <c r="K59" s="211">
        <v>51650</v>
      </c>
      <c r="L59" s="211">
        <f t="shared" si="2"/>
        <v>0</v>
      </c>
      <c r="M59" s="205">
        <v>51650</v>
      </c>
      <c r="N59" s="219">
        <v>11300</v>
      </c>
      <c r="O59" s="219">
        <f t="shared" si="3"/>
        <v>0</v>
      </c>
      <c r="P59" s="217">
        <f t="shared" si="4"/>
        <v>11300</v>
      </c>
      <c r="Q59" s="214">
        <v>0</v>
      </c>
      <c r="R59" s="231">
        <f t="shared" si="5"/>
        <v>0</v>
      </c>
      <c r="S59" s="375"/>
      <c r="T59" s="376"/>
      <c r="U59" s="376"/>
      <c r="V59" s="376"/>
      <c r="W59" s="376"/>
      <c r="X59" s="376"/>
      <c r="Y59" s="175"/>
      <c r="Z59" s="175"/>
      <c r="AA59" s="175"/>
      <c r="AB59" s="175"/>
      <c r="AC59" s="175"/>
      <c r="AD59" s="175"/>
      <c r="AE59" s="175"/>
      <c r="AF59" s="175"/>
    </row>
    <row r="60" spans="1:32" ht="70.5" customHeight="1" x14ac:dyDescent="0.3">
      <c r="A60" s="180">
        <v>53</v>
      </c>
      <c r="B60" s="185" t="s">
        <v>1217</v>
      </c>
      <c r="C60" s="182" t="s">
        <v>514</v>
      </c>
      <c r="D60" s="182" t="s">
        <v>1606</v>
      </c>
      <c r="E60" s="180" t="s">
        <v>1606</v>
      </c>
      <c r="F60" s="180"/>
      <c r="G60" s="183">
        <f t="shared" si="0"/>
        <v>34875</v>
      </c>
      <c r="H60" s="180">
        <v>34875</v>
      </c>
      <c r="I60" s="183">
        <f t="shared" si="1"/>
        <v>0</v>
      </c>
      <c r="J60" s="184">
        <v>34875</v>
      </c>
      <c r="K60" s="211">
        <v>13655</v>
      </c>
      <c r="L60" s="211">
        <f t="shared" si="2"/>
        <v>0</v>
      </c>
      <c r="M60" s="205">
        <v>13655</v>
      </c>
      <c r="N60" s="219">
        <v>21220</v>
      </c>
      <c r="O60" s="219">
        <f t="shared" si="3"/>
        <v>0</v>
      </c>
      <c r="P60" s="217">
        <f t="shared" si="4"/>
        <v>21220</v>
      </c>
      <c r="Q60" s="214">
        <v>0</v>
      </c>
      <c r="R60" s="231">
        <f t="shared" si="5"/>
        <v>0</v>
      </c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</row>
    <row r="61" spans="1:32" ht="70.2" customHeight="1" x14ac:dyDescent="0.3">
      <c r="A61" s="180">
        <v>54</v>
      </c>
      <c r="B61" s="185" t="s">
        <v>1217</v>
      </c>
      <c r="C61" s="182" t="s">
        <v>514</v>
      </c>
      <c r="D61" s="182" t="s">
        <v>1595</v>
      </c>
      <c r="E61" s="186" t="s">
        <v>757</v>
      </c>
      <c r="F61" s="186"/>
      <c r="G61" s="183">
        <f t="shared" si="0"/>
        <v>42935</v>
      </c>
      <c r="H61" s="186">
        <v>42935</v>
      </c>
      <c r="I61" s="183">
        <f t="shared" si="1"/>
        <v>0</v>
      </c>
      <c r="J61" s="184">
        <v>42935</v>
      </c>
      <c r="K61" s="211">
        <v>29835</v>
      </c>
      <c r="L61" s="211">
        <f t="shared" si="2"/>
        <v>0</v>
      </c>
      <c r="M61" s="205">
        <v>29835</v>
      </c>
      <c r="N61" s="219">
        <v>13100</v>
      </c>
      <c r="O61" s="219">
        <f t="shared" si="3"/>
        <v>0</v>
      </c>
      <c r="P61" s="217">
        <f t="shared" si="4"/>
        <v>13100</v>
      </c>
      <c r="Q61" s="214">
        <v>0</v>
      </c>
      <c r="R61" s="231">
        <f t="shared" si="5"/>
        <v>0</v>
      </c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</row>
    <row r="62" spans="1:32" ht="70.2" customHeight="1" x14ac:dyDescent="0.3">
      <c r="A62" s="180">
        <v>55</v>
      </c>
      <c r="B62" s="185" t="s">
        <v>1593</v>
      </c>
      <c r="C62" s="182" t="s">
        <v>514</v>
      </c>
      <c r="D62" s="182" t="s">
        <v>1595</v>
      </c>
      <c r="E62" s="186" t="s">
        <v>757</v>
      </c>
      <c r="F62" s="186"/>
      <c r="G62" s="183">
        <f t="shared" si="0"/>
        <v>5975</v>
      </c>
      <c r="H62" s="186">
        <v>5975</v>
      </c>
      <c r="I62" s="183">
        <f t="shared" si="1"/>
        <v>0</v>
      </c>
      <c r="J62" s="184">
        <v>5975</v>
      </c>
      <c r="K62" s="211">
        <v>5975</v>
      </c>
      <c r="L62" s="211">
        <f t="shared" si="2"/>
        <v>0</v>
      </c>
      <c r="M62" s="205">
        <v>5975</v>
      </c>
      <c r="N62" s="219">
        <v>0</v>
      </c>
      <c r="O62" s="219">
        <f t="shared" si="3"/>
        <v>0</v>
      </c>
      <c r="P62" s="217">
        <f t="shared" si="4"/>
        <v>0</v>
      </c>
      <c r="Q62" s="214">
        <v>0</v>
      </c>
      <c r="R62" s="231">
        <f t="shared" si="5"/>
        <v>0</v>
      </c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</row>
    <row r="63" spans="1:32" ht="70.2" customHeight="1" x14ac:dyDescent="0.3">
      <c r="A63" s="180">
        <v>56</v>
      </c>
      <c r="B63" s="185" t="s">
        <v>1217</v>
      </c>
      <c r="C63" s="182" t="s">
        <v>514</v>
      </c>
      <c r="D63" s="182" t="s">
        <v>1596</v>
      </c>
      <c r="E63" s="186" t="s">
        <v>515</v>
      </c>
      <c r="F63" s="186"/>
      <c r="G63" s="183">
        <f t="shared" si="0"/>
        <v>18555</v>
      </c>
      <c r="H63" s="186">
        <v>18555</v>
      </c>
      <c r="I63" s="183">
        <f t="shared" si="1"/>
        <v>0</v>
      </c>
      <c r="J63" s="184">
        <v>18555</v>
      </c>
      <c r="K63" s="211">
        <v>17775</v>
      </c>
      <c r="L63" s="211">
        <f t="shared" si="2"/>
        <v>0</v>
      </c>
      <c r="M63" s="205">
        <v>17775</v>
      </c>
      <c r="N63" s="219">
        <v>780</v>
      </c>
      <c r="O63" s="219">
        <f t="shared" si="3"/>
        <v>0</v>
      </c>
      <c r="P63" s="217">
        <f t="shared" si="4"/>
        <v>780</v>
      </c>
      <c r="Q63" s="214">
        <v>0</v>
      </c>
      <c r="R63" s="231">
        <f t="shared" si="5"/>
        <v>0</v>
      </c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</row>
    <row r="64" spans="1:32" ht="70.5" customHeight="1" x14ac:dyDescent="0.3">
      <c r="A64" s="180">
        <v>57</v>
      </c>
      <c r="B64" s="185" t="s">
        <v>1217</v>
      </c>
      <c r="C64" s="182" t="s">
        <v>514</v>
      </c>
      <c r="D64" s="182" t="s">
        <v>1595</v>
      </c>
      <c r="E64" s="186" t="s">
        <v>513</v>
      </c>
      <c r="F64" s="186">
        <v>35</v>
      </c>
      <c r="G64" s="183">
        <f t="shared" si="0"/>
        <v>69875</v>
      </c>
      <c r="H64" s="186">
        <v>69875</v>
      </c>
      <c r="I64" s="183">
        <f t="shared" si="1"/>
        <v>0</v>
      </c>
      <c r="J64" s="184">
        <v>69875</v>
      </c>
      <c r="K64" s="211">
        <v>44750</v>
      </c>
      <c r="L64" s="211">
        <f t="shared" si="2"/>
        <v>0</v>
      </c>
      <c r="M64" s="205">
        <v>44750</v>
      </c>
      <c r="N64" s="219">
        <v>25125</v>
      </c>
      <c r="O64" s="219">
        <f t="shared" si="3"/>
        <v>0</v>
      </c>
      <c r="P64" s="217">
        <f t="shared" si="4"/>
        <v>25125</v>
      </c>
      <c r="Q64" s="214">
        <v>0</v>
      </c>
      <c r="R64" s="231">
        <f t="shared" si="5"/>
        <v>0</v>
      </c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</row>
    <row r="65" spans="1:32" ht="72" customHeight="1" x14ac:dyDescent="0.3">
      <c r="A65" s="180">
        <v>58</v>
      </c>
      <c r="B65" s="185" t="s">
        <v>1593</v>
      </c>
      <c r="C65" s="182" t="s">
        <v>514</v>
      </c>
      <c r="D65" s="182" t="s">
        <v>1595</v>
      </c>
      <c r="E65" s="186" t="s">
        <v>513</v>
      </c>
      <c r="F65" s="186"/>
      <c r="G65" s="183">
        <f t="shared" si="0"/>
        <v>73375</v>
      </c>
      <c r="H65" s="186">
        <v>73375</v>
      </c>
      <c r="I65" s="183">
        <f t="shared" si="1"/>
        <v>0</v>
      </c>
      <c r="J65" s="184">
        <v>73375</v>
      </c>
      <c r="K65" s="211">
        <v>72175</v>
      </c>
      <c r="L65" s="211">
        <f t="shared" si="2"/>
        <v>0</v>
      </c>
      <c r="M65" s="205">
        <v>72175</v>
      </c>
      <c r="N65" s="219">
        <v>1200</v>
      </c>
      <c r="O65" s="219">
        <f t="shared" si="3"/>
        <v>0</v>
      </c>
      <c r="P65" s="217">
        <f t="shared" si="4"/>
        <v>1200</v>
      </c>
      <c r="Q65" s="214">
        <v>0</v>
      </c>
      <c r="R65" s="231">
        <f t="shared" si="5"/>
        <v>0</v>
      </c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</row>
    <row r="66" spans="1:32" ht="70.5" customHeight="1" x14ac:dyDescent="0.3">
      <c r="A66" s="180">
        <v>59</v>
      </c>
      <c r="B66" s="185" t="s">
        <v>1593</v>
      </c>
      <c r="C66" s="182" t="s">
        <v>514</v>
      </c>
      <c r="D66" s="182" t="s">
        <v>1596</v>
      </c>
      <c r="E66" s="186" t="s">
        <v>515</v>
      </c>
      <c r="F66" s="186"/>
      <c r="G66" s="183">
        <f t="shared" si="0"/>
        <v>1030</v>
      </c>
      <c r="H66" s="186">
        <v>1030</v>
      </c>
      <c r="I66" s="183">
        <f t="shared" si="1"/>
        <v>0</v>
      </c>
      <c r="J66" s="184">
        <v>1030</v>
      </c>
      <c r="K66" s="211">
        <v>1030</v>
      </c>
      <c r="L66" s="211">
        <f t="shared" si="2"/>
        <v>0</v>
      </c>
      <c r="M66" s="205">
        <v>1030</v>
      </c>
      <c r="N66" s="219">
        <v>0</v>
      </c>
      <c r="O66" s="219">
        <f t="shared" si="3"/>
        <v>0</v>
      </c>
      <c r="P66" s="217">
        <f t="shared" si="4"/>
        <v>0</v>
      </c>
      <c r="Q66" s="214">
        <v>0</v>
      </c>
      <c r="R66" s="231">
        <f t="shared" si="5"/>
        <v>0</v>
      </c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</row>
    <row r="67" spans="1:32" ht="70.5" customHeight="1" x14ac:dyDescent="0.3">
      <c r="A67" s="180">
        <v>60</v>
      </c>
      <c r="B67" s="185" t="s">
        <v>1593</v>
      </c>
      <c r="C67" s="182" t="s">
        <v>514</v>
      </c>
      <c r="D67" s="182" t="s">
        <v>1595</v>
      </c>
      <c r="E67" s="186" t="s">
        <v>690</v>
      </c>
      <c r="F67" s="186"/>
      <c r="G67" s="183">
        <f t="shared" si="0"/>
        <v>8100</v>
      </c>
      <c r="H67" s="186">
        <v>8100</v>
      </c>
      <c r="I67" s="183">
        <f t="shared" si="1"/>
        <v>0</v>
      </c>
      <c r="J67" s="184">
        <v>8100</v>
      </c>
      <c r="K67" s="211">
        <v>8100</v>
      </c>
      <c r="L67" s="211">
        <f t="shared" si="2"/>
        <v>0</v>
      </c>
      <c r="M67" s="205">
        <v>8100</v>
      </c>
      <c r="N67" s="219">
        <v>0</v>
      </c>
      <c r="O67" s="219">
        <f t="shared" si="3"/>
        <v>0</v>
      </c>
      <c r="P67" s="217">
        <f t="shared" si="4"/>
        <v>0</v>
      </c>
      <c r="Q67" s="214">
        <v>0</v>
      </c>
      <c r="R67" s="231">
        <f t="shared" si="5"/>
        <v>0</v>
      </c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</row>
    <row r="68" spans="1:32" ht="68.400000000000006" customHeight="1" x14ac:dyDescent="0.3">
      <c r="A68" s="180">
        <v>61</v>
      </c>
      <c r="B68" s="187" t="s">
        <v>1593</v>
      </c>
      <c r="C68" s="182" t="s">
        <v>509</v>
      </c>
      <c r="D68" s="182" t="s">
        <v>1604</v>
      </c>
      <c r="E68" s="182" t="s">
        <v>501</v>
      </c>
      <c r="F68" s="182"/>
      <c r="G68" s="183">
        <f t="shared" si="0"/>
        <v>82540</v>
      </c>
      <c r="H68" s="182">
        <v>82540</v>
      </c>
      <c r="I68" s="183">
        <f t="shared" si="1"/>
        <v>0</v>
      </c>
      <c r="J68" s="184">
        <v>82540</v>
      </c>
      <c r="K68" s="211">
        <v>62005</v>
      </c>
      <c r="L68" s="211">
        <f t="shared" si="2"/>
        <v>0</v>
      </c>
      <c r="M68" s="205">
        <v>62005</v>
      </c>
      <c r="N68" s="219">
        <v>20535</v>
      </c>
      <c r="O68" s="219">
        <f t="shared" si="3"/>
        <v>0</v>
      </c>
      <c r="P68" s="217">
        <f t="shared" si="4"/>
        <v>20535</v>
      </c>
      <c r="Q68" s="214">
        <v>0</v>
      </c>
      <c r="R68" s="231">
        <f t="shared" si="5"/>
        <v>0</v>
      </c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</row>
    <row r="69" spans="1:32" ht="70.2" customHeight="1" x14ac:dyDescent="0.3">
      <c r="A69" s="180">
        <v>62</v>
      </c>
      <c r="B69" s="187" t="s">
        <v>1217</v>
      </c>
      <c r="C69" s="182" t="s">
        <v>509</v>
      </c>
      <c r="D69" s="182" t="s">
        <v>1604</v>
      </c>
      <c r="E69" s="182" t="s">
        <v>501</v>
      </c>
      <c r="F69" s="182">
        <v>36</v>
      </c>
      <c r="G69" s="183">
        <f t="shared" ref="G69:G121" si="11">H69-Q69</f>
        <v>60775</v>
      </c>
      <c r="H69" s="182">
        <v>60775</v>
      </c>
      <c r="I69" s="183">
        <f t="shared" si="1"/>
        <v>0</v>
      </c>
      <c r="J69" s="184">
        <v>60775</v>
      </c>
      <c r="K69" s="211">
        <v>36420</v>
      </c>
      <c r="L69" s="211">
        <f t="shared" si="2"/>
        <v>0</v>
      </c>
      <c r="M69" s="205">
        <v>36420</v>
      </c>
      <c r="N69" s="219">
        <v>24355</v>
      </c>
      <c r="O69" s="219">
        <f t="shared" si="3"/>
        <v>0</v>
      </c>
      <c r="P69" s="217">
        <f t="shared" si="4"/>
        <v>24355</v>
      </c>
      <c r="Q69" s="214">
        <v>0</v>
      </c>
      <c r="R69" s="231">
        <f t="shared" si="5"/>
        <v>0</v>
      </c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</row>
    <row r="70" spans="1:32" ht="70.2" customHeight="1" x14ac:dyDescent="0.3">
      <c r="A70" s="180">
        <v>63</v>
      </c>
      <c r="B70" s="187" t="s">
        <v>1593</v>
      </c>
      <c r="C70" s="182" t="s">
        <v>509</v>
      </c>
      <c r="D70" s="182" t="s">
        <v>1606</v>
      </c>
      <c r="E70" s="182" t="s">
        <v>1606</v>
      </c>
      <c r="F70" s="182"/>
      <c r="G70" s="183">
        <f t="shared" si="11"/>
        <v>68040</v>
      </c>
      <c r="H70" s="182">
        <v>69040</v>
      </c>
      <c r="I70" s="183">
        <f t="shared" si="1"/>
        <v>0</v>
      </c>
      <c r="J70" s="184">
        <v>69040</v>
      </c>
      <c r="K70" s="211">
        <v>53920</v>
      </c>
      <c r="L70" s="211">
        <f t="shared" si="2"/>
        <v>0</v>
      </c>
      <c r="M70" s="205">
        <v>53920</v>
      </c>
      <c r="N70" s="219">
        <v>15120</v>
      </c>
      <c r="O70" s="219">
        <f t="shared" si="3"/>
        <v>0</v>
      </c>
      <c r="P70" s="217">
        <f t="shared" si="4"/>
        <v>15120</v>
      </c>
      <c r="Q70" s="214">
        <v>1000</v>
      </c>
      <c r="R70" s="231">
        <f t="shared" si="5"/>
        <v>0</v>
      </c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</row>
    <row r="71" spans="1:32" ht="70.2" customHeight="1" x14ac:dyDescent="0.3">
      <c r="A71" s="180">
        <v>64</v>
      </c>
      <c r="B71" s="187" t="s">
        <v>1217</v>
      </c>
      <c r="C71" s="182" t="s">
        <v>509</v>
      </c>
      <c r="D71" s="182" t="s">
        <v>1606</v>
      </c>
      <c r="E71" s="182" t="s">
        <v>1606</v>
      </c>
      <c r="F71" s="182"/>
      <c r="G71" s="183">
        <f t="shared" si="11"/>
        <v>34325</v>
      </c>
      <c r="H71" s="182">
        <v>34325</v>
      </c>
      <c r="I71" s="183">
        <f t="shared" si="1"/>
        <v>0</v>
      </c>
      <c r="J71" s="184">
        <v>34325</v>
      </c>
      <c r="K71" s="211">
        <v>19615</v>
      </c>
      <c r="L71" s="211">
        <f t="shared" si="2"/>
        <v>0</v>
      </c>
      <c r="M71" s="205">
        <v>19615</v>
      </c>
      <c r="N71" s="219">
        <v>14710</v>
      </c>
      <c r="O71" s="219">
        <f t="shared" si="3"/>
        <v>0</v>
      </c>
      <c r="P71" s="217">
        <f t="shared" si="4"/>
        <v>14710</v>
      </c>
      <c r="Q71" s="214">
        <v>0</v>
      </c>
      <c r="R71" s="231">
        <f t="shared" si="5"/>
        <v>0</v>
      </c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</row>
    <row r="72" spans="1:32" ht="70.2" customHeight="1" x14ac:dyDescent="0.3">
      <c r="A72" s="180">
        <v>67</v>
      </c>
      <c r="B72" s="185" t="s">
        <v>1217</v>
      </c>
      <c r="C72" s="182" t="s">
        <v>509</v>
      </c>
      <c r="D72" s="182" t="s">
        <v>1596</v>
      </c>
      <c r="E72" s="182" t="s">
        <v>1610</v>
      </c>
      <c r="F72" s="182"/>
      <c r="G72" s="183">
        <f t="shared" si="11"/>
        <v>860</v>
      </c>
      <c r="H72" s="182">
        <v>860</v>
      </c>
      <c r="I72" s="183">
        <f t="shared" ref="I72:I133" si="12">J72-H72</f>
        <v>0</v>
      </c>
      <c r="J72" s="184">
        <v>860</v>
      </c>
      <c r="K72" s="211">
        <v>860</v>
      </c>
      <c r="L72" s="211">
        <f t="shared" ref="L72:L133" si="13">M72-K72</f>
        <v>0</v>
      </c>
      <c r="M72" s="205">
        <v>860</v>
      </c>
      <c r="N72" s="219">
        <v>0</v>
      </c>
      <c r="O72" s="219">
        <f t="shared" ref="O72:O133" si="14">P72-N72</f>
        <v>0</v>
      </c>
      <c r="P72" s="217">
        <f t="shared" ref="P72:P133" si="15">J72-M72</f>
        <v>0</v>
      </c>
      <c r="Q72" s="214">
        <v>0</v>
      </c>
      <c r="R72" s="231">
        <f t="shared" ref="R72:R134" si="16">I72-L72-O72</f>
        <v>0</v>
      </c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</row>
    <row r="73" spans="1:32" ht="70.5" customHeight="1" x14ac:dyDescent="0.3">
      <c r="A73" s="180">
        <v>68</v>
      </c>
      <c r="B73" s="188" t="s">
        <v>1593</v>
      </c>
      <c r="C73" s="182" t="s">
        <v>500</v>
      </c>
      <c r="D73" s="182" t="s">
        <v>1596</v>
      </c>
      <c r="E73" s="182" t="s">
        <v>1611</v>
      </c>
      <c r="F73" s="182"/>
      <c r="G73" s="183">
        <f t="shared" si="11"/>
        <v>52375</v>
      </c>
      <c r="H73" s="182">
        <v>52375</v>
      </c>
      <c r="I73" s="183">
        <f t="shared" si="12"/>
        <v>0</v>
      </c>
      <c r="J73" s="184">
        <v>52375</v>
      </c>
      <c r="K73" s="211">
        <v>49550</v>
      </c>
      <c r="L73" s="211">
        <f t="shared" si="13"/>
        <v>0</v>
      </c>
      <c r="M73" s="205">
        <v>49550</v>
      </c>
      <c r="N73" s="219">
        <v>2825</v>
      </c>
      <c r="O73" s="219">
        <f t="shared" si="14"/>
        <v>0</v>
      </c>
      <c r="P73" s="217">
        <f t="shared" si="15"/>
        <v>2825</v>
      </c>
      <c r="Q73" s="214">
        <v>0</v>
      </c>
      <c r="R73" s="231">
        <f t="shared" si="16"/>
        <v>0</v>
      </c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</row>
    <row r="74" spans="1:32" ht="70.2" customHeight="1" x14ac:dyDescent="0.3">
      <c r="A74" s="180">
        <v>69</v>
      </c>
      <c r="B74" s="185" t="s">
        <v>1217</v>
      </c>
      <c r="C74" s="182" t="s">
        <v>500</v>
      </c>
      <c r="D74" s="182" t="s">
        <v>1596</v>
      </c>
      <c r="E74" s="182" t="s">
        <v>1611</v>
      </c>
      <c r="F74" s="182"/>
      <c r="G74" s="183">
        <f t="shared" si="11"/>
        <v>14395</v>
      </c>
      <c r="H74" s="182">
        <v>14395</v>
      </c>
      <c r="I74" s="183">
        <f t="shared" si="12"/>
        <v>0</v>
      </c>
      <c r="J74" s="184">
        <v>14395</v>
      </c>
      <c r="K74" s="211">
        <v>11025</v>
      </c>
      <c r="L74" s="211">
        <f t="shared" si="13"/>
        <v>0</v>
      </c>
      <c r="M74" s="205">
        <v>11025</v>
      </c>
      <c r="N74" s="219">
        <v>3370</v>
      </c>
      <c r="O74" s="219">
        <f t="shared" si="14"/>
        <v>0</v>
      </c>
      <c r="P74" s="217">
        <f t="shared" si="15"/>
        <v>3370</v>
      </c>
      <c r="Q74" s="214">
        <v>0</v>
      </c>
      <c r="R74" s="231">
        <f t="shared" si="16"/>
        <v>0</v>
      </c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</row>
    <row r="75" spans="1:32" ht="70.2" customHeight="1" x14ac:dyDescent="0.3">
      <c r="A75" s="180">
        <v>70</v>
      </c>
      <c r="B75" s="185" t="s">
        <v>1593</v>
      </c>
      <c r="C75" s="182" t="s">
        <v>1594</v>
      </c>
      <c r="D75" s="182" t="s">
        <v>910</v>
      </c>
      <c r="E75" s="182" t="s">
        <v>1612</v>
      </c>
      <c r="F75" s="182">
        <v>27</v>
      </c>
      <c r="G75" s="183">
        <f t="shared" si="11"/>
        <v>176910</v>
      </c>
      <c r="H75" s="182">
        <v>176910</v>
      </c>
      <c r="I75" s="183">
        <f t="shared" si="12"/>
        <v>0</v>
      </c>
      <c r="J75" s="184">
        <v>176910</v>
      </c>
      <c r="K75" s="211">
        <v>176310</v>
      </c>
      <c r="L75" s="211">
        <f t="shared" si="13"/>
        <v>0</v>
      </c>
      <c r="M75" s="205">
        <v>176310</v>
      </c>
      <c r="N75" s="219">
        <v>600</v>
      </c>
      <c r="O75" s="219">
        <f t="shared" si="14"/>
        <v>0</v>
      </c>
      <c r="P75" s="217">
        <f t="shared" si="15"/>
        <v>600</v>
      </c>
      <c r="Q75" s="214">
        <v>0</v>
      </c>
      <c r="R75" s="231">
        <f t="shared" si="16"/>
        <v>0</v>
      </c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</row>
    <row r="76" spans="1:32" ht="70.2" customHeight="1" x14ac:dyDescent="0.3">
      <c r="A76" s="180">
        <v>71</v>
      </c>
      <c r="B76" s="185" t="s">
        <v>1217</v>
      </c>
      <c r="C76" s="182" t="s">
        <v>1594</v>
      </c>
      <c r="D76" s="182" t="s">
        <v>910</v>
      </c>
      <c r="E76" s="182" t="s">
        <v>1612</v>
      </c>
      <c r="F76" s="182">
        <v>21</v>
      </c>
      <c r="G76" s="183">
        <f t="shared" si="11"/>
        <v>30635</v>
      </c>
      <c r="H76" s="182">
        <v>30635</v>
      </c>
      <c r="I76" s="183">
        <f t="shared" si="12"/>
        <v>0</v>
      </c>
      <c r="J76" s="184">
        <v>30635</v>
      </c>
      <c r="K76" s="211">
        <v>20795</v>
      </c>
      <c r="L76" s="211">
        <f t="shared" si="13"/>
        <v>0</v>
      </c>
      <c r="M76" s="205">
        <v>20795</v>
      </c>
      <c r="N76" s="219">
        <v>9840</v>
      </c>
      <c r="O76" s="219">
        <f t="shared" si="14"/>
        <v>0</v>
      </c>
      <c r="P76" s="217">
        <f t="shared" si="15"/>
        <v>9840</v>
      </c>
      <c r="Q76" s="214">
        <v>0</v>
      </c>
      <c r="R76" s="231">
        <f t="shared" si="16"/>
        <v>0</v>
      </c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</row>
    <row r="77" spans="1:32" ht="70.2" customHeight="1" x14ac:dyDescent="0.3">
      <c r="A77" s="180">
        <v>72</v>
      </c>
      <c r="B77" s="185" t="s">
        <v>1217</v>
      </c>
      <c r="C77" s="182" t="s">
        <v>1594</v>
      </c>
      <c r="D77" s="182" t="s">
        <v>910</v>
      </c>
      <c r="E77" s="182" t="s">
        <v>1613</v>
      </c>
      <c r="F77" s="182"/>
      <c r="G77" s="183">
        <f t="shared" si="11"/>
        <v>18295</v>
      </c>
      <c r="H77" s="182">
        <v>18295</v>
      </c>
      <c r="I77" s="183">
        <f t="shared" si="12"/>
        <v>0</v>
      </c>
      <c r="J77" s="184">
        <v>18295</v>
      </c>
      <c r="K77" s="211">
        <v>18295</v>
      </c>
      <c r="L77" s="211">
        <f t="shared" si="13"/>
        <v>0</v>
      </c>
      <c r="M77" s="205">
        <v>18295</v>
      </c>
      <c r="N77" s="219">
        <v>0</v>
      </c>
      <c r="O77" s="219">
        <f t="shared" si="14"/>
        <v>0</v>
      </c>
      <c r="P77" s="217">
        <f t="shared" si="15"/>
        <v>0</v>
      </c>
      <c r="Q77" s="214">
        <v>0</v>
      </c>
      <c r="R77" s="231">
        <f t="shared" si="16"/>
        <v>0</v>
      </c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</row>
    <row r="78" spans="1:32" ht="70.2" customHeight="1" x14ac:dyDescent="0.3">
      <c r="A78" s="180">
        <v>73</v>
      </c>
      <c r="B78" s="188" t="s">
        <v>1217</v>
      </c>
      <c r="C78" s="182" t="s">
        <v>1594</v>
      </c>
      <c r="D78" s="182" t="s">
        <v>1596</v>
      </c>
      <c r="E78" s="182" t="s">
        <v>1614</v>
      </c>
      <c r="F78" s="182"/>
      <c r="G78" s="183">
        <f t="shared" si="11"/>
        <v>40720</v>
      </c>
      <c r="H78" s="182">
        <v>40720</v>
      </c>
      <c r="I78" s="183">
        <f t="shared" si="12"/>
        <v>0</v>
      </c>
      <c r="J78" s="184">
        <v>40720</v>
      </c>
      <c r="K78" s="211">
        <v>40720</v>
      </c>
      <c r="L78" s="211">
        <f t="shared" si="13"/>
        <v>0</v>
      </c>
      <c r="M78" s="205">
        <v>40720</v>
      </c>
      <c r="N78" s="219">
        <v>0</v>
      </c>
      <c r="O78" s="219">
        <f t="shared" si="14"/>
        <v>0</v>
      </c>
      <c r="P78" s="217">
        <f t="shared" si="15"/>
        <v>0</v>
      </c>
      <c r="Q78" s="214">
        <v>0</v>
      </c>
      <c r="R78" s="231">
        <f t="shared" si="16"/>
        <v>0</v>
      </c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</row>
    <row r="79" spans="1:32" ht="70.2" customHeight="1" x14ac:dyDescent="0.3">
      <c r="A79" s="180">
        <v>74</v>
      </c>
      <c r="B79" s="188" t="s">
        <v>1593</v>
      </c>
      <c r="C79" s="182" t="s">
        <v>1594</v>
      </c>
      <c r="D79" s="182" t="s">
        <v>1596</v>
      </c>
      <c r="E79" s="182" t="s">
        <v>1614</v>
      </c>
      <c r="F79" s="182"/>
      <c r="G79" s="183">
        <f t="shared" si="11"/>
        <v>10000</v>
      </c>
      <c r="H79" s="182">
        <v>10000</v>
      </c>
      <c r="I79" s="183">
        <f t="shared" si="12"/>
        <v>0</v>
      </c>
      <c r="J79" s="184">
        <v>10000</v>
      </c>
      <c r="K79" s="211">
        <v>10000</v>
      </c>
      <c r="L79" s="211">
        <f t="shared" si="13"/>
        <v>0</v>
      </c>
      <c r="M79" s="205">
        <v>10000</v>
      </c>
      <c r="N79" s="219">
        <v>0</v>
      </c>
      <c r="O79" s="219">
        <f t="shared" si="14"/>
        <v>0</v>
      </c>
      <c r="P79" s="217">
        <f t="shared" si="15"/>
        <v>0</v>
      </c>
      <c r="Q79" s="214">
        <v>0</v>
      </c>
      <c r="R79" s="231">
        <f t="shared" si="16"/>
        <v>0</v>
      </c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</row>
    <row r="80" spans="1:32" ht="70.2" customHeight="1" x14ac:dyDescent="0.3">
      <c r="A80" s="180">
        <v>75</v>
      </c>
      <c r="B80" s="188" t="s">
        <v>1217</v>
      </c>
      <c r="C80" s="182" t="s">
        <v>509</v>
      </c>
      <c r="D80" s="182" t="s">
        <v>1596</v>
      </c>
      <c r="E80" s="182" t="s">
        <v>1615</v>
      </c>
      <c r="F80" s="182"/>
      <c r="G80" s="183">
        <f t="shared" si="11"/>
        <v>28465</v>
      </c>
      <c r="H80" s="182">
        <v>28465</v>
      </c>
      <c r="I80" s="183">
        <f t="shared" si="12"/>
        <v>0</v>
      </c>
      <c r="J80" s="184">
        <v>28465</v>
      </c>
      <c r="K80" s="211">
        <v>25585</v>
      </c>
      <c r="L80" s="211">
        <f t="shared" si="13"/>
        <v>0</v>
      </c>
      <c r="M80" s="205">
        <v>25585</v>
      </c>
      <c r="N80" s="219">
        <v>2880</v>
      </c>
      <c r="O80" s="219">
        <f t="shared" si="14"/>
        <v>0</v>
      </c>
      <c r="P80" s="217">
        <f t="shared" si="15"/>
        <v>2880</v>
      </c>
      <c r="Q80" s="214">
        <v>0</v>
      </c>
      <c r="R80" s="231">
        <f t="shared" si="16"/>
        <v>0</v>
      </c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</row>
    <row r="81" spans="1:32" ht="70.5" customHeight="1" x14ac:dyDescent="0.3">
      <c r="A81" s="180">
        <v>76</v>
      </c>
      <c r="B81" s="188" t="s">
        <v>1593</v>
      </c>
      <c r="C81" s="182" t="s">
        <v>509</v>
      </c>
      <c r="D81" s="182" t="s">
        <v>1596</v>
      </c>
      <c r="E81" s="182" t="s">
        <v>1616</v>
      </c>
      <c r="F81" s="182"/>
      <c r="G81" s="183">
        <f t="shared" si="11"/>
        <v>2160</v>
      </c>
      <c r="H81" s="182">
        <v>2160</v>
      </c>
      <c r="I81" s="183">
        <f t="shared" si="12"/>
        <v>0</v>
      </c>
      <c r="J81" s="184">
        <v>2160</v>
      </c>
      <c r="K81" s="211">
        <v>2160</v>
      </c>
      <c r="L81" s="211">
        <f t="shared" si="13"/>
        <v>0</v>
      </c>
      <c r="M81" s="205">
        <v>2160</v>
      </c>
      <c r="N81" s="219">
        <v>0</v>
      </c>
      <c r="O81" s="219">
        <f t="shared" si="14"/>
        <v>0</v>
      </c>
      <c r="P81" s="217">
        <f t="shared" si="15"/>
        <v>0</v>
      </c>
      <c r="Q81" s="214">
        <v>0</v>
      </c>
      <c r="R81" s="231">
        <f t="shared" si="16"/>
        <v>0</v>
      </c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</row>
    <row r="82" spans="1:32" ht="70.5" customHeight="1" x14ac:dyDescent="0.3">
      <c r="A82" s="180">
        <v>77</v>
      </c>
      <c r="B82" s="188" t="s">
        <v>1593</v>
      </c>
      <c r="C82" s="182" t="s">
        <v>509</v>
      </c>
      <c r="D82" s="182" t="s">
        <v>1596</v>
      </c>
      <c r="E82" s="182" t="s">
        <v>525</v>
      </c>
      <c r="F82" s="182"/>
      <c r="G82" s="183">
        <f t="shared" si="11"/>
        <v>2600</v>
      </c>
      <c r="H82" s="182">
        <v>2600</v>
      </c>
      <c r="I82" s="183">
        <f t="shared" si="12"/>
        <v>0</v>
      </c>
      <c r="J82" s="184">
        <v>2600</v>
      </c>
      <c r="K82" s="211">
        <v>2600</v>
      </c>
      <c r="L82" s="211">
        <f t="shared" si="13"/>
        <v>0</v>
      </c>
      <c r="M82" s="205">
        <v>2600</v>
      </c>
      <c r="N82" s="219">
        <v>0</v>
      </c>
      <c r="O82" s="219">
        <f t="shared" si="14"/>
        <v>0</v>
      </c>
      <c r="P82" s="217">
        <f t="shared" si="15"/>
        <v>0</v>
      </c>
      <c r="Q82" s="214">
        <v>0</v>
      </c>
      <c r="R82" s="231">
        <f t="shared" si="16"/>
        <v>0</v>
      </c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</row>
    <row r="83" spans="1:32" ht="70.2" customHeight="1" x14ac:dyDescent="0.3">
      <c r="A83" s="180">
        <v>78</v>
      </c>
      <c r="B83" s="188" t="s">
        <v>1217</v>
      </c>
      <c r="C83" s="182" t="s">
        <v>509</v>
      </c>
      <c r="D83" s="182" t="s">
        <v>1596</v>
      </c>
      <c r="E83" s="182" t="s">
        <v>694</v>
      </c>
      <c r="F83" s="182">
        <v>51</v>
      </c>
      <c r="G83" s="183">
        <f t="shared" si="11"/>
        <v>175345</v>
      </c>
      <c r="H83" s="182">
        <v>175345</v>
      </c>
      <c r="I83" s="183">
        <f t="shared" si="12"/>
        <v>0</v>
      </c>
      <c r="J83" s="184">
        <v>175345</v>
      </c>
      <c r="K83" s="211">
        <v>108830</v>
      </c>
      <c r="L83" s="211">
        <f t="shared" si="13"/>
        <v>0</v>
      </c>
      <c r="M83" s="205">
        <v>108830</v>
      </c>
      <c r="N83" s="219">
        <v>66515</v>
      </c>
      <c r="O83" s="219">
        <f t="shared" si="14"/>
        <v>0</v>
      </c>
      <c r="P83" s="217">
        <f t="shared" si="15"/>
        <v>66515</v>
      </c>
      <c r="Q83" s="214">
        <v>0</v>
      </c>
      <c r="R83" s="231">
        <f t="shared" si="16"/>
        <v>0</v>
      </c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</row>
    <row r="84" spans="1:32" ht="70.2" customHeight="1" x14ac:dyDescent="0.3">
      <c r="A84" s="180">
        <v>79</v>
      </c>
      <c r="B84" s="188" t="s">
        <v>1593</v>
      </c>
      <c r="C84" s="182" t="s">
        <v>509</v>
      </c>
      <c r="D84" s="182" t="s">
        <v>1596</v>
      </c>
      <c r="E84" s="182" t="s">
        <v>694</v>
      </c>
      <c r="F84" s="182">
        <v>46</v>
      </c>
      <c r="G84" s="183">
        <f t="shared" si="11"/>
        <v>145120</v>
      </c>
      <c r="H84" s="182">
        <v>146120</v>
      </c>
      <c r="I84" s="183">
        <f t="shared" si="12"/>
        <v>0</v>
      </c>
      <c r="J84" s="184">
        <v>146120</v>
      </c>
      <c r="K84" s="211">
        <v>146120</v>
      </c>
      <c r="L84" s="211">
        <f t="shared" si="13"/>
        <v>0</v>
      </c>
      <c r="M84" s="205">
        <v>146120</v>
      </c>
      <c r="N84" s="219">
        <v>0</v>
      </c>
      <c r="O84" s="219">
        <f t="shared" si="14"/>
        <v>0</v>
      </c>
      <c r="P84" s="217">
        <f t="shared" si="15"/>
        <v>0</v>
      </c>
      <c r="Q84" s="214">
        <v>1000</v>
      </c>
      <c r="R84" s="231">
        <f t="shared" si="16"/>
        <v>0</v>
      </c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</row>
    <row r="85" spans="1:32" ht="70.5" customHeight="1" x14ac:dyDescent="0.3">
      <c r="A85" s="180">
        <v>80</v>
      </c>
      <c r="B85" s="188" t="s">
        <v>1217</v>
      </c>
      <c r="C85" s="182" t="s">
        <v>626</v>
      </c>
      <c r="D85" s="182" t="s">
        <v>1596</v>
      </c>
      <c r="E85" s="182" t="s">
        <v>1617</v>
      </c>
      <c r="F85" s="182"/>
      <c r="G85" s="183">
        <f t="shared" si="11"/>
        <v>2000</v>
      </c>
      <c r="H85" s="182">
        <v>2000</v>
      </c>
      <c r="I85" s="183">
        <f t="shared" si="12"/>
        <v>0</v>
      </c>
      <c r="J85" s="184">
        <v>2000</v>
      </c>
      <c r="K85" s="211">
        <v>2000</v>
      </c>
      <c r="L85" s="211">
        <f t="shared" si="13"/>
        <v>0</v>
      </c>
      <c r="M85" s="205">
        <v>2000</v>
      </c>
      <c r="N85" s="219">
        <v>0</v>
      </c>
      <c r="O85" s="219">
        <f t="shared" si="14"/>
        <v>0</v>
      </c>
      <c r="P85" s="217">
        <f t="shared" si="15"/>
        <v>0</v>
      </c>
      <c r="Q85" s="214">
        <v>0</v>
      </c>
      <c r="R85" s="231">
        <f t="shared" si="16"/>
        <v>0</v>
      </c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</row>
    <row r="86" spans="1:32" ht="57" customHeight="1" x14ac:dyDescent="0.3">
      <c r="A86" s="180">
        <v>81</v>
      </c>
      <c r="B86" s="188" t="s">
        <v>1593</v>
      </c>
      <c r="C86" s="182" t="s">
        <v>509</v>
      </c>
      <c r="D86" s="182" t="s">
        <v>910</v>
      </c>
      <c r="E86" s="182" t="s">
        <v>1618</v>
      </c>
      <c r="F86" s="182"/>
      <c r="G86" s="183">
        <f t="shared" si="11"/>
        <v>300</v>
      </c>
      <c r="H86" s="182">
        <v>300</v>
      </c>
      <c r="I86" s="183">
        <f t="shared" si="12"/>
        <v>0</v>
      </c>
      <c r="J86" s="184">
        <v>300</v>
      </c>
      <c r="K86" s="211">
        <v>300</v>
      </c>
      <c r="L86" s="211">
        <f t="shared" si="13"/>
        <v>0</v>
      </c>
      <c r="M86" s="205">
        <v>300</v>
      </c>
      <c r="N86" s="219">
        <v>0</v>
      </c>
      <c r="O86" s="219">
        <f t="shared" si="14"/>
        <v>0</v>
      </c>
      <c r="P86" s="217">
        <f t="shared" si="15"/>
        <v>0</v>
      </c>
      <c r="Q86" s="214">
        <v>0</v>
      </c>
      <c r="R86" s="231">
        <f t="shared" si="16"/>
        <v>0</v>
      </c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</row>
    <row r="87" spans="1:32" ht="57" customHeight="1" x14ac:dyDescent="0.3">
      <c r="A87" s="180">
        <v>82</v>
      </c>
      <c r="B87" s="188" t="s">
        <v>1217</v>
      </c>
      <c r="C87" s="182" t="s">
        <v>509</v>
      </c>
      <c r="D87" s="182" t="s">
        <v>910</v>
      </c>
      <c r="E87" s="182" t="s">
        <v>1618</v>
      </c>
      <c r="F87" s="182"/>
      <c r="G87" s="183">
        <f t="shared" si="11"/>
        <v>42365</v>
      </c>
      <c r="H87" s="182">
        <v>42365</v>
      </c>
      <c r="I87" s="183">
        <f t="shared" si="12"/>
        <v>0</v>
      </c>
      <c r="J87" s="184">
        <v>42365</v>
      </c>
      <c r="K87" s="211">
        <v>40865</v>
      </c>
      <c r="L87" s="211">
        <f t="shared" si="13"/>
        <v>0</v>
      </c>
      <c r="M87" s="205">
        <v>40865</v>
      </c>
      <c r="N87" s="219">
        <v>1500</v>
      </c>
      <c r="O87" s="219">
        <f t="shared" si="14"/>
        <v>0</v>
      </c>
      <c r="P87" s="217">
        <f t="shared" si="15"/>
        <v>1500</v>
      </c>
      <c r="Q87" s="214">
        <v>0</v>
      </c>
      <c r="R87" s="231">
        <f t="shared" si="16"/>
        <v>0</v>
      </c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</row>
    <row r="88" spans="1:32" ht="57" customHeight="1" x14ac:dyDescent="0.3">
      <c r="A88" s="180">
        <v>83</v>
      </c>
      <c r="B88" s="188" t="s">
        <v>1217</v>
      </c>
      <c r="C88" s="182" t="s">
        <v>509</v>
      </c>
      <c r="D88" s="182" t="s">
        <v>1596</v>
      </c>
      <c r="E88" s="182" t="s">
        <v>1619</v>
      </c>
      <c r="F88" s="182"/>
      <c r="G88" s="183">
        <f t="shared" si="11"/>
        <v>12010</v>
      </c>
      <c r="H88" s="182">
        <v>12010</v>
      </c>
      <c r="I88" s="183">
        <f t="shared" si="12"/>
        <v>0</v>
      </c>
      <c r="J88" s="184">
        <v>12010</v>
      </c>
      <c r="K88" s="211">
        <v>11275</v>
      </c>
      <c r="L88" s="211">
        <f t="shared" si="13"/>
        <v>0</v>
      </c>
      <c r="M88" s="205">
        <v>11275</v>
      </c>
      <c r="N88" s="219">
        <v>735</v>
      </c>
      <c r="O88" s="219">
        <f t="shared" si="14"/>
        <v>0</v>
      </c>
      <c r="P88" s="217">
        <f t="shared" si="15"/>
        <v>735</v>
      </c>
      <c r="Q88" s="214">
        <v>0</v>
      </c>
      <c r="R88" s="231">
        <f t="shared" si="16"/>
        <v>0</v>
      </c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</row>
    <row r="89" spans="1:32" ht="70.5" customHeight="1" x14ac:dyDescent="0.3">
      <c r="A89" s="180">
        <v>84</v>
      </c>
      <c r="B89" s="181" t="s">
        <v>1217</v>
      </c>
      <c r="C89" s="182" t="s">
        <v>500</v>
      </c>
      <c r="D89" s="182" t="s">
        <v>1596</v>
      </c>
      <c r="E89" s="182" t="s">
        <v>1134</v>
      </c>
      <c r="F89" s="182">
        <v>46</v>
      </c>
      <c r="G89" s="183">
        <f t="shared" si="11"/>
        <v>108320</v>
      </c>
      <c r="H89" s="182">
        <v>108320</v>
      </c>
      <c r="I89" s="183">
        <f t="shared" si="12"/>
        <v>0</v>
      </c>
      <c r="J89" s="184">
        <v>108320</v>
      </c>
      <c r="K89" s="224">
        <v>55195</v>
      </c>
      <c r="L89" s="211">
        <f t="shared" si="13"/>
        <v>0</v>
      </c>
      <c r="M89" s="205">
        <v>55195</v>
      </c>
      <c r="N89" s="226">
        <v>53125</v>
      </c>
      <c r="O89" s="219">
        <f t="shared" si="14"/>
        <v>0</v>
      </c>
      <c r="P89" s="217">
        <f t="shared" si="15"/>
        <v>53125</v>
      </c>
      <c r="Q89" s="214">
        <v>0</v>
      </c>
      <c r="R89" s="231">
        <f t="shared" si="16"/>
        <v>0</v>
      </c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</row>
    <row r="90" spans="1:32" ht="70.5" customHeight="1" x14ac:dyDescent="0.3">
      <c r="A90" s="180">
        <v>85</v>
      </c>
      <c r="B90" s="181" t="s">
        <v>1593</v>
      </c>
      <c r="C90" s="182" t="s">
        <v>500</v>
      </c>
      <c r="D90" s="182" t="s">
        <v>1596</v>
      </c>
      <c r="E90" s="182" t="s">
        <v>1134</v>
      </c>
      <c r="F90" s="182">
        <v>35</v>
      </c>
      <c r="G90" s="183">
        <f t="shared" si="11"/>
        <v>172845</v>
      </c>
      <c r="H90" s="182">
        <v>172845</v>
      </c>
      <c r="I90" s="183">
        <f t="shared" si="12"/>
        <v>0</v>
      </c>
      <c r="J90" s="184">
        <v>172845</v>
      </c>
      <c r="K90" s="211">
        <v>171645</v>
      </c>
      <c r="L90" s="211">
        <f t="shared" si="13"/>
        <v>0</v>
      </c>
      <c r="M90" s="205">
        <v>171645</v>
      </c>
      <c r="N90" s="219">
        <v>1200</v>
      </c>
      <c r="O90" s="219">
        <f t="shared" si="14"/>
        <v>0</v>
      </c>
      <c r="P90" s="217">
        <f t="shared" si="15"/>
        <v>1200</v>
      </c>
      <c r="Q90" s="214">
        <v>0</v>
      </c>
      <c r="R90" s="231">
        <f t="shared" si="16"/>
        <v>0</v>
      </c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</row>
    <row r="91" spans="1:32" ht="57.75" customHeight="1" x14ac:dyDescent="0.3">
      <c r="A91" s="180">
        <v>86</v>
      </c>
      <c r="B91" s="185" t="s">
        <v>1217</v>
      </c>
      <c r="C91" s="182" t="s">
        <v>509</v>
      </c>
      <c r="D91" s="182" t="s">
        <v>1596</v>
      </c>
      <c r="E91" s="182" t="s">
        <v>525</v>
      </c>
      <c r="F91" s="182"/>
      <c r="G91" s="183">
        <f t="shared" si="11"/>
        <v>26115</v>
      </c>
      <c r="H91" s="182">
        <v>26115</v>
      </c>
      <c r="I91" s="183">
        <f t="shared" si="12"/>
        <v>0</v>
      </c>
      <c r="J91" s="184">
        <v>26115</v>
      </c>
      <c r="K91" s="211">
        <v>26115</v>
      </c>
      <c r="L91" s="211">
        <f t="shared" si="13"/>
        <v>0</v>
      </c>
      <c r="M91" s="205">
        <v>26115</v>
      </c>
      <c r="N91" s="219">
        <v>0</v>
      </c>
      <c r="O91" s="219">
        <f t="shared" si="14"/>
        <v>0</v>
      </c>
      <c r="P91" s="217">
        <f t="shared" si="15"/>
        <v>0</v>
      </c>
      <c r="Q91" s="214">
        <v>0</v>
      </c>
      <c r="R91" s="231">
        <f t="shared" si="16"/>
        <v>0</v>
      </c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</row>
    <row r="92" spans="1:32" ht="57" customHeight="1" x14ac:dyDescent="0.3">
      <c r="A92" s="180">
        <v>87</v>
      </c>
      <c r="B92" s="185" t="s">
        <v>1217</v>
      </c>
      <c r="C92" s="182" t="s">
        <v>1620</v>
      </c>
      <c r="D92" s="182" t="s">
        <v>1596</v>
      </c>
      <c r="E92" s="182" t="s">
        <v>618</v>
      </c>
      <c r="F92" s="182">
        <v>40</v>
      </c>
      <c r="G92" s="183">
        <f t="shared" si="11"/>
        <v>125595</v>
      </c>
      <c r="H92" s="182">
        <v>125595</v>
      </c>
      <c r="I92" s="183">
        <f t="shared" si="12"/>
        <v>0</v>
      </c>
      <c r="J92" s="184">
        <v>125595</v>
      </c>
      <c r="K92" s="224">
        <v>88780</v>
      </c>
      <c r="L92" s="211">
        <f t="shared" si="13"/>
        <v>0</v>
      </c>
      <c r="M92" s="205">
        <v>88780</v>
      </c>
      <c r="N92" s="226">
        <v>36815</v>
      </c>
      <c r="O92" s="219">
        <f t="shared" si="14"/>
        <v>0</v>
      </c>
      <c r="P92" s="217">
        <f t="shared" si="15"/>
        <v>36815</v>
      </c>
      <c r="Q92" s="214">
        <v>0</v>
      </c>
      <c r="R92" s="231">
        <f t="shared" si="16"/>
        <v>0</v>
      </c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</row>
    <row r="93" spans="1:32" ht="57" customHeight="1" x14ac:dyDescent="0.3">
      <c r="A93" s="180">
        <v>88</v>
      </c>
      <c r="B93" s="185" t="s">
        <v>1217</v>
      </c>
      <c r="C93" s="182" t="s">
        <v>514</v>
      </c>
      <c r="D93" s="182" t="s">
        <v>1596</v>
      </c>
      <c r="E93" s="182" t="s">
        <v>1621</v>
      </c>
      <c r="F93" s="182">
        <v>35</v>
      </c>
      <c r="G93" s="183">
        <f t="shared" si="11"/>
        <v>95640</v>
      </c>
      <c r="H93" s="182">
        <v>95640</v>
      </c>
      <c r="I93" s="183">
        <f t="shared" si="12"/>
        <v>0</v>
      </c>
      <c r="J93" s="184">
        <v>95640</v>
      </c>
      <c r="K93" s="211">
        <v>50410</v>
      </c>
      <c r="L93" s="211">
        <f t="shared" si="13"/>
        <v>0</v>
      </c>
      <c r="M93" s="205">
        <v>50410</v>
      </c>
      <c r="N93" s="219">
        <v>45230</v>
      </c>
      <c r="O93" s="219">
        <f t="shared" si="14"/>
        <v>0</v>
      </c>
      <c r="P93" s="217">
        <f t="shared" si="15"/>
        <v>45230</v>
      </c>
      <c r="Q93" s="214">
        <v>0</v>
      </c>
      <c r="R93" s="231">
        <f t="shared" si="16"/>
        <v>0</v>
      </c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</row>
    <row r="94" spans="1:32" ht="57" customHeight="1" x14ac:dyDescent="0.3">
      <c r="A94" s="180">
        <v>89</v>
      </c>
      <c r="B94" s="185" t="s">
        <v>1593</v>
      </c>
      <c r="C94" s="182" t="s">
        <v>514</v>
      </c>
      <c r="D94" s="182" t="s">
        <v>1596</v>
      </c>
      <c r="E94" s="182" t="s">
        <v>1621</v>
      </c>
      <c r="F94" s="182">
        <v>30</v>
      </c>
      <c r="G94" s="183">
        <f t="shared" si="11"/>
        <v>236139</v>
      </c>
      <c r="H94" s="182">
        <v>236139</v>
      </c>
      <c r="I94" s="183">
        <f t="shared" si="12"/>
        <v>0</v>
      </c>
      <c r="J94" s="184">
        <v>236139</v>
      </c>
      <c r="K94" s="211">
        <v>234639</v>
      </c>
      <c r="L94" s="211">
        <f t="shared" si="13"/>
        <v>0</v>
      </c>
      <c r="M94" s="205">
        <v>234639</v>
      </c>
      <c r="N94" s="219">
        <v>1500</v>
      </c>
      <c r="O94" s="219">
        <f t="shared" si="14"/>
        <v>0</v>
      </c>
      <c r="P94" s="217">
        <f t="shared" si="15"/>
        <v>1500</v>
      </c>
      <c r="Q94" s="214">
        <v>0</v>
      </c>
      <c r="R94" s="231">
        <f t="shared" si="16"/>
        <v>0</v>
      </c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</row>
    <row r="95" spans="1:32" ht="57" customHeight="1" x14ac:dyDescent="0.3">
      <c r="A95" s="180">
        <v>90</v>
      </c>
      <c r="B95" s="185" t="s">
        <v>1217</v>
      </c>
      <c r="C95" s="182" t="s">
        <v>500</v>
      </c>
      <c r="D95" s="182" t="s">
        <v>1596</v>
      </c>
      <c r="E95" s="182" t="s">
        <v>1043</v>
      </c>
      <c r="F95" s="182">
        <v>39</v>
      </c>
      <c r="G95" s="183">
        <f t="shared" si="11"/>
        <v>100370</v>
      </c>
      <c r="H95" s="182">
        <v>100370</v>
      </c>
      <c r="I95" s="183">
        <f t="shared" si="12"/>
        <v>0</v>
      </c>
      <c r="J95" s="184">
        <v>100370</v>
      </c>
      <c r="K95" s="224">
        <v>47260</v>
      </c>
      <c r="L95" s="211">
        <f t="shared" si="13"/>
        <v>0</v>
      </c>
      <c r="M95" s="205">
        <v>47260</v>
      </c>
      <c r="N95" s="226">
        <v>53110</v>
      </c>
      <c r="O95" s="219">
        <f t="shared" si="14"/>
        <v>0</v>
      </c>
      <c r="P95" s="217">
        <f>J95-M95</f>
        <v>53110</v>
      </c>
      <c r="Q95" s="214">
        <v>0</v>
      </c>
      <c r="R95" s="231">
        <f t="shared" si="16"/>
        <v>0</v>
      </c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</row>
    <row r="96" spans="1:32" ht="57" customHeight="1" x14ac:dyDescent="0.3">
      <c r="A96" s="180">
        <v>91</v>
      </c>
      <c r="B96" s="185" t="s">
        <v>1593</v>
      </c>
      <c r="C96" s="182" t="s">
        <v>500</v>
      </c>
      <c r="D96" s="182" t="s">
        <v>1596</v>
      </c>
      <c r="E96" s="182" t="s">
        <v>1043</v>
      </c>
      <c r="F96" s="182">
        <v>44</v>
      </c>
      <c r="G96" s="183">
        <f t="shared" si="11"/>
        <v>223265</v>
      </c>
      <c r="H96" s="233">
        <v>223265</v>
      </c>
      <c r="I96" s="183">
        <f t="shared" si="12"/>
        <v>0</v>
      </c>
      <c r="J96" s="184">
        <v>223265</v>
      </c>
      <c r="K96" s="224">
        <v>219890</v>
      </c>
      <c r="L96" s="211">
        <f t="shared" si="13"/>
        <v>0</v>
      </c>
      <c r="M96" s="205">
        <v>219890</v>
      </c>
      <c r="N96" s="225">
        <v>3375</v>
      </c>
      <c r="O96" s="219">
        <f t="shared" si="14"/>
        <v>0</v>
      </c>
      <c r="P96" s="217">
        <f t="shared" si="15"/>
        <v>3375</v>
      </c>
      <c r="Q96" s="214">
        <v>0</v>
      </c>
      <c r="R96" s="231">
        <f t="shared" si="16"/>
        <v>0</v>
      </c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</row>
    <row r="97" spans="1:32" ht="57" customHeight="1" x14ac:dyDescent="0.3">
      <c r="A97" s="180">
        <v>92</v>
      </c>
      <c r="B97" s="185" t="s">
        <v>1593</v>
      </c>
      <c r="C97" s="182" t="s">
        <v>1620</v>
      </c>
      <c r="D97" s="182" t="s">
        <v>1596</v>
      </c>
      <c r="E97" s="182" t="s">
        <v>618</v>
      </c>
      <c r="F97" s="182">
        <v>36</v>
      </c>
      <c r="G97" s="183">
        <f t="shared" si="11"/>
        <v>183045</v>
      </c>
      <c r="H97" s="180">
        <v>183045</v>
      </c>
      <c r="I97" s="183">
        <f t="shared" si="12"/>
        <v>0</v>
      </c>
      <c r="J97" s="184">
        <v>183045</v>
      </c>
      <c r="K97" s="211">
        <v>182670</v>
      </c>
      <c r="L97" s="211">
        <f t="shared" si="13"/>
        <v>0</v>
      </c>
      <c r="M97" s="205">
        <v>182670</v>
      </c>
      <c r="N97" s="219">
        <v>375</v>
      </c>
      <c r="O97" s="219">
        <f t="shared" si="14"/>
        <v>0</v>
      </c>
      <c r="P97" s="217">
        <f t="shared" si="15"/>
        <v>375</v>
      </c>
      <c r="Q97" s="214">
        <v>0</v>
      </c>
      <c r="R97" s="231">
        <f t="shared" si="16"/>
        <v>0</v>
      </c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</row>
    <row r="98" spans="1:32" ht="70.5" customHeight="1" x14ac:dyDescent="0.3">
      <c r="A98" s="177" t="s">
        <v>1622</v>
      </c>
      <c r="B98" s="178"/>
      <c r="C98" s="201"/>
      <c r="D98" s="201"/>
      <c r="E98" s="201"/>
      <c r="F98" s="201"/>
      <c r="G98" s="203">
        <f t="shared" si="11"/>
        <v>0</v>
      </c>
      <c r="H98" s="201"/>
      <c r="I98" s="203">
        <f t="shared" si="12"/>
        <v>0</v>
      </c>
      <c r="J98" s="201"/>
      <c r="K98" s="202"/>
      <c r="L98" s="202">
        <f t="shared" si="13"/>
        <v>0</v>
      </c>
      <c r="M98" s="201"/>
      <c r="N98" s="202">
        <v>0</v>
      </c>
      <c r="O98" s="202">
        <f t="shared" si="14"/>
        <v>0</v>
      </c>
      <c r="P98" s="202">
        <f t="shared" si="15"/>
        <v>0</v>
      </c>
      <c r="Q98" s="201"/>
      <c r="R98" s="231">
        <f t="shared" si="16"/>
        <v>0</v>
      </c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</row>
    <row r="99" spans="1:32" ht="57" customHeight="1" x14ac:dyDescent="0.3">
      <c r="A99" s="182">
        <v>1</v>
      </c>
      <c r="B99" s="181" t="s">
        <v>1593</v>
      </c>
      <c r="C99" s="182" t="s">
        <v>508</v>
      </c>
      <c r="D99" s="182" t="s">
        <v>1623</v>
      </c>
      <c r="E99" s="183" t="s">
        <v>1624</v>
      </c>
      <c r="F99" s="183"/>
      <c r="G99" s="183">
        <f t="shared" si="11"/>
        <v>60495</v>
      </c>
      <c r="H99" s="183">
        <v>60495</v>
      </c>
      <c r="I99" s="183">
        <f t="shared" si="12"/>
        <v>0</v>
      </c>
      <c r="J99" s="184">
        <v>60495</v>
      </c>
      <c r="K99" s="211">
        <v>55725</v>
      </c>
      <c r="L99" s="211">
        <f t="shared" si="13"/>
        <v>0</v>
      </c>
      <c r="M99" s="205">
        <v>55725</v>
      </c>
      <c r="N99" s="219">
        <v>4770</v>
      </c>
      <c r="O99" s="219">
        <f t="shared" si="14"/>
        <v>0</v>
      </c>
      <c r="P99" s="217">
        <f t="shared" si="15"/>
        <v>4770</v>
      </c>
      <c r="Q99" s="214">
        <v>0</v>
      </c>
      <c r="R99" s="231">
        <f t="shared" si="16"/>
        <v>0</v>
      </c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</row>
    <row r="100" spans="1:32" ht="57" customHeight="1" x14ac:dyDescent="0.3">
      <c r="A100" s="182">
        <f t="shared" ref="A100:A162" si="17">A99+1</f>
        <v>2</v>
      </c>
      <c r="B100" s="188" t="s">
        <v>1217</v>
      </c>
      <c r="C100" s="182" t="s">
        <v>508</v>
      </c>
      <c r="D100" s="182" t="s">
        <v>1623</v>
      </c>
      <c r="E100" s="183" t="s">
        <v>1624</v>
      </c>
      <c r="F100" s="183">
        <v>30</v>
      </c>
      <c r="G100" s="183">
        <f t="shared" si="11"/>
        <v>77915</v>
      </c>
      <c r="H100" s="183">
        <v>77915</v>
      </c>
      <c r="I100" s="183">
        <f t="shared" si="12"/>
        <v>0</v>
      </c>
      <c r="J100" s="184">
        <v>77915</v>
      </c>
      <c r="K100" s="211">
        <v>27830</v>
      </c>
      <c r="L100" s="211">
        <f t="shared" si="13"/>
        <v>0</v>
      </c>
      <c r="M100" s="205">
        <v>27830</v>
      </c>
      <c r="N100" s="219">
        <v>50085</v>
      </c>
      <c r="O100" s="219">
        <f t="shared" si="14"/>
        <v>0</v>
      </c>
      <c r="P100" s="217">
        <f t="shared" si="15"/>
        <v>50085</v>
      </c>
      <c r="Q100" s="214">
        <v>0</v>
      </c>
      <c r="R100" s="231">
        <f t="shared" si="16"/>
        <v>0</v>
      </c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</row>
    <row r="101" spans="1:32" ht="57" customHeight="1" x14ac:dyDescent="0.3">
      <c r="A101" s="182">
        <f t="shared" si="17"/>
        <v>3</v>
      </c>
      <c r="B101" s="181" t="s">
        <v>1217</v>
      </c>
      <c r="C101" s="182" t="s">
        <v>508</v>
      </c>
      <c r="D101" s="182" t="s">
        <v>1604</v>
      </c>
      <c r="E101" s="183" t="s">
        <v>1625</v>
      </c>
      <c r="F101" s="183">
        <v>34</v>
      </c>
      <c r="G101" s="183">
        <f t="shared" si="11"/>
        <v>115325</v>
      </c>
      <c r="H101" s="183">
        <v>115325</v>
      </c>
      <c r="I101" s="183">
        <f t="shared" si="12"/>
        <v>0</v>
      </c>
      <c r="J101" s="184">
        <v>115325</v>
      </c>
      <c r="K101" s="211">
        <v>42915</v>
      </c>
      <c r="L101" s="211">
        <f t="shared" si="13"/>
        <v>0</v>
      </c>
      <c r="M101" s="205">
        <v>42915</v>
      </c>
      <c r="N101" s="219">
        <v>72410</v>
      </c>
      <c r="O101" s="219">
        <f t="shared" si="14"/>
        <v>0</v>
      </c>
      <c r="P101" s="217">
        <f t="shared" si="15"/>
        <v>72410</v>
      </c>
      <c r="Q101" s="214">
        <v>0</v>
      </c>
      <c r="R101" s="231">
        <f t="shared" si="16"/>
        <v>0</v>
      </c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</row>
    <row r="102" spans="1:32" ht="57" customHeight="1" x14ac:dyDescent="0.3">
      <c r="A102" s="182">
        <f t="shared" si="17"/>
        <v>4</v>
      </c>
      <c r="B102" s="181" t="s">
        <v>1593</v>
      </c>
      <c r="C102" s="182" t="s">
        <v>508</v>
      </c>
      <c r="D102" s="182" t="s">
        <v>1604</v>
      </c>
      <c r="E102" s="183" t="s">
        <v>1625</v>
      </c>
      <c r="F102" s="183"/>
      <c r="G102" s="183">
        <f t="shared" si="11"/>
        <v>101130</v>
      </c>
      <c r="H102" s="183">
        <v>101130</v>
      </c>
      <c r="I102" s="183">
        <f t="shared" si="12"/>
        <v>0</v>
      </c>
      <c r="J102" s="184">
        <v>101130</v>
      </c>
      <c r="K102" s="211">
        <v>101130</v>
      </c>
      <c r="L102" s="211">
        <f t="shared" si="13"/>
        <v>0</v>
      </c>
      <c r="M102" s="205">
        <v>101130</v>
      </c>
      <c r="N102" s="219">
        <v>0</v>
      </c>
      <c r="O102" s="219">
        <f t="shared" si="14"/>
        <v>0</v>
      </c>
      <c r="P102" s="217">
        <f t="shared" si="15"/>
        <v>0</v>
      </c>
      <c r="Q102" s="214">
        <v>0</v>
      </c>
      <c r="R102" s="231">
        <f t="shared" si="16"/>
        <v>0</v>
      </c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</row>
    <row r="103" spans="1:32" ht="57" customHeight="1" x14ac:dyDescent="0.3">
      <c r="A103" s="182">
        <f t="shared" si="17"/>
        <v>5</v>
      </c>
      <c r="B103" s="181" t="s">
        <v>1217</v>
      </c>
      <c r="C103" s="182" t="s">
        <v>508</v>
      </c>
      <c r="D103" s="182" t="s">
        <v>1370</v>
      </c>
      <c r="E103" s="182" t="s">
        <v>1626</v>
      </c>
      <c r="F103" s="182"/>
      <c r="G103" s="183">
        <f t="shared" si="11"/>
        <v>22530</v>
      </c>
      <c r="H103" s="182">
        <v>22530</v>
      </c>
      <c r="I103" s="183">
        <f t="shared" si="12"/>
        <v>0</v>
      </c>
      <c r="J103" s="184">
        <v>22530</v>
      </c>
      <c r="K103" s="211">
        <v>21390</v>
      </c>
      <c r="L103" s="211">
        <f t="shared" si="13"/>
        <v>0</v>
      </c>
      <c r="M103" s="205">
        <v>21390</v>
      </c>
      <c r="N103" s="219">
        <v>1140</v>
      </c>
      <c r="O103" s="219">
        <f t="shared" si="14"/>
        <v>0</v>
      </c>
      <c r="P103" s="217">
        <f t="shared" si="15"/>
        <v>1140</v>
      </c>
      <c r="Q103" s="214">
        <v>0</v>
      </c>
      <c r="R103" s="231">
        <f t="shared" si="16"/>
        <v>0</v>
      </c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</row>
    <row r="104" spans="1:32" ht="57" customHeight="1" x14ac:dyDescent="0.3">
      <c r="A104" s="182">
        <f t="shared" si="17"/>
        <v>6</v>
      </c>
      <c r="B104" s="181" t="s">
        <v>1593</v>
      </c>
      <c r="C104" s="182" t="s">
        <v>508</v>
      </c>
      <c r="D104" s="182" t="s">
        <v>1595</v>
      </c>
      <c r="E104" s="183" t="s">
        <v>698</v>
      </c>
      <c r="F104" s="183"/>
      <c r="G104" s="183">
        <f t="shared" si="11"/>
        <v>18945</v>
      </c>
      <c r="H104" s="183">
        <v>18945</v>
      </c>
      <c r="I104" s="183">
        <f t="shared" si="12"/>
        <v>0</v>
      </c>
      <c r="J104" s="184">
        <v>18945</v>
      </c>
      <c r="K104" s="211">
        <v>18795</v>
      </c>
      <c r="L104" s="211">
        <f t="shared" si="13"/>
        <v>0</v>
      </c>
      <c r="M104" s="205">
        <v>18795</v>
      </c>
      <c r="N104" s="219">
        <v>150</v>
      </c>
      <c r="O104" s="219">
        <f t="shared" si="14"/>
        <v>0</v>
      </c>
      <c r="P104" s="217">
        <f t="shared" si="15"/>
        <v>150</v>
      </c>
      <c r="Q104" s="214">
        <v>0</v>
      </c>
      <c r="R104" s="231">
        <f t="shared" si="16"/>
        <v>0</v>
      </c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</row>
    <row r="105" spans="1:32" ht="57" customHeight="1" x14ac:dyDescent="0.3">
      <c r="A105" s="182">
        <f t="shared" si="17"/>
        <v>7</v>
      </c>
      <c r="B105" s="181" t="s">
        <v>1217</v>
      </c>
      <c r="C105" s="182" t="s">
        <v>508</v>
      </c>
      <c r="D105" s="182" t="s">
        <v>1595</v>
      </c>
      <c r="E105" s="183" t="s">
        <v>523</v>
      </c>
      <c r="F105" s="183">
        <v>29</v>
      </c>
      <c r="G105" s="183">
        <f t="shared" si="11"/>
        <v>65815.5</v>
      </c>
      <c r="H105" s="183">
        <v>65815.5</v>
      </c>
      <c r="I105" s="183">
        <f t="shared" si="12"/>
        <v>0</v>
      </c>
      <c r="J105" s="184">
        <v>65815.5</v>
      </c>
      <c r="K105" s="211">
        <v>31630.5</v>
      </c>
      <c r="L105" s="211">
        <f t="shared" si="13"/>
        <v>0</v>
      </c>
      <c r="M105" s="206">
        <v>31630.5</v>
      </c>
      <c r="N105" s="219">
        <v>34185</v>
      </c>
      <c r="O105" s="219">
        <f t="shared" si="14"/>
        <v>0</v>
      </c>
      <c r="P105" s="217">
        <f t="shared" si="15"/>
        <v>34185</v>
      </c>
      <c r="Q105" s="214">
        <v>0</v>
      </c>
      <c r="R105" s="231">
        <f t="shared" si="16"/>
        <v>0</v>
      </c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</row>
    <row r="106" spans="1:32" ht="57" customHeight="1" x14ac:dyDescent="0.3">
      <c r="A106" s="182">
        <f t="shared" si="17"/>
        <v>8</v>
      </c>
      <c r="B106" s="181" t="s">
        <v>1593</v>
      </c>
      <c r="C106" s="182" t="s">
        <v>508</v>
      </c>
      <c r="D106" s="182" t="s">
        <v>1595</v>
      </c>
      <c r="E106" s="183" t="s">
        <v>523</v>
      </c>
      <c r="F106" s="183"/>
      <c r="G106" s="183">
        <f t="shared" si="11"/>
        <v>22485</v>
      </c>
      <c r="H106" s="183">
        <v>22485</v>
      </c>
      <c r="I106" s="183">
        <f t="shared" si="12"/>
        <v>0</v>
      </c>
      <c r="J106" s="189">
        <v>22485</v>
      </c>
      <c r="K106" s="211">
        <v>20785</v>
      </c>
      <c r="L106" s="211">
        <f t="shared" si="13"/>
        <v>0</v>
      </c>
      <c r="M106" s="207">
        <v>20785</v>
      </c>
      <c r="N106" s="219">
        <v>1700</v>
      </c>
      <c r="O106" s="219">
        <f t="shared" si="14"/>
        <v>0</v>
      </c>
      <c r="P106" s="217">
        <f t="shared" si="15"/>
        <v>1700</v>
      </c>
      <c r="Q106" s="214">
        <v>0</v>
      </c>
      <c r="R106" s="231">
        <f t="shared" si="16"/>
        <v>0</v>
      </c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</row>
    <row r="107" spans="1:32" ht="57" customHeight="1" x14ac:dyDescent="0.3">
      <c r="A107" s="182">
        <f t="shared" si="17"/>
        <v>9</v>
      </c>
      <c r="B107" s="181" t="s">
        <v>1593</v>
      </c>
      <c r="C107" s="182" t="s">
        <v>508</v>
      </c>
      <c r="D107" s="182" t="s">
        <v>1595</v>
      </c>
      <c r="E107" s="183" t="s">
        <v>720</v>
      </c>
      <c r="F107" s="183"/>
      <c r="G107" s="183">
        <f t="shared" si="11"/>
        <v>22525</v>
      </c>
      <c r="H107" s="183">
        <v>22525</v>
      </c>
      <c r="I107" s="183">
        <f t="shared" si="12"/>
        <v>0</v>
      </c>
      <c r="J107" s="184">
        <v>22525</v>
      </c>
      <c r="K107" s="211">
        <v>22375</v>
      </c>
      <c r="L107" s="211">
        <f t="shared" si="13"/>
        <v>0</v>
      </c>
      <c r="M107" s="205">
        <v>22375</v>
      </c>
      <c r="N107" s="219">
        <v>150</v>
      </c>
      <c r="O107" s="219">
        <f t="shared" si="14"/>
        <v>0</v>
      </c>
      <c r="P107" s="217">
        <f t="shared" si="15"/>
        <v>150</v>
      </c>
      <c r="Q107" s="214">
        <v>0</v>
      </c>
      <c r="R107" s="231">
        <f t="shared" si="16"/>
        <v>0</v>
      </c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</row>
    <row r="108" spans="1:32" ht="57" customHeight="1" x14ac:dyDescent="0.3">
      <c r="A108" s="182">
        <f t="shared" si="17"/>
        <v>10</v>
      </c>
      <c r="B108" s="181" t="s">
        <v>1217</v>
      </c>
      <c r="C108" s="182" t="s">
        <v>508</v>
      </c>
      <c r="D108" s="182" t="s">
        <v>1595</v>
      </c>
      <c r="E108" s="183" t="s">
        <v>720</v>
      </c>
      <c r="F108" s="183"/>
      <c r="G108" s="183">
        <f t="shared" si="11"/>
        <v>55875</v>
      </c>
      <c r="H108" s="183">
        <v>55875</v>
      </c>
      <c r="I108" s="183">
        <f t="shared" si="12"/>
        <v>0</v>
      </c>
      <c r="J108" s="184">
        <v>55875</v>
      </c>
      <c r="K108" s="211">
        <v>35195</v>
      </c>
      <c r="L108" s="211">
        <f t="shared" si="13"/>
        <v>0</v>
      </c>
      <c r="M108" s="205">
        <v>35195</v>
      </c>
      <c r="N108" s="219">
        <v>20680</v>
      </c>
      <c r="O108" s="219">
        <f t="shared" si="14"/>
        <v>0</v>
      </c>
      <c r="P108" s="217">
        <f t="shared" si="15"/>
        <v>20680</v>
      </c>
      <c r="Q108" s="214">
        <v>0</v>
      </c>
      <c r="R108" s="231">
        <f t="shared" si="16"/>
        <v>0</v>
      </c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</row>
    <row r="109" spans="1:32" ht="57" customHeight="1" x14ac:dyDescent="0.3">
      <c r="A109" s="182">
        <f t="shared" si="17"/>
        <v>11</v>
      </c>
      <c r="B109" s="181" t="s">
        <v>1217</v>
      </c>
      <c r="C109" s="182" t="s">
        <v>508</v>
      </c>
      <c r="D109" s="182" t="s">
        <v>1595</v>
      </c>
      <c r="E109" s="183" t="s">
        <v>1627</v>
      </c>
      <c r="F109" s="183"/>
      <c r="G109" s="183">
        <f t="shared" si="11"/>
        <v>3590</v>
      </c>
      <c r="H109" s="183">
        <v>3590</v>
      </c>
      <c r="I109" s="183">
        <f t="shared" si="12"/>
        <v>0</v>
      </c>
      <c r="J109" s="184">
        <v>3590</v>
      </c>
      <c r="K109" s="211">
        <v>3590</v>
      </c>
      <c r="L109" s="211">
        <f t="shared" si="13"/>
        <v>0</v>
      </c>
      <c r="M109" s="205">
        <v>3590</v>
      </c>
      <c r="N109" s="219">
        <v>0</v>
      </c>
      <c r="O109" s="219">
        <f t="shared" si="14"/>
        <v>0</v>
      </c>
      <c r="P109" s="217">
        <f t="shared" si="15"/>
        <v>0</v>
      </c>
      <c r="Q109" s="214">
        <v>0</v>
      </c>
      <c r="R109" s="231">
        <f t="shared" si="16"/>
        <v>0</v>
      </c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</row>
    <row r="110" spans="1:32" ht="57" customHeight="1" x14ac:dyDescent="0.3">
      <c r="A110" s="182">
        <f t="shared" si="17"/>
        <v>12</v>
      </c>
      <c r="B110" s="181" t="s">
        <v>1593</v>
      </c>
      <c r="C110" s="182" t="s">
        <v>508</v>
      </c>
      <c r="D110" s="182" t="s">
        <v>1595</v>
      </c>
      <c r="E110" s="183" t="s">
        <v>1627</v>
      </c>
      <c r="F110" s="183"/>
      <c r="G110" s="183">
        <f t="shared" si="11"/>
        <v>11015</v>
      </c>
      <c r="H110" s="183">
        <v>11015</v>
      </c>
      <c r="I110" s="183">
        <f t="shared" si="12"/>
        <v>0</v>
      </c>
      <c r="J110" s="184">
        <v>11015</v>
      </c>
      <c r="K110" s="211">
        <v>5015</v>
      </c>
      <c r="L110" s="211">
        <f t="shared" si="13"/>
        <v>0</v>
      </c>
      <c r="M110" s="205">
        <v>5015</v>
      </c>
      <c r="N110" s="219">
        <v>6000</v>
      </c>
      <c r="O110" s="219">
        <f t="shared" si="14"/>
        <v>0</v>
      </c>
      <c r="P110" s="217">
        <f t="shared" si="15"/>
        <v>6000</v>
      </c>
      <c r="Q110" s="214">
        <v>0</v>
      </c>
      <c r="R110" s="231">
        <f t="shared" si="16"/>
        <v>0</v>
      </c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</row>
    <row r="111" spans="1:32" ht="57" customHeight="1" x14ac:dyDescent="0.3">
      <c r="A111" s="182">
        <f t="shared" si="17"/>
        <v>13</v>
      </c>
      <c r="B111" s="181" t="s">
        <v>1217</v>
      </c>
      <c r="C111" s="182" t="s">
        <v>508</v>
      </c>
      <c r="D111" s="182" t="s">
        <v>1595</v>
      </c>
      <c r="E111" s="183" t="s">
        <v>698</v>
      </c>
      <c r="F111" s="183"/>
      <c r="G111" s="183">
        <f t="shared" si="11"/>
        <v>1020</v>
      </c>
      <c r="H111" s="183">
        <v>1020</v>
      </c>
      <c r="I111" s="183">
        <f t="shared" si="12"/>
        <v>0</v>
      </c>
      <c r="J111" s="184">
        <v>1020</v>
      </c>
      <c r="K111" s="211">
        <v>700</v>
      </c>
      <c r="L111" s="211">
        <f t="shared" si="13"/>
        <v>0</v>
      </c>
      <c r="M111" s="205">
        <v>700</v>
      </c>
      <c r="N111" s="219">
        <v>320</v>
      </c>
      <c r="O111" s="219">
        <f t="shared" si="14"/>
        <v>0</v>
      </c>
      <c r="P111" s="217">
        <f t="shared" si="15"/>
        <v>320</v>
      </c>
      <c r="Q111" s="214">
        <v>0</v>
      </c>
      <c r="R111" s="231">
        <f t="shared" si="16"/>
        <v>0</v>
      </c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</row>
    <row r="112" spans="1:32" ht="57" customHeight="1" x14ac:dyDescent="0.3">
      <c r="A112" s="182">
        <f t="shared" si="17"/>
        <v>14</v>
      </c>
      <c r="B112" s="181" t="s">
        <v>1217</v>
      </c>
      <c r="C112" s="182" t="s">
        <v>508</v>
      </c>
      <c r="D112" s="182" t="s">
        <v>1595</v>
      </c>
      <c r="E112" s="183" t="s">
        <v>1628</v>
      </c>
      <c r="F112" s="183"/>
      <c r="G112" s="183">
        <f t="shared" si="11"/>
        <v>5780</v>
      </c>
      <c r="H112" s="183">
        <v>5780</v>
      </c>
      <c r="I112" s="183">
        <f t="shared" si="12"/>
        <v>0</v>
      </c>
      <c r="J112" s="184">
        <v>5780</v>
      </c>
      <c r="K112" s="211">
        <v>5300</v>
      </c>
      <c r="L112" s="211">
        <f t="shared" si="13"/>
        <v>0</v>
      </c>
      <c r="M112" s="205">
        <v>5300</v>
      </c>
      <c r="N112" s="219">
        <v>480</v>
      </c>
      <c r="O112" s="219">
        <f t="shared" si="14"/>
        <v>0</v>
      </c>
      <c r="P112" s="217">
        <f t="shared" si="15"/>
        <v>480</v>
      </c>
      <c r="Q112" s="214">
        <v>0</v>
      </c>
      <c r="R112" s="231">
        <f t="shared" si="16"/>
        <v>0</v>
      </c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</row>
    <row r="113" spans="1:32" ht="57" customHeight="1" x14ac:dyDescent="0.3">
      <c r="A113" s="182">
        <f t="shared" si="17"/>
        <v>15</v>
      </c>
      <c r="B113" s="181" t="s">
        <v>1593</v>
      </c>
      <c r="C113" s="182" t="s">
        <v>508</v>
      </c>
      <c r="D113" s="182" t="s">
        <v>1595</v>
      </c>
      <c r="E113" s="183" t="s">
        <v>1628</v>
      </c>
      <c r="F113" s="183"/>
      <c r="G113" s="183">
        <f t="shared" si="11"/>
        <v>2250</v>
      </c>
      <c r="H113" s="183">
        <v>2250</v>
      </c>
      <c r="I113" s="183">
        <f t="shared" si="12"/>
        <v>0</v>
      </c>
      <c r="J113" s="184">
        <v>2250</v>
      </c>
      <c r="K113" s="211">
        <v>2250</v>
      </c>
      <c r="L113" s="211">
        <f t="shared" si="13"/>
        <v>0</v>
      </c>
      <c r="M113" s="205">
        <v>2250</v>
      </c>
      <c r="N113" s="219">
        <v>0</v>
      </c>
      <c r="O113" s="219">
        <f t="shared" si="14"/>
        <v>0</v>
      </c>
      <c r="P113" s="217">
        <f t="shared" si="15"/>
        <v>0</v>
      </c>
      <c r="Q113" s="214">
        <v>0</v>
      </c>
      <c r="R113" s="231">
        <f t="shared" si="16"/>
        <v>0</v>
      </c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</row>
    <row r="114" spans="1:32" ht="57" customHeight="1" x14ac:dyDescent="0.3">
      <c r="A114" s="182">
        <f>A113+1</f>
        <v>16</v>
      </c>
      <c r="B114" s="181" t="s">
        <v>1593</v>
      </c>
      <c r="C114" s="182" t="s">
        <v>508</v>
      </c>
      <c r="D114" s="182" t="s">
        <v>1629</v>
      </c>
      <c r="E114" s="183" t="s">
        <v>1630</v>
      </c>
      <c r="F114" s="183">
        <v>38</v>
      </c>
      <c r="G114" s="183">
        <f t="shared" si="11"/>
        <v>440337</v>
      </c>
      <c r="H114" s="183">
        <v>440337</v>
      </c>
      <c r="I114" s="183">
        <f t="shared" si="12"/>
        <v>0</v>
      </c>
      <c r="J114" s="184">
        <v>440337</v>
      </c>
      <c r="K114" s="211">
        <v>438087</v>
      </c>
      <c r="L114" s="211">
        <f t="shared" si="13"/>
        <v>0</v>
      </c>
      <c r="M114" s="205">
        <v>438087</v>
      </c>
      <c r="N114" s="219">
        <v>2250</v>
      </c>
      <c r="O114" s="219">
        <f t="shared" si="14"/>
        <v>0</v>
      </c>
      <c r="P114" s="217">
        <f t="shared" si="15"/>
        <v>2250</v>
      </c>
      <c r="Q114" s="214">
        <v>0</v>
      </c>
      <c r="R114" s="231">
        <f t="shared" si="16"/>
        <v>0</v>
      </c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</row>
    <row r="115" spans="1:32" ht="57" customHeight="1" x14ac:dyDescent="0.3">
      <c r="A115" s="182">
        <f t="shared" si="17"/>
        <v>17</v>
      </c>
      <c r="B115" s="181" t="s">
        <v>1593</v>
      </c>
      <c r="C115" s="182" t="s">
        <v>1631</v>
      </c>
      <c r="D115" s="182" t="s">
        <v>1604</v>
      </c>
      <c r="E115" s="182" t="s">
        <v>1632</v>
      </c>
      <c r="F115" s="182"/>
      <c r="G115" s="183">
        <f t="shared" si="11"/>
        <v>88522.5</v>
      </c>
      <c r="H115" s="182">
        <v>88522.5</v>
      </c>
      <c r="I115" s="183">
        <f t="shared" si="12"/>
        <v>0</v>
      </c>
      <c r="J115" s="184">
        <v>88522.5</v>
      </c>
      <c r="K115" s="211">
        <v>80407</v>
      </c>
      <c r="L115" s="211">
        <f t="shared" si="13"/>
        <v>0</v>
      </c>
      <c r="M115" s="205">
        <v>80407</v>
      </c>
      <c r="N115" s="219">
        <v>8115.5</v>
      </c>
      <c r="O115" s="219">
        <f t="shared" si="14"/>
        <v>0</v>
      </c>
      <c r="P115" s="217">
        <f t="shared" si="15"/>
        <v>8115.5</v>
      </c>
      <c r="Q115" s="214">
        <v>0</v>
      </c>
      <c r="R115" s="231">
        <f t="shared" si="16"/>
        <v>0</v>
      </c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</row>
    <row r="116" spans="1:32" ht="57" customHeight="1" x14ac:dyDescent="0.3">
      <c r="A116" s="182">
        <f t="shared" si="17"/>
        <v>18</v>
      </c>
      <c r="B116" s="181" t="s">
        <v>1217</v>
      </c>
      <c r="C116" s="182" t="s">
        <v>1631</v>
      </c>
      <c r="D116" s="182" t="s">
        <v>1604</v>
      </c>
      <c r="E116" s="182" t="s">
        <v>1632</v>
      </c>
      <c r="F116" s="182"/>
      <c r="G116" s="183">
        <f t="shared" si="11"/>
        <v>127725</v>
      </c>
      <c r="H116" s="182">
        <v>127725</v>
      </c>
      <c r="I116" s="183">
        <f t="shared" si="12"/>
        <v>0</v>
      </c>
      <c r="J116" s="184">
        <v>127725</v>
      </c>
      <c r="K116" s="211">
        <v>74875</v>
      </c>
      <c r="L116" s="211">
        <f t="shared" si="13"/>
        <v>0</v>
      </c>
      <c r="M116" s="205">
        <v>74875</v>
      </c>
      <c r="N116" s="219">
        <v>52850</v>
      </c>
      <c r="O116" s="219">
        <f t="shared" si="14"/>
        <v>0</v>
      </c>
      <c r="P116" s="217">
        <f t="shared" si="15"/>
        <v>52850</v>
      </c>
      <c r="Q116" s="214">
        <v>0</v>
      </c>
      <c r="R116" s="231">
        <f t="shared" si="16"/>
        <v>0</v>
      </c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</row>
    <row r="117" spans="1:32" ht="57" customHeight="1" x14ac:dyDescent="0.3">
      <c r="A117" s="182">
        <f t="shared" si="17"/>
        <v>19</v>
      </c>
      <c r="B117" s="181" t="s">
        <v>1593</v>
      </c>
      <c r="C117" s="182" t="s">
        <v>1631</v>
      </c>
      <c r="D117" s="182" t="s">
        <v>1623</v>
      </c>
      <c r="E117" s="183" t="s">
        <v>1633</v>
      </c>
      <c r="F117" s="183"/>
      <c r="G117" s="183">
        <f t="shared" si="11"/>
        <v>45877</v>
      </c>
      <c r="H117" s="183">
        <v>45877</v>
      </c>
      <c r="I117" s="183">
        <f t="shared" si="12"/>
        <v>0</v>
      </c>
      <c r="J117" s="184">
        <v>45877</v>
      </c>
      <c r="K117" s="211">
        <v>36117</v>
      </c>
      <c r="L117" s="211">
        <f t="shared" si="13"/>
        <v>0</v>
      </c>
      <c r="M117" s="205">
        <v>36117</v>
      </c>
      <c r="N117" s="219">
        <v>9760</v>
      </c>
      <c r="O117" s="219">
        <f t="shared" si="14"/>
        <v>0</v>
      </c>
      <c r="P117" s="217">
        <f t="shared" si="15"/>
        <v>9760</v>
      </c>
      <c r="Q117" s="214">
        <v>0</v>
      </c>
      <c r="R117" s="231">
        <f t="shared" si="16"/>
        <v>0</v>
      </c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</row>
    <row r="118" spans="1:32" ht="57" customHeight="1" x14ac:dyDescent="0.3">
      <c r="A118" s="182">
        <f t="shared" si="17"/>
        <v>20</v>
      </c>
      <c r="B118" s="181" t="s">
        <v>1217</v>
      </c>
      <c r="C118" s="182" t="s">
        <v>1631</v>
      </c>
      <c r="D118" s="182" t="s">
        <v>1623</v>
      </c>
      <c r="E118" s="183" t="s">
        <v>1633</v>
      </c>
      <c r="F118" s="183"/>
      <c r="G118" s="183">
        <f t="shared" si="11"/>
        <v>52500</v>
      </c>
      <c r="H118" s="183">
        <v>52500</v>
      </c>
      <c r="I118" s="183">
        <f t="shared" si="12"/>
        <v>0</v>
      </c>
      <c r="J118" s="184">
        <v>52500</v>
      </c>
      <c r="K118" s="211">
        <v>32860</v>
      </c>
      <c r="L118" s="211">
        <f t="shared" si="13"/>
        <v>0</v>
      </c>
      <c r="M118" s="205">
        <v>32860</v>
      </c>
      <c r="N118" s="219">
        <v>19640</v>
      </c>
      <c r="O118" s="219">
        <f t="shared" si="14"/>
        <v>0</v>
      </c>
      <c r="P118" s="217">
        <f t="shared" si="15"/>
        <v>19640</v>
      </c>
      <c r="Q118" s="214">
        <v>0</v>
      </c>
      <c r="R118" s="231">
        <f t="shared" si="16"/>
        <v>0</v>
      </c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</row>
    <row r="119" spans="1:32" ht="57" customHeight="1" x14ac:dyDescent="0.3">
      <c r="A119" s="182">
        <f t="shared" si="17"/>
        <v>21</v>
      </c>
      <c r="B119" s="181" t="s">
        <v>1593</v>
      </c>
      <c r="C119" s="182" t="s">
        <v>1631</v>
      </c>
      <c r="D119" s="182" t="s">
        <v>1595</v>
      </c>
      <c r="E119" s="182" t="s">
        <v>522</v>
      </c>
      <c r="F119" s="182"/>
      <c r="G119" s="183">
        <f t="shared" si="11"/>
        <v>22525</v>
      </c>
      <c r="H119" s="182">
        <v>22525</v>
      </c>
      <c r="I119" s="183">
        <f t="shared" si="12"/>
        <v>0</v>
      </c>
      <c r="J119" s="184">
        <v>22525</v>
      </c>
      <c r="K119" s="211">
        <v>22075</v>
      </c>
      <c r="L119" s="211">
        <f t="shared" si="13"/>
        <v>0</v>
      </c>
      <c r="M119" s="205">
        <v>22075</v>
      </c>
      <c r="N119" s="219">
        <v>450</v>
      </c>
      <c r="O119" s="219">
        <f t="shared" si="14"/>
        <v>0</v>
      </c>
      <c r="P119" s="217">
        <f t="shared" si="15"/>
        <v>450</v>
      </c>
      <c r="Q119" s="214">
        <v>0</v>
      </c>
      <c r="R119" s="231">
        <f t="shared" si="16"/>
        <v>0</v>
      </c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</row>
    <row r="120" spans="1:32" ht="57" customHeight="1" x14ac:dyDescent="0.3">
      <c r="A120" s="182">
        <f t="shared" si="17"/>
        <v>22</v>
      </c>
      <c r="B120" s="181" t="s">
        <v>1217</v>
      </c>
      <c r="C120" s="182" t="s">
        <v>1631</v>
      </c>
      <c r="D120" s="182" t="s">
        <v>1595</v>
      </c>
      <c r="E120" s="182" t="s">
        <v>522</v>
      </c>
      <c r="F120" s="182"/>
      <c r="G120" s="183">
        <f t="shared" si="11"/>
        <v>41620</v>
      </c>
      <c r="H120" s="182">
        <v>41620</v>
      </c>
      <c r="I120" s="183">
        <f t="shared" si="12"/>
        <v>0</v>
      </c>
      <c r="J120" s="184">
        <v>41620</v>
      </c>
      <c r="K120" s="211">
        <v>28475</v>
      </c>
      <c r="L120" s="211">
        <f t="shared" si="13"/>
        <v>0</v>
      </c>
      <c r="M120" s="205">
        <v>28475</v>
      </c>
      <c r="N120" s="219">
        <v>13145</v>
      </c>
      <c r="O120" s="219">
        <f t="shared" si="14"/>
        <v>0</v>
      </c>
      <c r="P120" s="217">
        <f t="shared" si="15"/>
        <v>13145</v>
      </c>
      <c r="Q120" s="214">
        <v>0</v>
      </c>
      <c r="R120" s="231">
        <f t="shared" si="16"/>
        <v>0</v>
      </c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</row>
    <row r="121" spans="1:32" ht="57" customHeight="1" x14ac:dyDescent="0.3">
      <c r="A121" s="182">
        <f t="shared" si="17"/>
        <v>23</v>
      </c>
      <c r="B121" s="181" t="s">
        <v>1217</v>
      </c>
      <c r="C121" s="182" t="s">
        <v>508</v>
      </c>
      <c r="D121" s="182" t="s">
        <v>1629</v>
      </c>
      <c r="E121" s="183" t="s">
        <v>1630</v>
      </c>
      <c r="F121" s="183">
        <v>36</v>
      </c>
      <c r="G121" s="183">
        <f t="shared" si="11"/>
        <v>84665</v>
      </c>
      <c r="H121" s="183">
        <v>84665</v>
      </c>
      <c r="I121" s="183">
        <f t="shared" si="12"/>
        <v>0</v>
      </c>
      <c r="J121" s="184">
        <v>84665</v>
      </c>
      <c r="K121" s="211">
        <v>54625</v>
      </c>
      <c r="L121" s="211">
        <f t="shared" si="13"/>
        <v>0</v>
      </c>
      <c r="M121" s="205">
        <v>54625</v>
      </c>
      <c r="N121" s="219">
        <v>30040</v>
      </c>
      <c r="O121" s="219">
        <f t="shared" si="14"/>
        <v>0</v>
      </c>
      <c r="P121" s="217">
        <f>J121-M121</f>
        <v>30040</v>
      </c>
      <c r="Q121" s="214">
        <v>0</v>
      </c>
      <c r="R121" s="231">
        <f t="shared" si="16"/>
        <v>0</v>
      </c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</row>
    <row r="122" spans="1:32" ht="57" customHeight="1" x14ac:dyDescent="0.3">
      <c r="A122" s="182">
        <f t="shared" si="17"/>
        <v>24</v>
      </c>
      <c r="B122" s="181" t="s">
        <v>1217</v>
      </c>
      <c r="C122" s="182" t="s">
        <v>1631</v>
      </c>
      <c r="D122" s="182" t="s">
        <v>1629</v>
      </c>
      <c r="E122" s="183" t="s">
        <v>1634</v>
      </c>
      <c r="F122" s="183">
        <v>45</v>
      </c>
      <c r="G122" s="183">
        <f t="shared" ref="G122:G179" si="18">H122-Q122</f>
        <v>109090</v>
      </c>
      <c r="H122" s="183">
        <v>109090</v>
      </c>
      <c r="I122" s="183">
        <f t="shared" si="12"/>
        <v>0</v>
      </c>
      <c r="J122" s="184">
        <v>109090</v>
      </c>
      <c r="K122" s="211">
        <v>73345</v>
      </c>
      <c r="L122" s="211">
        <f t="shared" si="13"/>
        <v>0</v>
      </c>
      <c r="M122" s="205">
        <v>73345</v>
      </c>
      <c r="N122" s="219">
        <v>35745</v>
      </c>
      <c r="O122" s="219">
        <f t="shared" si="14"/>
        <v>0</v>
      </c>
      <c r="P122" s="217">
        <f t="shared" si="15"/>
        <v>35745</v>
      </c>
      <c r="Q122" s="214">
        <v>0</v>
      </c>
      <c r="R122" s="231">
        <f t="shared" si="16"/>
        <v>0</v>
      </c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</row>
    <row r="123" spans="1:32" ht="57" customHeight="1" x14ac:dyDescent="0.3">
      <c r="A123" s="182">
        <f t="shared" si="17"/>
        <v>25</v>
      </c>
      <c r="B123" s="181" t="s">
        <v>1593</v>
      </c>
      <c r="C123" s="182" t="s">
        <v>1631</v>
      </c>
      <c r="D123" s="182" t="s">
        <v>1629</v>
      </c>
      <c r="E123" s="183" t="s">
        <v>1634</v>
      </c>
      <c r="F123" s="183">
        <v>34</v>
      </c>
      <c r="G123" s="183">
        <f t="shared" si="18"/>
        <v>233875</v>
      </c>
      <c r="H123" s="183">
        <v>233875</v>
      </c>
      <c r="I123" s="183">
        <f t="shared" si="12"/>
        <v>0</v>
      </c>
      <c r="J123" s="184">
        <v>233875</v>
      </c>
      <c r="K123" s="211">
        <v>223150</v>
      </c>
      <c r="L123" s="211">
        <f t="shared" si="13"/>
        <v>0</v>
      </c>
      <c r="M123" s="205">
        <v>223150</v>
      </c>
      <c r="N123" s="219">
        <v>10725</v>
      </c>
      <c r="O123" s="219">
        <f t="shared" si="14"/>
        <v>0</v>
      </c>
      <c r="P123" s="217">
        <f t="shared" si="15"/>
        <v>10725</v>
      </c>
      <c r="Q123" s="214">
        <v>0</v>
      </c>
      <c r="R123" s="231">
        <f t="shared" si="16"/>
        <v>0</v>
      </c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</row>
    <row r="124" spans="1:32" ht="57" customHeight="1" x14ac:dyDescent="0.3">
      <c r="A124" s="182">
        <f t="shared" si="17"/>
        <v>26</v>
      </c>
      <c r="B124" s="181" t="s">
        <v>1593</v>
      </c>
      <c r="C124" s="182" t="s">
        <v>1631</v>
      </c>
      <c r="D124" s="182" t="s">
        <v>1595</v>
      </c>
      <c r="E124" s="182" t="s">
        <v>1635</v>
      </c>
      <c r="F124" s="182"/>
      <c r="G124" s="183">
        <f t="shared" si="18"/>
        <v>3125</v>
      </c>
      <c r="H124" s="182">
        <v>3125</v>
      </c>
      <c r="I124" s="183">
        <f t="shared" si="12"/>
        <v>0</v>
      </c>
      <c r="J124" s="184">
        <v>3125</v>
      </c>
      <c r="K124" s="211">
        <v>2825</v>
      </c>
      <c r="L124" s="211">
        <f t="shared" si="13"/>
        <v>0</v>
      </c>
      <c r="M124" s="205">
        <v>2825</v>
      </c>
      <c r="N124" s="219">
        <v>300</v>
      </c>
      <c r="O124" s="219">
        <f t="shared" si="14"/>
        <v>0</v>
      </c>
      <c r="P124" s="217">
        <f t="shared" si="15"/>
        <v>300</v>
      </c>
      <c r="Q124" s="214">
        <v>0</v>
      </c>
      <c r="R124" s="231">
        <f t="shared" si="16"/>
        <v>0</v>
      </c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</row>
    <row r="125" spans="1:32" ht="57" customHeight="1" x14ac:dyDescent="0.3">
      <c r="A125" s="182">
        <f t="shared" si="17"/>
        <v>27</v>
      </c>
      <c r="B125" s="181" t="s">
        <v>1217</v>
      </c>
      <c r="C125" s="182" t="s">
        <v>1631</v>
      </c>
      <c r="D125" s="182" t="s">
        <v>1595</v>
      </c>
      <c r="E125" s="182" t="s">
        <v>555</v>
      </c>
      <c r="F125" s="182"/>
      <c r="G125" s="183">
        <f t="shared" si="18"/>
        <v>11960</v>
      </c>
      <c r="H125" s="182">
        <v>11960</v>
      </c>
      <c r="I125" s="183">
        <f t="shared" si="12"/>
        <v>0</v>
      </c>
      <c r="J125" s="184">
        <v>11960</v>
      </c>
      <c r="K125" s="211">
        <v>8790</v>
      </c>
      <c r="L125" s="211">
        <f t="shared" si="13"/>
        <v>0</v>
      </c>
      <c r="M125" s="205">
        <v>8790</v>
      </c>
      <c r="N125" s="219">
        <v>3170</v>
      </c>
      <c r="O125" s="219">
        <f t="shared" si="14"/>
        <v>0</v>
      </c>
      <c r="P125" s="217">
        <f t="shared" si="15"/>
        <v>3170</v>
      </c>
      <c r="Q125" s="214">
        <v>0</v>
      </c>
      <c r="R125" s="231">
        <f t="shared" si="16"/>
        <v>0</v>
      </c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</row>
    <row r="126" spans="1:32" ht="57" customHeight="1" x14ac:dyDescent="0.3">
      <c r="A126" s="182">
        <f t="shared" si="17"/>
        <v>28</v>
      </c>
      <c r="B126" s="181" t="s">
        <v>1593</v>
      </c>
      <c r="C126" s="182" t="s">
        <v>1631</v>
      </c>
      <c r="D126" s="182" t="s">
        <v>1595</v>
      </c>
      <c r="E126" s="182" t="s">
        <v>555</v>
      </c>
      <c r="F126" s="182"/>
      <c r="G126" s="183">
        <f t="shared" si="18"/>
        <v>15700</v>
      </c>
      <c r="H126" s="182">
        <v>15700</v>
      </c>
      <c r="I126" s="183">
        <f t="shared" si="12"/>
        <v>0</v>
      </c>
      <c r="J126" s="184">
        <v>15700</v>
      </c>
      <c r="K126" s="211">
        <v>15700</v>
      </c>
      <c r="L126" s="211">
        <f t="shared" si="13"/>
        <v>0</v>
      </c>
      <c r="M126" s="205">
        <v>15700</v>
      </c>
      <c r="N126" s="219">
        <v>0</v>
      </c>
      <c r="O126" s="219">
        <f t="shared" si="14"/>
        <v>0</v>
      </c>
      <c r="P126" s="217">
        <f t="shared" si="15"/>
        <v>0</v>
      </c>
      <c r="Q126" s="214">
        <v>0</v>
      </c>
      <c r="R126" s="231">
        <f t="shared" si="16"/>
        <v>0</v>
      </c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</row>
    <row r="127" spans="1:32" ht="57" customHeight="1" x14ac:dyDescent="0.3">
      <c r="A127" s="182">
        <f t="shared" si="17"/>
        <v>29</v>
      </c>
      <c r="B127" s="181" t="s">
        <v>1593</v>
      </c>
      <c r="C127" s="182" t="s">
        <v>1631</v>
      </c>
      <c r="D127" s="182" t="s">
        <v>1595</v>
      </c>
      <c r="E127" s="182" t="s">
        <v>708</v>
      </c>
      <c r="F127" s="182"/>
      <c r="G127" s="183">
        <f t="shared" si="18"/>
        <v>49491.25</v>
      </c>
      <c r="H127" s="182">
        <v>49491.25</v>
      </c>
      <c r="I127" s="183">
        <f t="shared" si="12"/>
        <v>0</v>
      </c>
      <c r="J127" s="190">
        <v>49491.25</v>
      </c>
      <c r="K127" s="211">
        <v>49491.25</v>
      </c>
      <c r="L127" s="211">
        <f t="shared" si="13"/>
        <v>0</v>
      </c>
      <c r="M127" s="208">
        <v>49491.25</v>
      </c>
      <c r="N127" s="219">
        <v>0</v>
      </c>
      <c r="O127" s="219">
        <f t="shared" si="14"/>
        <v>0</v>
      </c>
      <c r="P127" s="217">
        <f t="shared" si="15"/>
        <v>0</v>
      </c>
      <c r="Q127" s="214">
        <v>0</v>
      </c>
      <c r="R127" s="231">
        <f t="shared" si="16"/>
        <v>0</v>
      </c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</row>
    <row r="128" spans="1:32" ht="57" customHeight="1" x14ac:dyDescent="0.3">
      <c r="A128" s="182">
        <f t="shared" si="17"/>
        <v>30</v>
      </c>
      <c r="B128" s="181" t="s">
        <v>1593</v>
      </c>
      <c r="C128" s="182" t="s">
        <v>1631</v>
      </c>
      <c r="D128" s="182" t="s">
        <v>1595</v>
      </c>
      <c r="E128" s="183" t="s">
        <v>622</v>
      </c>
      <c r="F128" s="183"/>
      <c r="G128" s="183">
        <f t="shared" si="18"/>
        <v>400</v>
      </c>
      <c r="H128" s="183">
        <v>400</v>
      </c>
      <c r="I128" s="183">
        <f t="shared" si="12"/>
        <v>0</v>
      </c>
      <c r="J128" s="184">
        <v>400</v>
      </c>
      <c r="K128" s="211">
        <v>400</v>
      </c>
      <c r="L128" s="211">
        <f t="shared" si="13"/>
        <v>0</v>
      </c>
      <c r="M128" s="205">
        <v>400</v>
      </c>
      <c r="N128" s="219">
        <v>0</v>
      </c>
      <c r="O128" s="219">
        <f t="shared" si="14"/>
        <v>0</v>
      </c>
      <c r="P128" s="217">
        <f t="shared" si="15"/>
        <v>0</v>
      </c>
      <c r="Q128" s="214">
        <v>0</v>
      </c>
      <c r="R128" s="231">
        <f t="shared" si="16"/>
        <v>0</v>
      </c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</row>
    <row r="129" spans="1:32" ht="57" customHeight="1" x14ac:dyDescent="0.3">
      <c r="A129" s="182">
        <f t="shared" si="17"/>
        <v>31</v>
      </c>
      <c r="B129" s="181" t="s">
        <v>1593</v>
      </c>
      <c r="C129" s="182" t="s">
        <v>1631</v>
      </c>
      <c r="D129" s="182" t="s">
        <v>1595</v>
      </c>
      <c r="E129" s="182" t="s">
        <v>547</v>
      </c>
      <c r="F129" s="182"/>
      <c r="G129" s="183">
        <f t="shared" si="18"/>
        <v>85870</v>
      </c>
      <c r="H129" s="182">
        <v>85870</v>
      </c>
      <c r="I129" s="183">
        <f t="shared" si="12"/>
        <v>0</v>
      </c>
      <c r="J129" s="184">
        <v>85870</v>
      </c>
      <c r="K129" s="211">
        <v>85870</v>
      </c>
      <c r="L129" s="211">
        <f t="shared" si="13"/>
        <v>0</v>
      </c>
      <c r="M129" s="205">
        <v>85870</v>
      </c>
      <c r="N129" s="219">
        <v>0</v>
      </c>
      <c r="O129" s="219">
        <f t="shared" si="14"/>
        <v>0</v>
      </c>
      <c r="P129" s="217">
        <f t="shared" si="15"/>
        <v>0</v>
      </c>
      <c r="Q129" s="214">
        <v>0</v>
      </c>
      <c r="R129" s="231">
        <f t="shared" si="16"/>
        <v>0</v>
      </c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</row>
    <row r="130" spans="1:32" ht="57" customHeight="1" x14ac:dyDescent="0.3">
      <c r="A130" s="182">
        <f t="shared" si="17"/>
        <v>32</v>
      </c>
      <c r="B130" s="181" t="s">
        <v>1217</v>
      </c>
      <c r="C130" s="182" t="s">
        <v>1631</v>
      </c>
      <c r="D130" s="182" t="s">
        <v>1595</v>
      </c>
      <c r="E130" s="182" t="s">
        <v>547</v>
      </c>
      <c r="F130" s="182"/>
      <c r="G130" s="183">
        <f t="shared" si="18"/>
        <v>44225</v>
      </c>
      <c r="H130" s="182">
        <v>44225</v>
      </c>
      <c r="I130" s="183">
        <f t="shared" si="12"/>
        <v>0</v>
      </c>
      <c r="J130" s="184">
        <v>44225</v>
      </c>
      <c r="K130" s="211">
        <v>29345</v>
      </c>
      <c r="L130" s="211">
        <f t="shared" si="13"/>
        <v>0</v>
      </c>
      <c r="M130" s="205">
        <v>29345</v>
      </c>
      <c r="N130" s="219">
        <v>14880</v>
      </c>
      <c r="O130" s="219">
        <f t="shared" si="14"/>
        <v>0</v>
      </c>
      <c r="P130" s="217">
        <f t="shared" si="15"/>
        <v>14880</v>
      </c>
      <c r="Q130" s="214">
        <v>0</v>
      </c>
      <c r="R130" s="231">
        <f t="shared" si="16"/>
        <v>0</v>
      </c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</row>
    <row r="131" spans="1:32" ht="57" customHeight="1" x14ac:dyDescent="0.3">
      <c r="A131" s="182">
        <f t="shared" si="17"/>
        <v>33</v>
      </c>
      <c r="B131" s="188" t="s">
        <v>1217</v>
      </c>
      <c r="C131" s="182" t="s">
        <v>1631</v>
      </c>
      <c r="D131" s="182" t="s">
        <v>1599</v>
      </c>
      <c r="E131" s="182" t="s">
        <v>1125</v>
      </c>
      <c r="F131" s="182">
        <v>19</v>
      </c>
      <c r="G131" s="183">
        <f t="shared" si="18"/>
        <v>68610</v>
      </c>
      <c r="H131" s="182">
        <v>68610</v>
      </c>
      <c r="I131" s="183">
        <f t="shared" si="12"/>
        <v>0</v>
      </c>
      <c r="J131" s="184">
        <v>68610</v>
      </c>
      <c r="K131" s="211">
        <v>59430</v>
      </c>
      <c r="L131" s="211">
        <f t="shared" si="13"/>
        <v>0</v>
      </c>
      <c r="M131" s="205">
        <v>59430</v>
      </c>
      <c r="N131" s="219">
        <v>9180</v>
      </c>
      <c r="O131" s="219">
        <f t="shared" si="14"/>
        <v>0</v>
      </c>
      <c r="P131" s="217">
        <f t="shared" si="15"/>
        <v>9180</v>
      </c>
      <c r="Q131" s="214">
        <v>0</v>
      </c>
      <c r="R131" s="231">
        <f t="shared" si="16"/>
        <v>0</v>
      </c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</row>
    <row r="132" spans="1:32" ht="57" customHeight="1" x14ac:dyDescent="0.3">
      <c r="A132" s="182">
        <f t="shared" si="17"/>
        <v>34</v>
      </c>
      <c r="B132" s="181" t="s">
        <v>1593</v>
      </c>
      <c r="C132" s="182" t="s">
        <v>1631</v>
      </c>
      <c r="D132" s="182" t="s">
        <v>1599</v>
      </c>
      <c r="E132" s="182" t="s">
        <v>1125</v>
      </c>
      <c r="F132" s="182"/>
      <c r="G132" s="183">
        <f t="shared" si="18"/>
        <v>88162.5</v>
      </c>
      <c r="H132" s="182">
        <v>88162.5</v>
      </c>
      <c r="I132" s="183">
        <f t="shared" si="12"/>
        <v>0</v>
      </c>
      <c r="J132" s="184">
        <v>88162.5</v>
      </c>
      <c r="K132" s="211">
        <v>84200</v>
      </c>
      <c r="L132" s="211">
        <f t="shared" si="13"/>
        <v>0</v>
      </c>
      <c r="M132" s="205">
        <v>84200</v>
      </c>
      <c r="N132" s="219">
        <v>3962.5</v>
      </c>
      <c r="O132" s="219">
        <f t="shared" si="14"/>
        <v>0</v>
      </c>
      <c r="P132" s="217">
        <f t="shared" si="15"/>
        <v>3962.5</v>
      </c>
      <c r="Q132" s="214">
        <v>0</v>
      </c>
      <c r="R132" s="231">
        <f t="shared" si="16"/>
        <v>0</v>
      </c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</row>
    <row r="133" spans="1:32" ht="57" customHeight="1" x14ac:dyDescent="0.3">
      <c r="A133" s="182">
        <f>A132+1</f>
        <v>35</v>
      </c>
      <c r="B133" s="188" t="s">
        <v>1593</v>
      </c>
      <c r="C133" s="182" t="s">
        <v>1631</v>
      </c>
      <c r="D133" s="182" t="s">
        <v>1629</v>
      </c>
      <c r="E133" s="183" t="s">
        <v>1636</v>
      </c>
      <c r="F133" s="183">
        <v>41</v>
      </c>
      <c r="G133" s="183">
        <f t="shared" si="18"/>
        <v>199120</v>
      </c>
      <c r="H133" s="183">
        <v>199120</v>
      </c>
      <c r="I133" s="183">
        <f t="shared" si="12"/>
        <v>0</v>
      </c>
      <c r="J133" s="184">
        <v>199120</v>
      </c>
      <c r="K133" s="211">
        <v>191870</v>
      </c>
      <c r="L133" s="211">
        <f t="shared" si="13"/>
        <v>0</v>
      </c>
      <c r="M133" s="205">
        <v>191870</v>
      </c>
      <c r="N133" s="219">
        <v>7250</v>
      </c>
      <c r="O133" s="219">
        <f t="shared" si="14"/>
        <v>0</v>
      </c>
      <c r="P133" s="217">
        <f t="shared" si="15"/>
        <v>7250</v>
      </c>
      <c r="Q133" s="214">
        <v>0</v>
      </c>
      <c r="R133" s="231">
        <f t="shared" si="16"/>
        <v>0</v>
      </c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</row>
    <row r="134" spans="1:32" ht="57" customHeight="1" x14ac:dyDescent="0.3">
      <c r="A134" s="182">
        <f t="shared" si="17"/>
        <v>36</v>
      </c>
      <c r="B134" s="188" t="s">
        <v>1217</v>
      </c>
      <c r="C134" s="182" t="s">
        <v>1631</v>
      </c>
      <c r="D134" s="182" t="s">
        <v>1629</v>
      </c>
      <c r="E134" s="183" t="s">
        <v>1636</v>
      </c>
      <c r="F134" s="183">
        <v>44</v>
      </c>
      <c r="G134" s="183">
        <f t="shared" si="18"/>
        <v>116505</v>
      </c>
      <c r="H134" s="183">
        <v>116505</v>
      </c>
      <c r="I134" s="183">
        <f t="shared" ref="I134:I193" si="19">J134-H134</f>
        <v>0</v>
      </c>
      <c r="J134" s="184">
        <v>116505</v>
      </c>
      <c r="K134" s="211">
        <v>67345</v>
      </c>
      <c r="L134" s="211">
        <f t="shared" ref="L134:L190" si="20">M134-K134</f>
        <v>0</v>
      </c>
      <c r="M134" s="205">
        <v>67345</v>
      </c>
      <c r="N134" s="219">
        <v>49160</v>
      </c>
      <c r="O134" s="219">
        <f t="shared" ref="O134:O190" si="21">P134-N134</f>
        <v>0</v>
      </c>
      <c r="P134" s="217">
        <f t="shared" ref="P134:P190" si="22">J134-M134</f>
        <v>49160</v>
      </c>
      <c r="Q134" s="214">
        <v>0</v>
      </c>
      <c r="R134" s="231">
        <f t="shared" si="16"/>
        <v>0</v>
      </c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</row>
    <row r="135" spans="1:32" ht="57" customHeight="1" x14ac:dyDescent="0.3">
      <c r="A135" s="182">
        <f t="shared" si="17"/>
        <v>37</v>
      </c>
      <c r="B135" s="188" t="s">
        <v>1217</v>
      </c>
      <c r="C135" s="182" t="s">
        <v>1631</v>
      </c>
      <c r="D135" s="182" t="s">
        <v>1629</v>
      </c>
      <c r="E135" s="183" t="s">
        <v>1637</v>
      </c>
      <c r="F135" s="183"/>
      <c r="G135" s="183">
        <f t="shared" si="18"/>
        <v>39785</v>
      </c>
      <c r="H135" s="183">
        <v>39785</v>
      </c>
      <c r="I135" s="183">
        <f t="shared" si="19"/>
        <v>0</v>
      </c>
      <c r="J135" s="184">
        <v>39785</v>
      </c>
      <c r="K135" s="211">
        <v>39785</v>
      </c>
      <c r="L135" s="211">
        <f t="shared" si="20"/>
        <v>0</v>
      </c>
      <c r="M135" s="205">
        <v>39785</v>
      </c>
      <c r="N135" s="219">
        <v>0</v>
      </c>
      <c r="O135" s="219">
        <f t="shared" si="21"/>
        <v>0</v>
      </c>
      <c r="P135" s="217">
        <f t="shared" si="22"/>
        <v>0</v>
      </c>
      <c r="Q135" s="214">
        <v>0</v>
      </c>
      <c r="R135" s="231">
        <f t="shared" ref="R135:R190" si="23">I135-L135-O135</f>
        <v>0</v>
      </c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</row>
    <row r="136" spans="1:32" ht="57" customHeight="1" x14ac:dyDescent="0.3">
      <c r="A136" s="182">
        <f t="shared" si="17"/>
        <v>38</v>
      </c>
      <c r="B136" s="181" t="s">
        <v>1593</v>
      </c>
      <c r="C136" s="182" t="s">
        <v>1631</v>
      </c>
      <c r="D136" s="182" t="s">
        <v>1629</v>
      </c>
      <c r="E136" s="183" t="s">
        <v>1637</v>
      </c>
      <c r="F136" s="183"/>
      <c r="G136" s="183">
        <f t="shared" si="18"/>
        <v>6550</v>
      </c>
      <c r="H136" s="183">
        <v>6550</v>
      </c>
      <c r="I136" s="183">
        <f t="shared" si="19"/>
        <v>0</v>
      </c>
      <c r="J136" s="184">
        <v>6550</v>
      </c>
      <c r="K136" s="211">
        <v>6550</v>
      </c>
      <c r="L136" s="211">
        <f t="shared" si="20"/>
        <v>0</v>
      </c>
      <c r="M136" s="205">
        <v>6550</v>
      </c>
      <c r="N136" s="219">
        <v>0</v>
      </c>
      <c r="O136" s="219">
        <f t="shared" si="21"/>
        <v>0</v>
      </c>
      <c r="P136" s="217">
        <f t="shared" si="22"/>
        <v>0</v>
      </c>
      <c r="Q136" s="214">
        <v>0</v>
      </c>
      <c r="R136" s="231">
        <f t="shared" si="23"/>
        <v>0</v>
      </c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</row>
    <row r="137" spans="1:32" ht="57" customHeight="1" x14ac:dyDescent="0.3">
      <c r="A137" s="182">
        <f t="shared" si="17"/>
        <v>39</v>
      </c>
      <c r="B137" s="181" t="s">
        <v>1593</v>
      </c>
      <c r="C137" s="182" t="s">
        <v>506</v>
      </c>
      <c r="D137" s="182" t="s">
        <v>1623</v>
      </c>
      <c r="E137" s="183" t="s">
        <v>1638</v>
      </c>
      <c r="F137" s="183"/>
      <c r="G137" s="183">
        <f t="shared" si="18"/>
        <v>37050</v>
      </c>
      <c r="H137" s="183">
        <v>37050</v>
      </c>
      <c r="I137" s="183">
        <f t="shared" si="19"/>
        <v>0</v>
      </c>
      <c r="J137" s="184">
        <v>37050</v>
      </c>
      <c r="K137" s="211">
        <v>31650</v>
      </c>
      <c r="L137" s="211">
        <f t="shared" si="20"/>
        <v>0</v>
      </c>
      <c r="M137" s="205">
        <v>31650</v>
      </c>
      <c r="N137" s="219">
        <v>5400</v>
      </c>
      <c r="O137" s="219">
        <f t="shared" si="21"/>
        <v>0</v>
      </c>
      <c r="P137" s="217">
        <f t="shared" si="22"/>
        <v>5400</v>
      </c>
      <c r="Q137" s="214">
        <v>0</v>
      </c>
      <c r="R137" s="231">
        <f t="shared" si="23"/>
        <v>0</v>
      </c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</row>
    <row r="138" spans="1:32" ht="57" customHeight="1" x14ac:dyDescent="0.3">
      <c r="A138" s="182">
        <f t="shared" si="17"/>
        <v>40</v>
      </c>
      <c r="B138" s="181" t="s">
        <v>1217</v>
      </c>
      <c r="C138" s="182" t="s">
        <v>506</v>
      </c>
      <c r="D138" s="182" t="s">
        <v>1623</v>
      </c>
      <c r="E138" s="183" t="s">
        <v>1638</v>
      </c>
      <c r="F138" s="183">
        <v>27</v>
      </c>
      <c r="G138" s="183">
        <f t="shared" si="18"/>
        <v>48940</v>
      </c>
      <c r="H138" s="183">
        <v>48940</v>
      </c>
      <c r="I138" s="183">
        <f t="shared" si="19"/>
        <v>0</v>
      </c>
      <c r="J138" s="184">
        <v>48940</v>
      </c>
      <c r="K138" s="211">
        <v>26550</v>
      </c>
      <c r="L138" s="211">
        <f t="shared" si="20"/>
        <v>0</v>
      </c>
      <c r="M138" s="205">
        <v>26550</v>
      </c>
      <c r="N138" s="219">
        <v>22390</v>
      </c>
      <c r="O138" s="219">
        <f t="shared" si="21"/>
        <v>0</v>
      </c>
      <c r="P138" s="217">
        <f t="shared" si="22"/>
        <v>22390</v>
      </c>
      <c r="Q138" s="214">
        <v>0</v>
      </c>
      <c r="R138" s="231">
        <f t="shared" si="23"/>
        <v>0</v>
      </c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</row>
    <row r="139" spans="1:32" ht="57" customHeight="1" x14ac:dyDescent="0.3">
      <c r="A139" s="182">
        <f t="shared" si="17"/>
        <v>41</v>
      </c>
      <c r="B139" s="181" t="s">
        <v>1593</v>
      </c>
      <c r="C139" s="182" t="s">
        <v>506</v>
      </c>
      <c r="D139" s="182" t="s">
        <v>1639</v>
      </c>
      <c r="E139" s="182" t="s">
        <v>1640</v>
      </c>
      <c r="F139" s="182"/>
      <c r="G139" s="183">
        <f t="shared" si="18"/>
        <v>0</v>
      </c>
      <c r="H139" s="182"/>
      <c r="I139" s="183">
        <f t="shared" si="19"/>
        <v>0</v>
      </c>
      <c r="J139" s="184"/>
      <c r="K139" s="211"/>
      <c r="L139" s="211">
        <f t="shared" si="20"/>
        <v>0</v>
      </c>
      <c r="M139" s="205"/>
      <c r="N139" s="219">
        <v>0</v>
      </c>
      <c r="O139" s="219">
        <f t="shared" si="21"/>
        <v>0</v>
      </c>
      <c r="P139" s="217">
        <f t="shared" si="22"/>
        <v>0</v>
      </c>
      <c r="Q139" s="214">
        <v>0</v>
      </c>
      <c r="R139" s="231">
        <f t="shared" si="23"/>
        <v>0</v>
      </c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</row>
    <row r="140" spans="1:32" ht="57" customHeight="1" x14ac:dyDescent="0.3">
      <c r="A140" s="182">
        <f t="shared" si="17"/>
        <v>42</v>
      </c>
      <c r="B140" s="181" t="s">
        <v>1217</v>
      </c>
      <c r="C140" s="182" t="s">
        <v>506</v>
      </c>
      <c r="D140" s="182" t="s">
        <v>1604</v>
      </c>
      <c r="E140" s="182" t="s">
        <v>1641</v>
      </c>
      <c r="F140" s="182">
        <v>32</v>
      </c>
      <c r="G140" s="183">
        <f t="shared" si="18"/>
        <v>76060</v>
      </c>
      <c r="H140" s="182">
        <v>76060</v>
      </c>
      <c r="I140" s="183">
        <f t="shared" si="19"/>
        <v>0</v>
      </c>
      <c r="J140" s="184">
        <v>76060</v>
      </c>
      <c r="K140" s="211">
        <v>41680</v>
      </c>
      <c r="L140" s="211">
        <f t="shared" si="20"/>
        <v>0</v>
      </c>
      <c r="M140" s="205">
        <v>41680</v>
      </c>
      <c r="N140" s="219">
        <v>34380</v>
      </c>
      <c r="O140" s="219">
        <f t="shared" si="21"/>
        <v>0</v>
      </c>
      <c r="P140" s="217">
        <f t="shared" si="22"/>
        <v>34380</v>
      </c>
      <c r="Q140" s="214">
        <v>0</v>
      </c>
      <c r="R140" s="231">
        <f t="shared" si="23"/>
        <v>0</v>
      </c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</row>
    <row r="141" spans="1:32" ht="57" customHeight="1" x14ac:dyDescent="0.3">
      <c r="A141" s="182">
        <f t="shared" si="17"/>
        <v>43</v>
      </c>
      <c r="B141" s="181" t="s">
        <v>1593</v>
      </c>
      <c r="C141" s="182" t="s">
        <v>506</v>
      </c>
      <c r="D141" s="182" t="s">
        <v>1604</v>
      </c>
      <c r="E141" s="182" t="s">
        <v>1641</v>
      </c>
      <c r="F141" s="182"/>
      <c r="G141" s="183">
        <f t="shared" si="18"/>
        <v>75175</v>
      </c>
      <c r="H141" s="182">
        <v>75175</v>
      </c>
      <c r="I141" s="183">
        <f t="shared" si="19"/>
        <v>0</v>
      </c>
      <c r="J141" s="184">
        <v>75175</v>
      </c>
      <c r="K141" s="211">
        <v>75175</v>
      </c>
      <c r="L141" s="211">
        <f t="shared" si="20"/>
        <v>0</v>
      </c>
      <c r="M141" s="205">
        <v>75175</v>
      </c>
      <c r="N141" s="219">
        <v>0</v>
      </c>
      <c r="O141" s="219">
        <f t="shared" si="21"/>
        <v>0</v>
      </c>
      <c r="P141" s="217">
        <f t="shared" si="22"/>
        <v>0</v>
      </c>
      <c r="Q141" s="214">
        <v>0</v>
      </c>
      <c r="R141" s="231">
        <f t="shared" si="23"/>
        <v>0</v>
      </c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</row>
    <row r="142" spans="1:32" ht="57" customHeight="1" x14ac:dyDescent="0.3">
      <c r="A142" s="182">
        <f t="shared" si="17"/>
        <v>44</v>
      </c>
      <c r="B142" s="181" t="s">
        <v>1217</v>
      </c>
      <c r="C142" s="182" t="s">
        <v>506</v>
      </c>
      <c r="D142" s="182" t="s">
        <v>1595</v>
      </c>
      <c r="E142" s="182" t="s">
        <v>806</v>
      </c>
      <c r="F142" s="182"/>
      <c r="G142" s="183">
        <f t="shared" si="18"/>
        <v>14980</v>
      </c>
      <c r="H142" s="182">
        <v>14980</v>
      </c>
      <c r="I142" s="183">
        <f t="shared" si="19"/>
        <v>0</v>
      </c>
      <c r="J142" s="184">
        <v>14980</v>
      </c>
      <c r="K142" s="211">
        <v>13175</v>
      </c>
      <c r="L142" s="211">
        <f t="shared" si="20"/>
        <v>0</v>
      </c>
      <c r="M142" s="205">
        <v>13175</v>
      </c>
      <c r="N142" s="219">
        <v>1805</v>
      </c>
      <c r="O142" s="219">
        <f t="shared" si="21"/>
        <v>0</v>
      </c>
      <c r="P142" s="217">
        <f t="shared" si="22"/>
        <v>1805</v>
      </c>
      <c r="Q142" s="214">
        <v>0</v>
      </c>
      <c r="R142" s="231">
        <f t="shared" si="23"/>
        <v>0</v>
      </c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</row>
    <row r="143" spans="1:32" ht="57" customHeight="1" x14ac:dyDescent="0.3">
      <c r="A143" s="182">
        <f t="shared" si="17"/>
        <v>45</v>
      </c>
      <c r="B143" s="181" t="s">
        <v>1593</v>
      </c>
      <c r="C143" s="182" t="s">
        <v>506</v>
      </c>
      <c r="D143" s="182" t="s">
        <v>1595</v>
      </c>
      <c r="E143" s="182" t="s">
        <v>806</v>
      </c>
      <c r="F143" s="182"/>
      <c r="G143" s="183">
        <f t="shared" si="18"/>
        <v>1025</v>
      </c>
      <c r="H143" s="182">
        <v>1025</v>
      </c>
      <c r="I143" s="183">
        <f t="shared" si="19"/>
        <v>0</v>
      </c>
      <c r="J143" s="184">
        <v>1025</v>
      </c>
      <c r="K143" s="211">
        <v>1025</v>
      </c>
      <c r="L143" s="211">
        <f t="shared" si="20"/>
        <v>0</v>
      </c>
      <c r="M143" s="205">
        <v>1025</v>
      </c>
      <c r="N143" s="219">
        <v>0</v>
      </c>
      <c r="O143" s="219">
        <f t="shared" si="21"/>
        <v>0</v>
      </c>
      <c r="P143" s="217">
        <f t="shared" si="22"/>
        <v>0</v>
      </c>
      <c r="Q143" s="214">
        <v>0</v>
      </c>
      <c r="R143" s="231">
        <f t="shared" si="23"/>
        <v>0</v>
      </c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</row>
    <row r="144" spans="1:32" ht="57" customHeight="1" x14ac:dyDescent="0.3">
      <c r="A144" s="182">
        <f t="shared" si="17"/>
        <v>46</v>
      </c>
      <c r="B144" s="181" t="s">
        <v>1217</v>
      </c>
      <c r="C144" s="182" t="s">
        <v>506</v>
      </c>
      <c r="D144" s="182" t="s">
        <v>1629</v>
      </c>
      <c r="E144" s="183" t="s">
        <v>1642</v>
      </c>
      <c r="F144" s="183">
        <v>48</v>
      </c>
      <c r="G144" s="183">
        <f t="shared" si="18"/>
        <v>163465</v>
      </c>
      <c r="H144" s="183">
        <v>163465</v>
      </c>
      <c r="I144" s="183">
        <f t="shared" si="19"/>
        <v>0</v>
      </c>
      <c r="J144" s="184">
        <v>163465</v>
      </c>
      <c r="K144" s="211">
        <v>103165</v>
      </c>
      <c r="L144" s="211">
        <f t="shared" si="20"/>
        <v>0</v>
      </c>
      <c r="M144" s="205">
        <v>103165</v>
      </c>
      <c r="N144" s="219">
        <v>60300</v>
      </c>
      <c r="O144" s="219">
        <f t="shared" si="21"/>
        <v>0</v>
      </c>
      <c r="P144" s="217">
        <f t="shared" si="22"/>
        <v>60300</v>
      </c>
      <c r="Q144" s="214">
        <v>0</v>
      </c>
      <c r="R144" s="231">
        <f t="shared" si="23"/>
        <v>0</v>
      </c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</row>
    <row r="145" spans="1:32" ht="57" customHeight="1" x14ac:dyDescent="0.3">
      <c r="A145" s="182">
        <f t="shared" si="17"/>
        <v>47</v>
      </c>
      <c r="B145" s="188" t="s">
        <v>1593</v>
      </c>
      <c r="C145" s="182" t="s">
        <v>506</v>
      </c>
      <c r="D145" s="182" t="s">
        <v>1629</v>
      </c>
      <c r="E145" s="183" t="s">
        <v>1642</v>
      </c>
      <c r="F145" s="183">
        <v>47</v>
      </c>
      <c r="G145" s="183">
        <f t="shared" si="18"/>
        <v>215378</v>
      </c>
      <c r="H145" s="183">
        <v>215378</v>
      </c>
      <c r="I145" s="183">
        <f t="shared" si="19"/>
        <v>0</v>
      </c>
      <c r="J145" s="184">
        <v>215378</v>
      </c>
      <c r="K145" s="211">
        <v>208485</v>
      </c>
      <c r="L145" s="211">
        <f t="shared" si="20"/>
        <v>0</v>
      </c>
      <c r="M145" s="205">
        <v>208485</v>
      </c>
      <c r="N145" s="219">
        <v>6893</v>
      </c>
      <c r="O145" s="219">
        <f t="shared" si="21"/>
        <v>0</v>
      </c>
      <c r="P145" s="217">
        <f t="shared" si="22"/>
        <v>6893</v>
      </c>
      <c r="Q145" s="214">
        <v>0</v>
      </c>
      <c r="R145" s="231">
        <f t="shared" si="23"/>
        <v>0</v>
      </c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</row>
    <row r="146" spans="1:32" ht="57" customHeight="1" x14ac:dyDescent="0.3">
      <c r="A146" s="182">
        <f t="shared" si="17"/>
        <v>48</v>
      </c>
      <c r="B146" s="199" t="s">
        <v>1593</v>
      </c>
      <c r="C146" s="182" t="s">
        <v>506</v>
      </c>
      <c r="D146" s="182" t="s">
        <v>1629</v>
      </c>
      <c r="E146" s="182" t="s">
        <v>1643</v>
      </c>
      <c r="F146" s="182">
        <v>41</v>
      </c>
      <c r="G146" s="183">
        <f t="shared" si="18"/>
        <v>264405</v>
      </c>
      <c r="H146" s="182">
        <v>264405</v>
      </c>
      <c r="I146" s="183">
        <f t="shared" si="19"/>
        <v>0</v>
      </c>
      <c r="J146" s="184">
        <v>264405</v>
      </c>
      <c r="K146" s="211">
        <v>240855</v>
      </c>
      <c r="L146" s="211">
        <f t="shared" si="20"/>
        <v>0</v>
      </c>
      <c r="M146" s="205">
        <v>240855</v>
      </c>
      <c r="N146" s="219">
        <v>23550</v>
      </c>
      <c r="O146" s="219">
        <f t="shared" si="21"/>
        <v>0</v>
      </c>
      <c r="P146" s="217">
        <f t="shared" si="22"/>
        <v>23550</v>
      </c>
      <c r="Q146" s="214">
        <v>0</v>
      </c>
      <c r="R146" s="231">
        <f t="shared" si="23"/>
        <v>0</v>
      </c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</row>
    <row r="147" spans="1:32" ht="57" customHeight="1" x14ac:dyDescent="0.3">
      <c r="A147" s="182">
        <f t="shared" si="17"/>
        <v>49</v>
      </c>
      <c r="B147" s="188" t="s">
        <v>1217</v>
      </c>
      <c r="C147" s="182" t="s">
        <v>506</v>
      </c>
      <c r="D147" s="182" t="s">
        <v>1629</v>
      </c>
      <c r="E147" s="182" t="s">
        <v>1643</v>
      </c>
      <c r="F147" s="182">
        <v>41</v>
      </c>
      <c r="G147" s="183">
        <f t="shared" si="18"/>
        <v>172680</v>
      </c>
      <c r="H147" s="182">
        <v>172680</v>
      </c>
      <c r="I147" s="183">
        <f t="shared" si="19"/>
        <v>0</v>
      </c>
      <c r="J147" s="184">
        <v>172680</v>
      </c>
      <c r="K147" s="211">
        <v>95190</v>
      </c>
      <c r="L147" s="211">
        <f t="shared" si="20"/>
        <v>0</v>
      </c>
      <c r="M147" s="205">
        <v>95190</v>
      </c>
      <c r="N147" s="219">
        <v>77490</v>
      </c>
      <c r="O147" s="219">
        <f t="shared" si="21"/>
        <v>0</v>
      </c>
      <c r="P147" s="217">
        <f t="shared" si="22"/>
        <v>77490</v>
      </c>
      <c r="Q147" s="214">
        <v>0</v>
      </c>
      <c r="R147" s="231">
        <f t="shared" si="23"/>
        <v>0</v>
      </c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</row>
    <row r="148" spans="1:32" ht="57" customHeight="1" x14ac:dyDescent="0.3">
      <c r="A148" s="182">
        <f t="shared" si="17"/>
        <v>50</v>
      </c>
      <c r="B148" s="188" t="s">
        <v>1217</v>
      </c>
      <c r="C148" s="182" t="s">
        <v>506</v>
      </c>
      <c r="D148" s="182" t="s">
        <v>1629</v>
      </c>
      <c r="E148" s="183" t="s">
        <v>520</v>
      </c>
      <c r="F148" s="183"/>
      <c r="G148" s="183">
        <f t="shared" si="18"/>
        <v>12730</v>
      </c>
      <c r="H148" s="183">
        <v>12730</v>
      </c>
      <c r="I148" s="183">
        <f t="shared" si="19"/>
        <v>0</v>
      </c>
      <c r="J148" s="184">
        <v>12730</v>
      </c>
      <c r="K148" s="211">
        <v>12730</v>
      </c>
      <c r="L148" s="211">
        <f t="shared" si="20"/>
        <v>0</v>
      </c>
      <c r="M148" s="205">
        <v>12730</v>
      </c>
      <c r="N148" s="219">
        <v>0</v>
      </c>
      <c r="O148" s="219">
        <f t="shared" si="21"/>
        <v>0</v>
      </c>
      <c r="P148" s="217">
        <f t="shared" si="22"/>
        <v>0</v>
      </c>
      <c r="Q148" s="214">
        <v>0</v>
      </c>
      <c r="R148" s="231">
        <f t="shared" si="23"/>
        <v>0</v>
      </c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</row>
    <row r="149" spans="1:32" ht="57" customHeight="1" x14ac:dyDescent="0.3">
      <c r="A149" s="182">
        <f t="shared" si="17"/>
        <v>51</v>
      </c>
      <c r="B149" s="188" t="s">
        <v>1593</v>
      </c>
      <c r="C149" s="182" t="s">
        <v>506</v>
      </c>
      <c r="D149" s="182" t="s">
        <v>1629</v>
      </c>
      <c r="E149" s="183" t="s">
        <v>520</v>
      </c>
      <c r="F149" s="183"/>
      <c r="G149" s="183">
        <f t="shared" si="18"/>
        <v>480</v>
      </c>
      <c r="H149" s="183">
        <v>480</v>
      </c>
      <c r="I149" s="183">
        <f t="shared" si="19"/>
        <v>0</v>
      </c>
      <c r="J149" s="184">
        <v>480</v>
      </c>
      <c r="K149" s="211">
        <v>480</v>
      </c>
      <c r="L149" s="211">
        <f t="shared" si="20"/>
        <v>0</v>
      </c>
      <c r="M149" s="205">
        <v>480</v>
      </c>
      <c r="N149" s="219">
        <v>0</v>
      </c>
      <c r="O149" s="219">
        <f t="shared" si="21"/>
        <v>0</v>
      </c>
      <c r="P149" s="217">
        <f t="shared" si="22"/>
        <v>0</v>
      </c>
      <c r="Q149" s="214">
        <v>0</v>
      </c>
      <c r="R149" s="231">
        <f t="shared" si="23"/>
        <v>0</v>
      </c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</row>
    <row r="150" spans="1:32" ht="57" customHeight="1" x14ac:dyDescent="0.3">
      <c r="A150" s="182">
        <f t="shared" si="17"/>
        <v>52</v>
      </c>
      <c r="B150" s="181" t="s">
        <v>1217</v>
      </c>
      <c r="C150" s="182" t="s">
        <v>1644</v>
      </c>
      <c r="D150" s="182" t="s">
        <v>1595</v>
      </c>
      <c r="E150" s="182" t="s">
        <v>775</v>
      </c>
      <c r="F150" s="182"/>
      <c r="G150" s="183">
        <f t="shared" si="18"/>
        <v>0</v>
      </c>
      <c r="H150" s="182"/>
      <c r="I150" s="183">
        <f t="shared" si="19"/>
        <v>0</v>
      </c>
      <c r="J150" s="184"/>
      <c r="K150" s="211"/>
      <c r="L150" s="211">
        <f t="shared" si="20"/>
        <v>0</v>
      </c>
      <c r="M150" s="205"/>
      <c r="N150" s="219">
        <v>0</v>
      </c>
      <c r="O150" s="219">
        <f t="shared" si="21"/>
        <v>0</v>
      </c>
      <c r="P150" s="217">
        <f t="shared" si="22"/>
        <v>0</v>
      </c>
      <c r="Q150" s="214">
        <v>0</v>
      </c>
      <c r="R150" s="231">
        <f t="shared" si="23"/>
        <v>0</v>
      </c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</row>
    <row r="151" spans="1:32" ht="57" customHeight="1" x14ac:dyDescent="0.3">
      <c r="A151" s="182">
        <f t="shared" si="17"/>
        <v>53</v>
      </c>
      <c r="B151" s="181" t="s">
        <v>1593</v>
      </c>
      <c r="C151" s="182" t="s">
        <v>1644</v>
      </c>
      <c r="D151" s="182" t="s">
        <v>1595</v>
      </c>
      <c r="E151" s="182" t="s">
        <v>775</v>
      </c>
      <c r="F151" s="182"/>
      <c r="G151" s="183">
        <f t="shared" si="18"/>
        <v>0</v>
      </c>
      <c r="H151" s="182"/>
      <c r="I151" s="183">
        <f t="shared" si="19"/>
        <v>0</v>
      </c>
      <c r="J151" s="184"/>
      <c r="K151" s="211"/>
      <c r="L151" s="211">
        <f t="shared" si="20"/>
        <v>0</v>
      </c>
      <c r="M151" s="205"/>
      <c r="N151" s="219">
        <v>0</v>
      </c>
      <c r="O151" s="219">
        <f t="shared" si="21"/>
        <v>0</v>
      </c>
      <c r="P151" s="217">
        <f t="shared" si="22"/>
        <v>0</v>
      </c>
      <c r="Q151" s="214">
        <v>0</v>
      </c>
      <c r="R151" s="231">
        <f t="shared" si="23"/>
        <v>0</v>
      </c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</row>
    <row r="152" spans="1:32" ht="57" customHeight="1" x14ac:dyDescent="0.3">
      <c r="A152" s="182">
        <f t="shared" si="17"/>
        <v>54</v>
      </c>
      <c r="B152" s="181" t="s">
        <v>1593</v>
      </c>
      <c r="C152" s="182" t="s">
        <v>1644</v>
      </c>
      <c r="D152" s="182" t="s">
        <v>1595</v>
      </c>
      <c r="E152" s="182" t="s">
        <v>776</v>
      </c>
      <c r="F152" s="182"/>
      <c r="G152" s="183">
        <f t="shared" si="18"/>
        <v>4350</v>
      </c>
      <c r="H152" s="182">
        <v>4350</v>
      </c>
      <c r="I152" s="183">
        <f t="shared" si="19"/>
        <v>0</v>
      </c>
      <c r="J152" s="184">
        <v>4350</v>
      </c>
      <c r="K152" s="211">
        <v>4350</v>
      </c>
      <c r="L152" s="211">
        <f t="shared" si="20"/>
        <v>0</v>
      </c>
      <c r="M152" s="205">
        <v>4350</v>
      </c>
      <c r="N152" s="219">
        <v>0</v>
      </c>
      <c r="O152" s="219">
        <f t="shared" si="21"/>
        <v>0</v>
      </c>
      <c r="P152" s="217">
        <f t="shared" si="22"/>
        <v>0</v>
      </c>
      <c r="Q152" s="214">
        <v>0</v>
      </c>
      <c r="R152" s="231">
        <f t="shared" si="23"/>
        <v>0</v>
      </c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</row>
    <row r="153" spans="1:32" ht="57" customHeight="1" x14ac:dyDescent="0.3">
      <c r="A153" s="182">
        <f t="shared" si="17"/>
        <v>55</v>
      </c>
      <c r="B153" s="181" t="s">
        <v>1217</v>
      </c>
      <c r="C153" s="182" t="s">
        <v>1644</v>
      </c>
      <c r="D153" s="182" t="s">
        <v>1595</v>
      </c>
      <c r="E153" s="182" t="s">
        <v>776</v>
      </c>
      <c r="F153" s="182"/>
      <c r="G153" s="183">
        <f t="shared" si="18"/>
        <v>37775</v>
      </c>
      <c r="H153" s="182">
        <v>37775</v>
      </c>
      <c r="I153" s="183">
        <f t="shared" si="19"/>
        <v>0</v>
      </c>
      <c r="J153" s="184">
        <v>37775</v>
      </c>
      <c r="K153" s="211">
        <v>29570</v>
      </c>
      <c r="L153" s="211">
        <f t="shared" si="20"/>
        <v>0</v>
      </c>
      <c r="M153" s="205">
        <v>29570</v>
      </c>
      <c r="N153" s="219">
        <v>8205</v>
      </c>
      <c r="O153" s="219">
        <f t="shared" si="21"/>
        <v>0</v>
      </c>
      <c r="P153" s="217">
        <f t="shared" si="22"/>
        <v>8205</v>
      </c>
      <c r="Q153" s="214">
        <v>0</v>
      </c>
      <c r="R153" s="231">
        <f t="shared" si="23"/>
        <v>0</v>
      </c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</row>
    <row r="154" spans="1:32" ht="57" customHeight="1" x14ac:dyDescent="0.3">
      <c r="A154" s="182">
        <f t="shared" si="17"/>
        <v>56</v>
      </c>
      <c r="B154" s="181" t="s">
        <v>1217</v>
      </c>
      <c r="C154" s="182" t="s">
        <v>1644</v>
      </c>
      <c r="D154" s="182" t="s">
        <v>1604</v>
      </c>
      <c r="E154" s="182" t="s">
        <v>1645</v>
      </c>
      <c r="F154" s="182">
        <v>46</v>
      </c>
      <c r="G154" s="183">
        <f t="shared" si="18"/>
        <v>133195</v>
      </c>
      <c r="H154" s="182">
        <v>133195</v>
      </c>
      <c r="I154" s="183">
        <f t="shared" si="19"/>
        <v>0</v>
      </c>
      <c r="J154" s="184">
        <v>133195</v>
      </c>
      <c r="K154" s="211">
        <v>75680</v>
      </c>
      <c r="L154" s="211">
        <f t="shared" si="20"/>
        <v>0</v>
      </c>
      <c r="M154" s="205">
        <v>75680</v>
      </c>
      <c r="N154" s="219">
        <v>57515</v>
      </c>
      <c r="O154" s="219">
        <f t="shared" si="21"/>
        <v>0</v>
      </c>
      <c r="P154" s="217">
        <f t="shared" si="22"/>
        <v>57515</v>
      </c>
      <c r="Q154" s="214">
        <v>0</v>
      </c>
      <c r="R154" s="231">
        <f t="shared" si="23"/>
        <v>0</v>
      </c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</row>
    <row r="155" spans="1:32" ht="57" customHeight="1" x14ac:dyDescent="0.3">
      <c r="A155" s="182">
        <f t="shared" si="17"/>
        <v>57</v>
      </c>
      <c r="B155" s="181" t="s">
        <v>1593</v>
      </c>
      <c r="C155" s="182" t="s">
        <v>1644</v>
      </c>
      <c r="D155" s="182" t="s">
        <v>1604</v>
      </c>
      <c r="E155" s="182" t="s">
        <v>1645</v>
      </c>
      <c r="F155" s="182"/>
      <c r="G155" s="183">
        <f t="shared" si="18"/>
        <v>82525</v>
      </c>
      <c r="H155" s="182">
        <v>82525</v>
      </c>
      <c r="I155" s="183">
        <f t="shared" si="19"/>
        <v>0</v>
      </c>
      <c r="J155" s="184">
        <v>82525</v>
      </c>
      <c r="K155" s="211">
        <v>77925</v>
      </c>
      <c r="L155" s="211">
        <f t="shared" si="20"/>
        <v>0</v>
      </c>
      <c r="M155" s="205">
        <v>77925</v>
      </c>
      <c r="N155" s="219">
        <v>4600</v>
      </c>
      <c r="O155" s="219">
        <f t="shared" si="21"/>
        <v>0</v>
      </c>
      <c r="P155" s="217">
        <f t="shared" si="22"/>
        <v>4600</v>
      </c>
      <c r="Q155" s="214">
        <v>0</v>
      </c>
      <c r="R155" s="231">
        <f t="shared" si="23"/>
        <v>0</v>
      </c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</row>
    <row r="156" spans="1:32" ht="57" customHeight="1" x14ac:dyDescent="0.3">
      <c r="A156" s="182">
        <f t="shared" si="17"/>
        <v>58</v>
      </c>
      <c r="B156" s="181" t="s">
        <v>1593</v>
      </c>
      <c r="C156" s="182" t="s">
        <v>1644</v>
      </c>
      <c r="D156" s="182" t="s">
        <v>1623</v>
      </c>
      <c r="E156" s="183" t="s">
        <v>1646</v>
      </c>
      <c r="F156" s="183"/>
      <c r="G156" s="183">
        <f t="shared" si="18"/>
        <v>52470</v>
      </c>
      <c r="H156" s="183">
        <v>52470</v>
      </c>
      <c r="I156" s="183">
        <f t="shared" si="19"/>
        <v>0</v>
      </c>
      <c r="J156" s="184">
        <v>52470</v>
      </c>
      <c r="K156" s="211">
        <v>51470</v>
      </c>
      <c r="L156" s="211">
        <f t="shared" si="20"/>
        <v>0</v>
      </c>
      <c r="M156" s="205">
        <v>51470</v>
      </c>
      <c r="N156" s="219">
        <v>1000</v>
      </c>
      <c r="O156" s="219">
        <f t="shared" si="21"/>
        <v>0</v>
      </c>
      <c r="P156" s="217">
        <f t="shared" si="22"/>
        <v>1000</v>
      </c>
      <c r="Q156" s="214">
        <v>0</v>
      </c>
      <c r="R156" s="231">
        <f t="shared" si="23"/>
        <v>0</v>
      </c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</row>
    <row r="157" spans="1:32" ht="57" customHeight="1" x14ac:dyDescent="0.3">
      <c r="A157" s="182">
        <f t="shared" si="17"/>
        <v>59</v>
      </c>
      <c r="B157" s="181" t="s">
        <v>1217</v>
      </c>
      <c r="C157" s="182" t="s">
        <v>1644</v>
      </c>
      <c r="D157" s="182" t="s">
        <v>1623</v>
      </c>
      <c r="E157" s="183" t="s">
        <v>1646</v>
      </c>
      <c r="F157" s="183">
        <v>27</v>
      </c>
      <c r="G157" s="183">
        <f t="shared" si="18"/>
        <v>41625</v>
      </c>
      <c r="H157" s="183">
        <v>41625</v>
      </c>
      <c r="I157" s="183">
        <f t="shared" si="19"/>
        <v>0</v>
      </c>
      <c r="J157" s="184">
        <v>41625</v>
      </c>
      <c r="K157" s="211">
        <v>19910</v>
      </c>
      <c r="L157" s="211">
        <f t="shared" si="20"/>
        <v>0</v>
      </c>
      <c r="M157" s="205">
        <v>19910</v>
      </c>
      <c r="N157" s="219">
        <v>21715</v>
      </c>
      <c r="O157" s="219">
        <f t="shared" si="21"/>
        <v>0</v>
      </c>
      <c r="P157" s="217">
        <f t="shared" si="22"/>
        <v>21715</v>
      </c>
      <c r="Q157" s="214">
        <v>0</v>
      </c>
      <c r="R157" s="231">
        <f t="shared" si="23"/>
        <v>0</v>
      </c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</row>
    <row r="158" spans="1:32" ht="57" customHeight="1" x14ac:dyDescent="0.3">
      <c r="A158" s="182">
        <f t="shared" si="17"/>
        <v>60</v>
      </c>
      <c r="B158" s="181" t="s">
        <v>1217</v>
      </c>
      <c r="C158" s="182" t="s">
        <v>503</v>
      </c>
      <c r="D158" s="182" t="s">
        <v>1604</v>
      </c>
      <c r="E158" s="182" t="s">
        <v>1647</v>
      </c>
      <c r="F158" s="182"/>
      <c r="G158" s="183">
        <f t="shared" si="18"/>
        <v>99060</v>
      </c>
      <c r="H158" s="182">
        <v>99060</v>
      </c>
      <c r="I158" s="183">
        <f t="shared" si="19"/>
        <v>0</v>
      </c>
      <c r="J158" s="184">
        <v>99060</v>
      </c>
      <c r="K158" s="211">
        <v>57690</v>
      </c>
      <c r="L158" s="211">
        <f t="shared" si="20"/>
        <v>0</v>
      </c>
      <c r="M158" s="205">
        <v>57690</v>
      </c>
      <c r="N158" s="219">
        <v>41370</v>
      </c>
      <c r="O158" s="219">
        <f t="shared" si="21"/>
        <v>0</v>
      </c>
      <c r="P158" s="217">
        <f t="shared" si="22"/>
        <v>41370</v>
      </c>
      <c r="Q158" s="214">
        <v>0</v>
      </c>
      <c r="R158" s="231">
        <f t="shared" si="23"/>
        <v>0</v>
      </c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</row>
    <row r="159" spans="1:32" ht="57" customHeight="1" x14ac:dyDescent="0.3">
      <c r="A159" s="182">
        <f t="shared" si="17"/>
        <v>61</v>
      </c>
      <c r="B159" s="181" t="s">
        <v>1593</v>
      </c>
      <c r="C159" s="182" t="s">
        <v>503</v>
      </c>
      <c r="D159" s="182" t="s">
        <v>1604</v>
      </c>
      <c r="E159" s="182" t="s">
        <v>1647</v>
      </c>
      <c r="F159" s="182"/>
      <c r="G159" s="183">
        <f t="shared" si="18"/>
        <v>73575</v>
      </c>
      <c r="H159" s="182">
        <v>73575</v>
      </c>
      <c r="I159" s="183">
        <f t="shared" si="19"/>
        <v>0</v>
      </c>
      <c r="J159" s="184">
        <v>73575</v>
      </c>
      <c r="K159" s="211">
        <v>72375</v>
      </c>
      <c r="L159" s="211">
        <f t="shared" si="20"/>
        <v>0</v>
      </c>
      <c r="M159" s="205">
        <v>72375</v>
      </c>
      <c r="N159" s="219">
        <v>1200</v>
      </c>
      <c r="O159" s="219">
        <f t="shared" si="21"/>
        <v>0</v>
      </c>
      <c r="P159" s="217">
        <f t="shared" si="22"/>
        <v>1200</v>
      </c>
      <c r="Q159" s="214">
        <v>0</v>
      </c>
      <c r="R159" s="231">
        <f t="shared" si="23"/>
        <v>0</v>
      </c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</row>
    <row r="160" spans="1:32" ht="57" customHeight="1" x14ac:dyDescent="0.3">
      <c r="A160" s="182">
        <f t="shared" si="17"/>
        <v>62</v>
      </c>
      <c r="B160" s="188" t="s">
        <v>1217</v>
      </c>
      <c r="C160" s="182" t="s">
        <v>503</v>
      </c>
      <c r="D160" s="182" t="s">
        <v>1623</v>
      </c>
      <c r="E160" s="183" t="s">
        <v>1648</v>
      </c>
      <c r="F160" s="183"/>
      <c r="G160" s="183">
        <f t="shared" si="18"/>
        <v>40175</v>
      </c>
      <c r="H160" s="183">
        <v>40175</v>
      </c>
      <c r="I160" s="183">
        <f t="shared" si="19"/>
        <v>0</v>
      </c>
      <c r="J160" s="184">
        <v>40175</v>
      </c>
      <c r="K160" s="211">
        <v>21800</v>
      </c>
      <c r="L160" s="211">
        <f t="shared" si="20"/>
        <v>0</v>
      </c>
      <c r="M160" s="205">
        <v>21800</v>
      </c>
      <c r="N160" s="219">
        <v>18375</v>
      </c>
      <c r="O160" s="219">
        <f t="shared" si="21"/>
        <v>0</v>
      </c>
      <c r="P160" s="217">
        <f t="shared" si="22"/>
        <v>18375</v>
      </c>
      <c r="Q160" s="214">
        <v>0</v>
      </c>
      <c r="R160" s="231">
        <f t="shared" si="23"/>
        <v>0</v>
      </c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</row>
    <row r="161" spans="1:32" ht="57" customHeight="1" x14ac:dyDescent="0.3">
      <c r="A161" s="182">
        <f t="shared" si="17"/>
        <v>63</v>
      </c>
      <c r="B161" s="188" t="s">
        <v>1593</v>
      </c>
      <c r="C161" s="182" t="s">
        <v>503</v>
      </c>
      <c r="D161" s="182" t="s">
        <v>1623</v>
      </c>
      <c r="E161" s="183" t="s">
        <v>1648</v>
      </c>
      <c r="F161" s="183"/>
      <c r="G161" s="183">
        <f t="shared" si="18"/>
        <v>65150</v>
      </c>
      <c r="H161" s="183">
        <v>65150</v>
      </c>
      <c r="I161" s="183">
        <f t="shared" si="19"/>
        <v>0</v>
      </c>
      <c r="J161" s="184">
        <v>65150</v>
      </c>
      <c r="K161" s="211">
        <v>65150</v>
      </c>
      <c r="L161" s="211">
        <f t="shared" si="20"/>
        <v>0</v>
      </c>
      <c r="M161" s="205">
        <v>65150</v>
      </c>
      <c r="N161" s="219">
        <v>0</v>
      </c>
      <c r="O161" s="219">
        <f t="shared" si="21"/>
        <v>0</v>
      </c>
      <c r="P161" s="217">
        <f t="shared" si="22"/>
        <v>0</v>
      </c>
      <c r="Q161" s="214">
        <v>0</v>
      </c>
      <c r="R161" s="231">
        <f t="shared" si="23"/>
        <v>0</v>
      </c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</row>
    <row r="162" spans="1:32" ht="57" customHeight="1" x14ac:dyDescent="0.3">
      <c r="A162" s="182">
        <f t="shared" si="17"/>
        <v>64</v>
      </c>
      <c r="B162" s="182" t="s">
        <v>1217</v>
      </c>
      <c r="C162" s="182" t="s">
        <v>503</v>
      </c>
      <c r="D162" s="182" t="s">
        <v>1595</v>
      </c>
      <c r="E162" s="182" t="s">
        <v>524</v>
      </c>
      <c r="F162" s="182"/>
      <c r="G162" s="183">
        <f t="shared" si="18"/>
        <v>97225</v>
      </c>
      <c r="H162" s="182">
        <v>97225</v>
      </c>
      <c r="I162" s="183">
        <f t="shared" si="19"/>
        <v>0</v>
      </c>
      <c r="J162" s="184">
        <v>97225</v>
      </c>
      <c r="K162" s="211">
        <v>49780</v>
      </c>
      <c r="L162" s="211">
        <f t="shared" si="20"/>
        <v>0</v>
      </c>
      <c r="M162" s="205">
        <v>49780</v>
      </c>
      <c r="N162" s="219">
        <v>47445</v>
      </c>
      <c r="O162" s="219">
        <f t="shared" si="21"/>
        <v>0</v>
      </c>
      <c r="P162" s="217">
        <f t="shared" si="22"/>
        <v>47445</v>
      </c>
      <c r="Q162" s="214">
        <v>0</v>
      </c>
      <c r="R162" s="231">
        <f t="shared" si="23"/>
        <v>0</v>
      </c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</row>
    <row r="163" spans="1:32" ht="57" customHeight="1" x14ac:dyDescent="0.3">
      <c r="A163" s="182">
        <f t="shared" ref="A163:A175" si="24">A162+1</f>
        <v>65</v>
      </c>
      <c r="B163" s="182" t="s">
        <v>1593</v>
      </c>
      <c r="C163" s="182" t="s">
        <v>503</v>
      </c>
      <c r="D163" s="182" t="s">
        <v>1595</v>
      </c>
      <c r="E163" s="182" t="s">
        <v>524</v>
      </c>
      <c r="F163" s="182"/>
      <c r="G163" s="183">
        <f t="shared" si="18"/>
        <v>68500</v>
      </c>
      <c r="H163" s="182">
        <v>68500</v>
      </c>
      <c r="I163" s="183">
        <f t="shared" si="19"/>
        <v>0</v>
      </c>
      <c r="J163" s="184">
        <v>68500</v>
      </c>
      <c r="K163" s="211">
        <v>66200</v>
      </c>
      <c r="L163" s="211">
        <f t="shared" si="20"/>
        <v>0</v>
      </c>
      <c r="M163" s="205">
        <v>66200</v>
      </c>
      <c r="N163" s="219">
        <v>2300</v>
      </c>
      <c r="O163" s="219">
        <f t="shared" si="21"/>
        <v>0</v>
      </c>
      <c r="P163" s="217">
        <f t="shared" si="22"/>
        <v>2300</v>
      </c>
      <c r="Q163" s="214">
        <v>0</v>
      </c>
      <c r="R163" s="231">
        <f t="shared" si="23"/>
        <v>0</v>
      </c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</row>
    <row r="164" spans="1:32" ht="57" customHeight="1" x14ac:dyDescent="0.3">
      <c r="A164" s="182">
        <f t="shared" si="24"/>
        <v>66</v>
      </c>
      <c r="B164" s="182" t="s">
        <v>1217</v>
      </c>
      <c r="C164" s="182" t="s">
        <v>503</v>
      </c>
      <c r="D164" s="182" t="s">
        <v>1629</v>
      </c>
      <c r="E164" s="182" t="s">
        <v>980</v>
      </c>
      <c r="F164" s="182">
        <v>39</v>
      </c>
      <c r="G164" s="183">
        <f t="shared" si="18"/>
        <v>120840</v>
      </c>
      <c r="H164" s="182">
        <v>120840</v>
      </c>
      <c r="I164" s="183">
        <f t="shared" si="19"/>
        <v>0</v>
      </c>
      <c r="J164" s="184">
        <v>120840</v>
      </c>
      <c r="K164" s="211">
        <v>60920</v>
      </c>
      <c r="L164" s="211">
        <f t="shared" si="20"/>
        <v>0</v>
      </c>
      <c r="M164" s="205">
        <v>60920</v>
      </c>
      <c r="N164" s="219">
        <v>59920</v>
      </c>
      <c r="O164" s="219">
        <f t="shared" si="21"/>
        <v>0</v>
      </c>
      <c r="P164" s="217">
        <f t="shared" si="22"/>
        <v>59920</v>
      </c>
      <c r="Q164" s="214">
        <v>0</v>
      </c>
      <c r="R164" s="231">
        <f t="shared" si="23"/>
        <v>0</v>
      </c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</row>
    <row r="165" spans="1:32" ht="57" customHeight="1" x14ac:dyDescent="0.3">
      <c r="A165" s="182">
        <f t="shared" si="24"/>
        <v>67</v>
      </c>
      <c r="B165" s="187" t="s">
        <v>1593</v>
      </c>
      <c r="C165" s="182" t="s">
        <v>503</v>
      </c>
      <c r="D165" s="182" t="s">
        <v>1629</v>
      </c>
      <c r="E165" s="182" t="s">
        <v>980</v>
      </c>
      <c r="F165" s="181">
        <v>28</v>
      </c>
      <c r="G165" s="183">
        <f t="shared" si="18"/>
        <v>186157</v>
      </c>
      <c r="H165" s="181">
        <v>186157</v>
      </c>
      <c r="I165" s="183">
        <f t="shared" si="19"/>
        <v>0</v>
      </c>
      <c r="J165" s="191">
        <v>186157</v>
      </c>
      <c r="K165" s="211">
        <v>175727</v>
      </c>
      <c r="L165" s="211">
        <f t="shared" si="20"/>
        <v>0</v>
      </c>
      <c r="M165" s="209">
        <v>175727</v>
      </c>
      <c r="N165" s="219">
        <v>10430</v>
      </c>
      <c r="O165" s="219">
        <f t="shared" si="21"/>
        <v>0</v>
      </c>
      <c r="P165" s="217">
        <f t="shared" si="22"/>
        <v>10430</v>
      </c>
      <c r="Q165" s="214">
        <v>0</v>
      </c>
      <c r="R165" s="231">
        <f t="shared" si="23"/>
        <v>0</v>
      </c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</row>
    <row r="166" spans="1:32" ht="57" customHeight="1" x14ac:dyDescent="0.3">
      <c r="A166" s="182">
        <f t="shared" si="24"/>
        <v>68</v>
      </c>
      <c r="B166" s="187" t="s">
        <v>1217</v>
      </c>
      <c r="C166" s="182" t="s">
        <v>503</v>
      </c>
      <c r="D166" s="182" t="s">
        <v>1595</v>
      </c>
      <c r="E166" s="182" t="s">
        <v>511</v>
      </c>
      <c r="F166" s="182"/>
      <c r="G166" s="183">
        <f t="shared" si="18"/>
        <v>80715</v>
      </c>
      <c r="H166" s="182">
        <v>80715</v>
      </c>
      <c r="I166" s="183">
        <f t="shared" si="19"/>
        <v>0</v>
      </c>
      <c r="J166" s="184">
        <v>80715</v>
      </c>
      <c r="K166" s="211">
        <v>55155</v>
      </c>
      <c r="L166" s="211">
        <f t="shared" si="20"/>
        <v>0</v>
      </c>
      <c r="M166" s="205">
        <v>55155</v>
      </c>
      <c r="N166" s="219">
        <v>25560</v>
      </c>
      <c r="O166" s="219">
        <f t="shared" si="21"/>
        <v>0</v>
      </c>
      <c r="P166" s="217">
        <f t="shared" si="22"/>
        <v>25560</v>
      </c>
      <c r="Q166" s="214">
        <v>0</v>
      </c>
      <c r="R166" s="231">
        <f t="shared" si="23"/>
        <v>0</v>
      </c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</row>
    <row r="167" spans="1:32" ht="57" customHeight="1" x14ac:dyDescent="0.3">
      <c r="A167" s="182">
        <f t="shared" si="24"/>
        <v>69</v>
      </c>
      <c r="B167" s="188" t="s">
        <v>1593</v>
      </c>
      <c r="C167" s="182" t="s">
        <v>503</v>
      </c>
      <c r="D167" s="182" t="s">
        <v>1595</v>
      </c>
      <c r="E167" s="182" t="s">
        <v>511</v>
      </c>
      <c r="F167" s="182"/>
      <c r="G167" s="183">
        <f t="shared" si="18"/>
        <v>22985</v>
      </c>
      <c r="H167" s="182">
        <v>22985</v>
      </c>
      <c r="I167" s="183">
        <f t="shared" si="19"/>
        <v>0</v>
      </c>
      <c r="J167" s="184">
        <v>22985</v>
      </c>
      <c r="K167" s="211">
        <v>22985</v>
      </c>
      <c r="L167" s="211">
        <f t="shared" si="20"/>
        <v>0</v>
      </c>
      <c r="M167" s="205">
        <v>22985</v>
      </c>
      <c r="N167" s="219">
        <v>0</v>
      </c>
      <c r="O167" s="219">
        <f t="shared" si="21"/>
        <v>0</v>
      </c>
      <c r="P167" s="217">
        <f t="shared" si="22"/>
        <v>0</v>
      </c>
      <c r="Q167" s="214">
        <v>0</v>
      </c>
      <c r="R167" s="231">
        <f t="shared" si="23"/>
        <v>0</v>
      </c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</row>
    <row r="168" spans="1:32" ht="57" customHeight="1" x14ac:dyDescent="0.3">
      <c r="A168" s="182">
        <f t="shared" si="24"/>
        <v>70</v>
      </c>
      <c r="B168" s="187" t="s">
        <v>1217</v>
      </c>
      <c r="C168" s="182" t="s">
        <v>503</v>
      </c>
      <c r="D168" s="182" t="s">
        <v>1629</v>
      </c>
      <c r="E168" s="182" t="s">
        <v>519</v>
      </c>
      <c r="F168" s="182"/>
      <c r="G168" s="183">
        <f t="shared" si="18"/>
        <v>57785</v>
      </c>
      <c r="H168" s="182">
        <v>57785</v>
      </c>
      <c r="I168" s="183">
        <f t="shared" si="19"/>
        <v>0</v>
      </c>
      <c r="J168" s="184">
        <v>57785</v>
      </c>
      <c r="K168" s="211">
        <v>55985</v>
      </c>
      <c r="L168" s="211">
        <f t="shared" si="20"/>
        <v>0</v>
      </c>
      <c r="M168" s="205">
        <v>55985</v>
      </c>
      <c r="N168" s="219">
        <v>1800</v>
      </c>
      <c r="O168" s="219">
        <f t="shared" si="21"/>
        <v>0</v>
      </c>
      <c r="P168" s="217">
        <f t="shared" si="22"/>
        <v>1800</v>
      </c>
      <c r="Q168" s="214">
        <v>0</v>
      </c>
      <c r="R168" s="231">
        <f t="shared" si="23"/>
        <v>0</v>
      </c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</row>
    <row r="169" spans="1:32" ht="57" customHeight="1" x14ac:dyDescent="0.3">
      <c r="A169" s="182">
        <f t="shared" si="24"/>
        <v>71</v>
      </c>
      <c r="B169" s="188" t="s">
        <v>1593</v>
      </c>
      <c r="C169" s="182" t="s">
        <v>503</v>
      </c>
      <c r="D169" s="182" t="s">
        <v>1629</v>
      </c>
      <c r="E169" s="182" t="s">
        <v>519</v>
      </c>
      <c r="F169" s="182"/>
      <c r="G169" s="183">
        <f t="shared" si="18"/>
        <v>12300</v>
      </c>
      <c r="H169" s="182">
        <v>12300</v>
      </c>
      <c r="I169" s="183">
        <f t="shared" si="19"/>
        <v>0</v>
      </c>
      <c r="J169" s="184">
        <v>12300</v>
      </c>
      <c r="K169" s="211">
        <v>12300</v>
      </c>
      <c r="L169" s="211">
        <f t="shared" si="20"/>
        <v>0</v>
      </c>
      <c r="M169" s="205">
        <v>12300</v>
      </c>
      <c r="N169" s="219">
        <v>0</v>
      </c>
      <c r="O169" s="219">
        <f t="shared" si="21"/>
        <v>0</v>
      </c>
      <c r="P169" s="217">
        <f t="shared" si="22"/>
        <v>0</v>
      </c>
      <c r="Q169" s="214">
        <v>0</v>
      </c>
      <c r="R169" s="231">
        <f t="shared" si="23"/>
        <v>0</v>
      </c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</row>
    <row r="170" spans="1:32" ht="57" customHeight="1" x14ac:dyDescent="0.3">
      <c r="A170" s="182">
        <f t="shared" si="24"/>
        <v>72</v>
      </c>
      <c r="B170" s="187" t="s">
        <v>1217</v>
      </c>
      <c r="C170" s="182" t="s">
        <v>503</v>
      </c>
      <c r="D170" s="182" t="s">
        <v>1629</v>
      </c>
      <c r="E170" s="182" t="s">
        <v>518</v>
      </c>
      <c r="F170" s="182"/>
      <c r="G170" s="183">
        <f t="shared" si="18"/>
        <v>30840</v>
      </c>
      <c r="H170" s="182">
        <v>30840</v>
      </c>
      <c r="I170" s="183">
        <f t="shared" si="19"/>
        <v>0</v>
      </c>
      <c r="J170" s="184">
        <v>30840</v>
      </c>
      <c r="K170" s="211">
        <v>30840</v>
      </c>
      <c r="L170" s="211">
        <f t="shared" si="20"/>
        <v>0</v>
      </c>
      <c r="M170" s="205">
        <v>30840</v>
      </c>
      <c r="N170" s="219">
        <v>0</v>
      </c>
      <c r="O170" s="219">
        <f t="shared" si="21"/>
        <v>0</v>
      </c>
      <c r="P170" s="217">
        <f t="shared" si="22"/>
        <v>0</v>
      </c>
      <c r="Q170" s="214">
        <v>0</v>
      </c>
      <c r="R170" s="231">
        <f t="shared" si="23"/>
        <v>0</v>
      </c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</row>
    <row r="171" spans="1:32" ht="57" customHeight="1" x14ac:dyDescent="0.3">
      <c r="A171" s="182">
        <f t="shared" si="24"/>
        <v>73</v>
      </c>
      <c r="B171" s="187" t="s">
        <v>1593</v>
      </c>
      <c r="C171" s="182" t="s">
        <v>503</v>
      </c>
      <c r="D171" s="182" t="s">
        <v>1629</v>
      </c>
      <c r="E171" s="182" t="s">
        <v>518</v>
      </c>
      <c r="F171" s="181"/>
      <c r="G171" s="183">
        <f t="shared" si="18"/>
        <v>4850</v>
      </c>
      <c r="H171" s="181">
        <v>4850</v>
      </c>
      <c r="I171" s="183">
        <f t="shared" si="19"/>
        <v>0</v>
      </c>
      <c r="J171" s="191">
        <v>4850</v>
      </c>
      <c r="K171" s="211">
        <v>4850</v>
      </c>
      <c r="L171" s="211">
        <f t="shared" si="20"/>
        <v>0</v>
      </c>
      <c r="M171" s="209">
        <v>4850</v>
      </c>
      <c r="N171" s="219">
        <v>0</v>
      </c>
      <c r="O171" s="219">
        <f t="shared" si="21"/>
        <v>0</v>
      </c>
      <c r="P171" s="217">
        <f t="shared" si="22"/>
        <v>0</v>
      </c>
      <c r="Q171" s="214">
        <v>0</v>
      </c>
      <c r="R171" s="231">
        <f t="shared" si="23"/>
        <v>0</v>
      </c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</row>
    <row r="172" spans="1:32" ht="57" customHeight="1" x14ac:dyDescent="0.3">
      <c r="A172" s="182">
        <f t="shared" si="24"/>
        <v>74</v>
      </c>
      <c r="B172" s="187" t="s">
        <v>1217</v>
      </c>
      <c r="C172" s="182" t="s">
        <v>1649</v>
      </c>
      <c r="D172" s="182" t="s">
        <v>1629</v>
      </c>
      <c r="E172" s="182" t="s">
        <v>1650</v>
      </c>
      <c r="F172" s="181"/>
      <c r="G172" s="183">
        <f t="shared" si="18"/>
        <v>4580</v>
      </c>
      <c r="H172" s="181">
        <v>4580</v>
      </c>
      <c r="I172" s="183">
        <f t="shared" si="19"/>
        <v>0</v>
      </c>
      <c r="J172" s="191">
        <v>4580</v>
      </c>
      <c r="K172" s="211">
        <v>4580</v>
      </c>
      <c r="L172" s="211">
        <f t="shared" si="20"/>
        <v>0</v>
      </c>
      <c r="M172" s="209">
        <v>4580</v>
      </c>
      <c r="N172" s="219">
        <v>0</v>
      </c>
      <c r="O172" s="219">
        <f t="shared" si="21"/>
        <v>0</v>
      </c>
      <c r="P172" s="217">
        <f t="shared" si="22"/>
        <v>0</v>
      </c>
      <c r="Q172" s="214">
        <v>0</v>
      </c>
      <c r="R172" s="231">
        <f t="shared" si="23"/>
        <v>0</v>
      </c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</row>
    <row r="173" spans="1:32" ht="57" customHeight="1" x14ac:dyDescent="0.3">
      <c r="A173" s="182">
        <f t="shared" si="24"/>
        <v>75</v>
      </c>
      <c r="B173" s="182" t="s">
        <v>1593</v>
      </c>
      <c r="C173" s="182" t="s">
        <v>1649</v>
      </c>
      <c r="D173" s="182" t="s">
        <v>1629</v>
      </c>
      <c r="E173" s="182" t="s">
        <v>1650</v>
      </c>
      <c r="F173" s="181"/>
      <c r="G173" s="183">
        <f t="shared" si="18"/>
        <v>1350</v>
      </c>
      <c r="H173" s="181">
        <v>1350</v>
      </c>
      <c r="I173" s="183">
        <f t="shared" si="19"/>
        <v>0</v>
      </c>
      <c r="J173" s="191">
        <v>1350</v>
      </c>
      <c r="K173" s="211">
        <v>1350</v>
      </c>
      <c r="L173" s="211">
        <f t="shared" si="20"/>
        <v>0</v>
      </c>
      <c r="M173" s="209">
        <v>1350</v>
      </c>
      <c r="N173" s="219">
        <v>0</v>
      </c>
      <c r="O173" s="219">
        <f t="shared" si="21"/>
        <v>0</v>
      </c>
      <c r="P173" s="217">
        <f t="shared" si="22"/>
        <v>0</v>
      </c>
      <c r="Q173" s="214">
        <v>0</v>
      </c>
      <c r="R173" s="231">
        <f t="shared" si="23"/>
        <v>0</v>
      </c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</row>
    <row r="174" spans="1:32" ht="57" customHeight="1" x14ac:dyDescent="0.3">
      <c r="A174" s="182">
        <f t="shared" si="24"/>
        <v>76</v>
      </c>
      <c r="B174" s="187" t="s">
        <v>1217</v>
      </c>
      <c r="C174" s="182" t="s">
        <v>405</v>
      </c>
      <c r="D174" s="182" t="s">
        <v>1629</v>
      </c>
      <c r="E174" s="182" t="s">
        <v>1651</v>
      </c>
      <c r="F174" s="181"/>
      <c r="G174" s="183">
        <f t="shared" si="18"/>
        <v>9690</v>
      </c>
      <c r="H174" s="181">
        <v>9690</v>
      </c>
      <c r="I174" s="183">
        <f t="shared" si="19"/>
        <v>0</v>
      </c>
      <c r="J174" s="191">
        <v>9690</v>
      </c>
      <c r="K174" s="211">
        <v>8010</v>
      </c>
      <c r="L174" s="211">
        <f t="shared" si="20"/>
        <v>0</v>
      </c>
      <c r="M174" s="209">
        <v>8010</v>
      </c>
      <c r="N174" s="219">
        <v>1680</v>
      </c>
      <c r="O174" s="219">
        <f t="shared" si="21"/>
        <v>0</v>
      </c>
      <c r="P174" s="217">
        <f t="shared" si="22"/>
        <v>1680</v>
      </c>
      <c r="Q174" s="214">
        <v>0</v>
      </c>
      <c r="R174" s="231">
        <f t="shared" si="23"/>
        <v>0</v>
      </c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</row>
    <row r="175" spans="1:32" ht="57" customHeight="1" x14ac:dyDescent="0.3">
      <c r="A175" s="182">
        <f t="shared" si="24"/>
        <v>77</v>
      </c>
      <c r="B175" s="182" t="s">
        <v>1593</v>
      </c>
      <c r="C175" s="182" t="s">
        <v>405</v>
      </c>
      <c r="D175" s="182" t="s">
        <v>1629</v>
      </c>
      <c r="E175" s="182" t="s">
        <v>1651</v>
      </c>
      <c r="F175" s="182"/>
      <c r="G175" s="183">
        <f t="shared" si="18"/>
        <v>26065</v>
      </c>
      <c r="H175" s="182">
        <v>26065</v>
      </c>
      <c r="I175" s="183">
        <f t="shared" si="19"/>
        <v>0</v>
      </c>
      <c r="J175" s="184">
        <v>26065</v>
      </c>
      <c r="K175" s="211">
        <v>23940</v>
      </c>
      <c r="L175" s="211">
        <f t="shared" si="20"/>
        <v>0</v>
      </c>
      <c r="M175" s="205">
        <v>23940</v>
      </c>
      <c r="N175" s="219">
        <v>2125</v>
      </c>
      <c r="O175" s="219">
        <f t="shared" si="21"/>
        <v>0</v>
      </c>
      <c r="P175" s="217">
        <f t="shared" si="22"/>
        <v>2125</v>
      </c>
      <c r="Q175" s="214">
        <v>0</v>
      </c>
      <c r="R175" s="231">
        <f t="shared" si="23"/>
        <v>0</v>
      </c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</row>
    <row r="176" spans="1:32" ht="75" customHeight="1" x14ac:dyDescent="0.3">
      <c r="A176" s="177" t="s">
        <v>1652</v>
      </c>
      <c r="B176" s="178"/>
      <c r="C176" s="179"/>
      <c r="D176" s="179"/>
      <c r="E176" s="201"/>
      <c r="F176" s="201"/>
      <c r="G176" s="203">
        <f t="shared" si="18"/>
        <v>0</v>
      </c>
      <c r="H176" s="201"/>
      <c r="I176" s="203">
        <f t="shared" si="19"/>
        <v>0</v>
      </c>
      <c r="J176" s="201"/>
      <c r="K176" s="202"/>
      <c r="L176" s="202">
        <f t="shared" si="20"/>
        <v>0</v>
      </c>
      <c r="M176" s="201"/>
      <c r="N176" s="202">
        <v>0</v>
      </c>
      <c r="O176" s="202">
        <f t="shared" si="21"/>
        <v>0</v>
      </c>
      <c r="P176" s="202">
        <f t="shared" si="22"/>
        <v>0</v>
      </c>
      <c r="Q176" s="201"/>
      <c r="R176" s="231">
        <f t="shared" si="23"/>
        <v>0</v>
      </c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</row>
    <row r="177" spans="1:32" ht="57" customHeight="1" x14ac:dyDescent="0.3">
      <c r="A177" s="182">
        <v>1</v>
      </c>
      <c r="B177" s="185" t="s">
        <v>1217</v>
      </c>
      <c r="C177" s="182" t="s">
        <v>14</v>
      </c>
      <c r="D177" s="182" t="s">
        <v>14</v>
      </c>
      <c r="E177" s="182" t="s">
        <v>1653</v>
      </c>
      <c r="F177" s="181">
        <v>91</v>
      </c>
      <c r="G177" s="183">
        <f t="shared" si="18"/>
        <v>372603</v>
      </c>
      <c r="H177" s="181">
        <v>372603</v>
      </c>
      <c r="I177" s="183">
        <f t="shared" si="19"/>
        <v>0</v>
      </c>
      <c r="J177" s="191">
        <v>372603</v>
      </c>
      <c r="K177" s="211">
        <v>372503</v>
      </c>
      <c r="L177" s="211">
        <f t="shared" si="20"/>
        <v>0</v>
      </c>
      <c r="M177" s="205">
        <v>372503</v>
      </c>
      <c r="N177" s="219">
        <v>100</v>
      </c>
      <c r="O177" s="219">
        <f t="shared" si="21"/>
        <v>0</v>
      </c>
      <c r="P177" s="217">
        <f t="shared" si="22"/>
        <v>100</v>
      </c>
      <c r="Q177" s="215"/>
      <c r="R177" s="231">
        <f t="shared" si="23"/>
        <v>0</v>
      </c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</row>
    <row r="178" spans="1:32" ht="57" customHeight="1" x14ac:dyDescent="0.3">
      <c r="A178" s="182">
        <v>2</v>
      </c>
      <c r="B178" s="185" t="s">
        <v>1593</v>
      </c>
      <c r="C178" s="182" t="s">
        <v>14</v>
      </c>
      <c r="D178" s="182" t="s">
        <v>14</v>
      </c>
      <c r="E178" s="182" t="s">
        <v>14</v>
      </c>
      <c r="F178" s="181">
        <v>80</v>
      </c>
      <c r="G178" s="183">
        <f t="shared" si="18"/>
        <v>645190</v>
      </c>
      <c r="H178" s="181">
        <v>646190</v>
      </c>
      <c r="I178" s="183">
        <f t="shared" si="19"/>
        <v>0</v>
      </c>
      <c r="J178" s="191">
        <v>646190</v>
      </c>
      <c r="K178" s="211">
        <v>645190</v>
      </c>
      <c r="L178" s="211">
        <f t="shared" si="20"/>
        <v>0</v>
      </c>
      <c r="M178" s="205">
        <v>645190</v>
      </c>
      <c r="N178" s="219">
        <v>1000</v>
      </c>
      <c r="O178" s="219">
        <f t="shared" si="21"/>
        <v>0</v>
      </c>
      <c r="P178" s="217">
        <f t="shared" si="22"/>
        <v>1000</v>
      </c>
      <c r="Q178" s="215">
        <v>1000</v>
      </c>
      <c r="R178" s="231">
        <f t="shared" si="23"/>
        <v>0</v>
      </c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</row>
    <row r="179" spans="1:32" ht="57" customHeight="1" x14ac:dyDescent="0.3">
      <c r="A179" s="182">
        <v>3</v>
      </c>
      <c r="B179" s="185" t="s">
        <v>1655</v>
      </c>
      <c r="C179" s="182" t="s">
        <v>14</v>
      </c>
      <c r="D179" s="182" t="s">
        <v>14</v>
      </c>
      <c r="E179" s="182" t="s">
        <v>1293</v>
      </c>
      <c r="F179" s="181"/>
      <c r="G179" s="183">
        <f t="shared" si="18"/>
        <v>16490</v>
      </c>
      <c r="H179" s="181">
        <v>16490</v>
      </c>
      <c r="I179" s="183">
        <f>J179-H179</f>
        <v>0</v>
      </c>
      <c r="J179" s="191">
        <v>16490</v>
      </c>
      <c r="K179" s="211">
        <v>16490</v>
      </c>
      <c r="L179" s="211">
        <f t="shared" si="20"/>
        <v>0</v>
      </c>
      <c r="M179" s="205">
        <v>16490</v>
      </c>
      <c r="N179" s="219">
        <v>0</v>
      </c>
      <c r="O179" s="219">
        <f t="shared" si="21"/>
        <v>0</v>
      </c>
      <c r="P179" s="217">
        <f t="shared" si="22"/>
        <v>0</v>
      </c>
      <c r="Q179" s="215">
        <v>0</v>
      </c>
      <c r="R179" s="231">
        <f t="shared" si="23"/>
        <v>0</v>
      </c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</row>
    <row r="180" spans="1:32" ht="57" customHeight="1" x14ac:dyDescent="0.3">
      <c r="A180" s="182">
        <v>4</v>
      </c>
      <c r="B180" s="185" t="s">
        <v>1655</v>
      </c>
      <c r="C180" s="182" t="s">
        <v>14</v>
      </c>
      <c r="D180" s="182" t="s">
        <v>14</v>
      </c>
      <c r="E180" s="182" t="s">
        <v>1243</v>
      </c>
      <c r="F180" s="181"/>
      <c r="G180" s="183">
        <f t="shared" ref="G180:G193" si="25">H180-Q180</f>
        <v>551531</v>
      </c>
      <c r="H180" s="181">
        <v>551531</v>
      </c>
      <c r="I180" s="183">
        <f t="shared" si="19"/>
        <v>0</v>
      </c>
      <c r="J180" s="191">
        <v>551531</v>
      </c>
      <c r="K180" s="211">
        <v>551531</v>
      </c>
      <c r="L180" s="211">
        <f t="shared" si="20"/>
        <v>0</v>
      </c>
      <c r="M180" s="205">
        <v>551531</v>
      </c>
      <c r="N180" s="219">
        <v>0</v>
      </c>
      <c r="O180" s="219">
        <f t="shared" si="21"/>
        <v>0</v>
      </c>
      <c r="P180" s="217">
        <f t="shared" si="22"/>
        <v>0</v>
      </c>
      <c r="Q180" s="215">
        <v>0</v>
      </c>
      <c r="R180" s="231">
        <f t="shared" si="23"/>
        <v>0</v>
      </c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</row>
    <row r="181" spans="1:32" ht="57" customHeight="1" x14ac:dyDescent="0.3">
      <c r="A181" s="182">
        <v>5</v>
      </c>
      <c r="B181" s="185" t="s">
        <v>1217</v>
      </c>
      <c r="C181" s="182" t="s">
        <v>14</v>
      </c>
      <c r="D181" s="182" t="s">
        <v>14</v>
      </c>
      <c r="E181" s="182" t="s">
        <v>1243</v>
      </c>
      <c r="F181" s="181"/>
      <c r="G181" s="183">
        <f t="shared" si="25"/>
        <v>120</v>
      </c>
      <c r="H181" s="181">
        <v>120</v>
      </c>
      <c r="I181" s="183">
        <f t="shared" si="19"/>
        <v>0</v>
      </c>
      <c r="J181" s="191">
        <v>120</v>
      </c>
      <c r="K181" s="211">
        <v>120</v>
      </c>
      <c r="L181" s="211">
        <f t="shared" si="20"/>
        <v>0</v>
      </c>
      <c r="M181" s="205">
        <v>120</v>
      </c>
      <c r="N181" s="219">
        <v>0</v>
      </c>
      <c r="O181" s="219">
        <f t="shared" si="21"/>
        <v>0</v>
      </c>
      <c r="P181" s="217">
        <f t="shared" si="22"/>
        <v>0</v>
      </c>
      <c r="Q181" s="215"/>
      <c r="R181" s="231">
        <f t="shared" si="23"/>
        <v>0</v>
      </c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</row>
    <row r="182" spans="1:32" ht="57" customHeight="1" x14ac:dyDescent="0.3">
      <c r="A182" s="182">
        <v>6</v>
      </c>
      <c r="B182" s="188" t="s">
        <v>1593</v>
      </c>
      <c r="C182" s="182" t="s">
        <v>14</v>
      </c>
      <c r="D182" s="182" t="s">
        <v>14</v>
      </c>
      <c r="E182" s="182" t="s">
        <v>14</v>
      </c>
      <c r="F182" s="182"/>
      <c r="G182" s="183">
        <f t="shared" si="25"/>
        <v>31060</v>
      </c>
      <c r="H182" s="182">
        <v>31060</v>
      </c>
      <c r="I182" s="183">
        <f t="shared" si="19"/>
        <v>0</v>
      </c>
      <c r="J182" s="184">
        <v>31060</v>
      </c>
      <c r="K182" s="211">
        <v>31060</v>
      </c>
      <c r="L182" s="211">
        <f t="shared" si="20"/>
        <v>0</v>
      </c>
      <c r="M182" s="205">
        <v>31060</v>
      </c>
      <c r="N182" s="219">
        <v>0</v>
      </c>
      <c r="O182" s="219">
        <f t="shared" si="21"/>
        <v>0</v>
      </c>
      <c r="P182" s="217">
        <f t="shared" si="22"/>
        <v>0</v>
      </c>
      <c r="Q182" s="215">
        <v>0</v>
      </c>
      <c r="R182" s="231">
        <f t="shared" si="23"/>
        <v>0</v>
      </c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</row>
    <row r="183" spans="1:32" ht="57" customHeight="1" x14ac:dyDescent="0.3">
      <c r="A183" s="182">
        <v>7</v>
      </c>
      <c r="B183" s="188" t="s">
        <v>1593</v>
      </c>
      <c r="C183" s="182" t="s">
        <v>1656</v>
      </c>
      <c r="D183" s="182" t="s">
        <v>1656</v>
      </c>
      <c r="E183" s="182" t="s">
        <v>1656</v>
      </c>
      <c r="F183" s="182">
        <v>72</v>
      </c>
      <c r="G183" s="183">
        <f t="shared" si="25"/>
        <v>2175971</v>
      </c>
      <c r="H183" s="182">
        <v>2175971</v>
      </c>
      <c r="I183" s="183">
        <f t="shared" si="19"/>
        <v>0</v>
      </c>
      <c r="J183" s="184">
        <v>2175971</v>
      </c>
      <c r="K183" s="211">
        <v>2175971</v>
      </c>
      <c r="L183" s="211">
        <f t="shared" si="20"/>
        <v>0</v>
      </c>
      <c r="M183" s="205">
        <v>2175971</v>
      </c>
      <c r="N183" s="219">
        <v>0</v>
      </c>
      <c r="O183" s="219">
        <f t="shared" si="21"/>
        <v>0</v>
      </c>
      <c r="P183" s="217">
        <f t="shared" si="22"/>
        <v>0</v>
      </c>
      <c r="Q183" s="215">
        <v>0</v>
      </c>
      <c r="R183" s="231">
        <f t="shared" si="23"/>
        <v>0</v>
      </c>
      <c r="S183" s="175"/>
      <c r="T183" s="175"/>
      <c r="U183" s="175"/>
      <c r="V183" s="175"/>
      <c r="W183" s="175"/>
      <c r="X183" s="175"/>
      <c r="Y183" s="175"/>
      <c r="Z183" s="175">
        <v>7.25</v>
      </c>
      <c r="AA183" s="175">
        <v>135</v>
      </c>
      <c r="AB183" s="175"/>
      <c r="AC183" s="175">
        <f>135*8.25</f>
        <v>1113.75</v>
      </c>
      <c r="AD183" s="175"/>
      <c r="AE183" s="175"/>
      <c r="AF183" s="175"/>
    </row>
    <row r="184" spans="1:32" ht="57" customHeight="1" x14ac:dyDescent="0.5">
      <c r="A184" s="182">
        <v>8</v>
      </c>
      <c r="B184" s="188" t="s">
        <v>900</v>
      </c>
      <c r="C184" s="192" t="s">
        <v>14</v>
      </c>
      <c r="D184" s="192" t="s">
        <v>14</v>
      </c>
      <c r="E184" s="192" t="s">
        <v>14</v>
      </c>
      <c r="F184" s="192"/>
      <c r="G184" s="183">
        <f t="shared" si="25"/>
        <v>28001</v>
      </c>
      <c r="H184" s="192">
        <v>28001</v>
      </c>
      <c r="I184" s="183">
        <f t="shared" si="19"/>
        <v>0</v>
      </c>
      <c r="J184" s="184">
        <v>28001</v>
      </c>
      <c r="K184" s="211">
        <v>28001</v>
      </c>
      <c r="L184" s="211">
        <f t="shared" si="20"/>
        <v>0</v>
      </c>
      <c r="M184" s="205">
        <v>28001</v>
      </c>
      <c r="N184" s="219">
        <v>0</v>
      </c>
      <c r="O184" s="219">
        <f t="shared" si="21"/>
        <v>0</v>
      </c>
      <c r="P184" s="217">
        <f t="shared" si="22"/>
        <v>0</v>
      </c>
      <c r="Q184" s="215">
        <v>0</v>
      </c>
      <c r="R184" s="231">
        <f t="shared" si="23"/>
        <v>0</v>
      </c>
      <c r="S184" s="175"/>
      <c r="T184" s="175"/>
      <c r="U184" s="175"/>
      <c r="V184" s="175"/>
      <c r="W184" s="175"/>
      <c r="X184" s="175"/>
      <c r="Y184" s="175"/>
      <c r="Z184" s="175">
        <v>8.25</v>
      </c>
      <c r="AA184" s="346">
        <f>Z184*AA183/Z183</f>
        <v>153.62068965517241</v>
      </c>
      <c r="AB184" s="175"/>
      <c r="AC184" s="347">
        <f>AC183/7.25</f>
        <v>153.62068965517241</v>
      </c>
      <c r="AD184" s="175"/>
      <c r="AE184" s="175"/>
      <c r="AF184" s="175"/>
    </row>
    <row r="185" spans="1:32" ht="74.25" customHeight="1" x14ac:dyDescent="0.6">
      <c r="A185" s="182">
        <v>9</v>
      </c>
      <c r="B185" s="193" t="s">
        <v>1657</v>
      </c>
      <c r="C185" s="192" t="s">
        <v>14</v>
      </c>
      <c r="D185" s="192" t="s">
        <v>14</v>
      </c>
      <c r="E185" s="192" t="s">
        <v>14</v>
      </c>
      <c r="F185" s="192"/>
      <c r="G185" s="183">
        <f t="shared" si="25"/>
        <v>59400</v>
      </c>
      <c r="H185" s="192">
        <v>59400</v>
      </c>
      <c r="I185" s="183">
        <f t="shared" si="19"/>
        <v>0</v>
      </c>
      <c r="J185" s="184">
        <v>59400</v>
      </c>
      <c r="K185" s="211">
        <v>59400</v>
      </c>
      <c r="L185" s="211">
        <f t="shared" si="20"/>
        <v>0</v>
      </c>
      <c r="M185" s="205">
        <v>59400</v>
      </c>
      <c r="N185" s="219">
        <v>0</v>
      </c>
      <c r="O185" s="219">
        <f t="shared" si="21"/>
        <v>0</v>
      </c>
      <c r="P185" s="217">
        <f t="shared" si="22"/>
        <v>0</v>
      </c>
      <c r="Q185" s="215">
        <v>0</v>
      </c>
      <c r="R185" s="231">
        <f t="shared" si="23"/>
        <v>0</v>
      </c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348">
        <f>5*8.25/7.25</f>
        <v>5.6896551724137927</v>
      </c>
      <c r="AD185" s="175"/>
      <c r="AE185" s="175"/>
      <c r="AF185" s="175"/>
    </row>
    <row r="186" spans="1:32" ht="80.25" customHeight="1" x14ac:dyDescent="0.3">
      <c r="A186" s="177" t="s">
        <v>1658</v>
      </c>
      <c r="B186" s="178"/>
      <c r="C186" s="179"/>
      <c r="D186" s="179"/>
      <c r="E186" s="201"/>
      <c r="F186" s="201"/>
      <c r="G186" s="203">
        <f t="shared" si="25"/>
        <v>0</v>
      </c>
      <c r="H186" s="201"/>
      <c r="I186" s="203">
        <f t="shared" si="19"/>
        <v>0</v>
      </c>
      <c r="J186" s="201"/>
      <c r="K186" s="202"/>
      <c r="L186" s="202">
        <f t="shared" si="20"/>
        <v>0</v>
      </c>
      <c r="M186" s="201"/>
      <c r="N186" s="202">
        <v>0</v>
      </c>
      <c r="O186" s="202">
        <f t="shared" si="21"/>
        <v>0</v>
      </c>
      <c r="P186" s="202">
        <f t="shared" si="22"/>
        <v>0</v>
      </c>
      <c r="Q186" s="201"/>
      <c r="R186" s="231">
        <f t="shared" si="23"/>
        <v>0</v>
      </c>
    </row>
    <row r="187" spans="1:32" ht="57" customHeight="1" x14ac:dyDescent="0.3">
      <c r="A187" s="182">
        <v>1</v>
      </c>
      <c r="B187" s="182" t="s">
        <v>1217</v>
      </c>
      <c r="C187" s="182" t="s">
        <v>405</v>
      </c>
      <c r="D187" s="182" t="s">
        <v>1608</v>
      </c>
      <c r="E187" s="182" t="s">
        <v>1053</v>
      </c>
      <c r="F187" s="182">
        <v>42</v>
      </c>
      <c r="G187" s="183">
        <f t="shared" si="25"/>
        <v>251880</v>
      </c>
      <c r="H187" s="182">
        <v>251880</v>
      </c>
      <c r="I187" s="183">
        <f>J187-H187</f>
        <v>0</v>
      </c>
      <c r="J187" s="184">
        <v>251880</v>
      </c>
      <c r="K187" s="211">
        <v>232620</v>
      </c>
      <c r="L187" s="211">
        <f t="shared" si="20"/>
        <v>0</v>
      </c>
      <c r="M187" s="205">
        <v>232620</v>
      </c>
      <c r="N187" s="219">
        <v>19260</v>
      </c>
      <c r="O187" s="219">
        <f t="shared" si="21"/>
        <v>0</v>
      </c>
      <c r="P187" s="217">
        <f t="shared" si="22"/>
        <v>19260</v>
      </c>
      <c r="Q187" s="214">
        <v>0</v>
      </c>
      <c r="R187" s="231">
        <f t="shared" si="23"/>
        <v>0</v>
      </c>
    </row>
    <row r="188" spans="1:32" ht="57" customHeight="1" x14ac:dyDescent="0.3">
      <c r="A188" s="182">
        <v>2</v>
      </c>
      <c r="B188" s="182" t="s">
        <v>1593</v>
      </c>
      <c r="C188" s="182" t="s">
        <v>405</v>
      </c>
      <c r="D188" s="182" t="s">
        <v>1608</v>
      </c>
      <c r="E188" s="182" t="s">
        <v>1053</v>
      </c>
      <c r="F188" s="182">
        <v>27</v>
      </c>
      <c r="G188" s="183">
        <f t="shared" si="25"/>
        <v>489424</v>
      </c>
      <c r="H188" s="182">
        <v>489424</v>
      </c>
      <c r="I188" s="183">
        <f>J188-H188</f>
        <v>0</v>
      </c>
      <c r="J188" s="184">
        <v>489424</v>
      </c>
      <c r="K188" s="211">
        <v>484624</v>
      </c>
      <c r="L188" s="211">
        <f t="shared" si="20"/>
        <v>0</v>
      </c>
      <c r="M188" s="205">
        <f>1200+483424</f>
        <v>484624</v>
      </c>
      <c r="N188" s="219">
        <v>4800</v>
      </c>
      <c r="O188" s="219">
        <f t="shared" si="21"/>
        <v>0</v>
      </c>
      <c r="P188" s="217">
        <f t="shared" si="22"/>
        <v>4800</v>
      </c>
      <c r="Q188" s="214">
        <v>0</v>
      </c>
      <c r="R188" s="231">
        <f t="shared" si="23"/>
        <v>0</v>
      </c>
    </row>
    <row r="189" spans="1:32" ht="57" customHeight="1" x14ac:dyDescent="0.3">
      <c r="A189" s="182">
        <v>3</v>
      </c>
      <c r="B189" s="182" t="s">
        <v>1593</v>
      </c>
      <c r="C189" s="182" t="s">
        <v>405</v>
      </c>
      <c r="D189" s="182" t="s">
        <v>1608</v>
      </c>
      <c r="E189" s="182" t="s">
        <v>1293</v>
      </c>
      <c r="F189" s="182">
        <v>44</v>
      </c>
      <c r="G189" s="183">
        <f t="shared" si="25"/>
        <v>622690</v>
      </c>
      <c r="H189" s="182">
        <v>622690</v>
      </c>
      <c r="I189" s="183">
        <f>J189-H189</f>
        <v>0</v>
      </c>
      <c r="J189" s="184">
        <v>622690</v>
      </c>
      <c r="K189" s="211">
        <v>598990</v>
      </c>
      <c r="L189" s="211">
        <f t="shared" si="20"/>
        <v>0</v>
      </c>
      <c r="M189" s="205">
        <v>598990</v>
      </c>
      <c r="N189" s="219">
        <v>23700</v>
      </c>
      <c r="O189" s="219">
        <f t="shared" si="21"/>
        <v>0</v>
      </c>
      <c r="P189" s="217">
        <f t="shared" si="22"/>
        <v>23700</v>
      </c>
      <c r="Q189" s="214">
        <v>0</v>
      </c>
      <c r="R189" s="231">
        <f t="shared" si="23"/>
        <v>0</v>
      </c>
    </row>
    <row r="190" spans="1:32" ht="57" customHeight="1" x14ac:dyDescent="0.3">
      <c r="A190" s="182">
        <v>4</v>
      </c>
      <c r="B190" s="182" t="s">
        <v>1217</v>
      </c>
      <c r="C190" s="182" t="s">
        <v>405</v>
      </c>
      <c r="D190" s="182" t="s">
        <v>1608</v>
      </c>
      <c r="E190" s="182" t="s">
        <v>1293</v>
      </c>
      <c r="F190" s="182">
        <v>35</v>
      </c>
      <c r="G190" s="183">
        <f t="shared" si="25"/>
        <v>408470</v>
      </c>
      <c r="H190" s="182">
        <v>408470</v>
      </c>
      <c r="I190" s="183">
        <f>J190-H190</f>
        <v>0</v>
      </c>
      <c r="J190" s="184">
        <v>408470</v>
      </c>
      <c r="K190" s="211">
        <v>378660</v>
      </c>
      <c r="L190" s="211">
        <f t="shared" si="20"/>
        <v>0</v>
      </c>
      <c r="M190" s="205">
        <v>378660</v>
      </c>
      <c r="N190" s="219">
        <v>29810</v>
      </c>
      <c r="O190" s="219">
        <f t="shared" si="21"/>
        <v>0</v>
      </c>
      <c r="P190" s="217">
        <f t="shared" si="22"/>
        <v>29810</v>
      </c>
      <c r="Q190" s="214">
        <v>0</v>
      </c>
      <c r="R190" s="231">
        <f t="shared" si="23"/>
        <v>0</v>
      </c>
    </row>
    <row r="191" spans="1:32" ht="57" customHeight="1" x14ac:dyDescent="0.3">
      <c r="A191" s="194"/>
      <c r="B191" s="195"/>
      <c r="C191" s="196"/>
      <c r="D191" s="196"/>
      <c r="E191" s="196"/>
      <c r="F191" s="196"/>
      <c r="G191" s="183">
        <f t="shared" si="25"/>
        <v>0</v>
      </c>
      <c r="H191" s="196"/>
      <c r="I191" s="183">
        <f t="shared" si="19"/>
        <v>0</v>
      </c>
      <c r="J191" s="197"/>
      <c r="K191" s="212"/>
      <c r="L191" s="212"/>
      <c r="M191" s="210"/>
      <c r="N191" s="220"/>
      <c r="O191" s="220"/>
      <c r="P191" s="218"/>
      <c r="Q191" s="216"/>
      <c r="R191" s="232"/>
    </row>
    <row r="192" spans="1:32" ht="57" customHeight="1" x14ac:dyDescent="0.3">
      <c r="A192" s="194"/>
      <c r="B192" s="195"/>
      <c r="C192" s="196"/>
      <c r="D192" s="196"/>
      <c r="E192" s="196"/>
      <c r="F192" s="196"/>
      <c r="G192" s="183">
        <f t="shared" si="25"/>
        <v>0</v>
      </c>
      <c r="H192" s="196"/>
      <c r="I192" s="183">
        <f t="shared" si="19"/>
        <v>0</v>
      </c>
      <c r="J192" s="197"/>
      <c r="K192" s="212"/>
      <c r="L192" s="212"/>
      <c r="M192" s="210"/>
      <c r="N192" s="220"/>
      <c r="O192" s="220"/>
      <c r="P192" s="218"/>
      <c r="Q192" s="216"/>
      <c r="R192" s="232"/>
    </row>
    <row r="193" spans="1:18" ht="57" customHeight="1" x14ac:dyDescent="0.3">
      <c r="A193" s="194"/>
      <c r="B193" s="196"/>
      <c r="C193" s="196"/>
      <c r="D193" s="196"/>
      <c r="E193" s="196"/>
      <c r="F193" s="196"/>
      <c r="G193" s="183">
        <f t="shared" si="25"/>
        <v>0</v>
      </c>
      <c r="H193" s="196"/>
      <c r="I193" s="183">
        <f t="shared" si="19"/>
        <v>0</v>
      </c>
      <c r="J193" s="197"/>
      <c r="K193" s="212"/>
      <c r="L193" s="212"/>
      <c r="M193" s="210"/>
      <c r="N193" s="220"/>
      <c r="O193" s="220"/>
      <c r="P193" s="218"/>
      <c r="Q193" s="216"/>
      <c r="R193" s="232"/>
    </row>
    <row r="194" spans="1:18" s="198" customFormat="1" ht="35.1" customHeight="1" x14ac:dyDescent="0.3">
      <c r="A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</row>
    <row r="195" spans="1:18" s="198" customFormat="1" ht="72" customHeight="1" x14ac:dyDescent="0.3">
      <c r="A195" s="176"/>
      <c r="D195" s="176"/>
      <c r="E195" s="367"/>
      <c r="F195" s="368"/>
      <c r="G195" s="367" t="s">
        <v>1659</v>
      </c>
      <c r="H195" s="368"/>
      <c r="I195" s="367" t="s">
        <v>1660</v>
      </c>
      <c r="J195" s="368"/>
      <c r="K195" s="367" t="s">
        <v>1661</v>
      </c>
      <c r="L195" s="368"/>
      <c r="M195" s="176"/>
      <c r="N195" s="176"/>
      <c r="O195" s="176"/>
      <c r="P195" s="176"/>
      <c r="Q195" s="176"/>
      <c r="R195" s="176"/>
    </row>
    <row r="196" spans="1:18" s="198" customFormat="1" ht="72" customHeight="1" x14ac:dyDescent="0.3">
      <c r="A196" s="176"/>
      <c r="D196" s="176"/>
      <c r="E196" s="371" t="s">
        <v>1217</v>
      </c>
      <c r="F196" s="372"/>
      <c r="G196" s="369">
        <f ca="1">SUMIF(B7:B192,E196,I7:I191)</f>
        <v>0</v>
      </c>
      <c r="H196" s="370"/>
      <c r="I196" s="369">
        <f ca="1">SUMIF(B7:B191,E196,L7:L190)</f>
        <v>0</v>
      </c>
      <c r="J196" s="370"/>
      <c r="K196" s="369">
        <f ca="1">G196-I196</f>
        <v>0</v>
      </c>
      <c r="L196" s="370"/>
      <c r="M196" s="176"/>
      <c r="N196" s="176"/>
      <c r="O196" s="176"/>
      <c r="P196" s="176"/>
      <c r="Q196" s="176"/>
      <c r="R196" s="176"/>
    </row>
    <row r="197" spans="1:18" s="198" customFormat="1" ht="72" customHeight="1" x14ac:dyDescent="0.3">
      <c r="A197" s="176"/>
      <c r="D197" s="176"/>
      <c r="E197" s="367" t="s">
        <v>1593</v>
      </c>
      <c r="F197" s="368"/>
      <c r="G197" s="369">
        <f>SUMIF(B7:B190,E197,I7:I190)</f>
        <v>0</v>
      </c>
      <c r="H197" s="370"/>
      <c r="I197" s="369">
        <f ca="1">SUMIF(B8:B192,E197,L8:L191)</f>
        <v>0</v>
      </c>
      <c r="J197" s="370"/>
      <c r="K197" s="369">
        <f ca="1">G197-I197</f>
        <v>0</v>
      </c>
      <c r="L197" s="370"/>
      <c r="M197" s="176"/>
      <c r="N197" s="176"/>
      <c r="O197" s="176"/>
      <c r="P197" s="176"/>
      <c r="Q197" s="176"/>
      <c r="R197" s="176"/>
    </row>
    <row r="198" spans="1:18" s="198" customFormat="1" ht="72" customHeight="1" x14ac:dyDescent="0.3">
      <c r="A198" s="176"/>
      <c r="D198" s="176"/>
      <c r="E198" s="367" t="s">
        <v>1662</v>
      </c>
      <c r="F198" s="368"/>
      <c r="G198" s="369">
        <f ca="1">SUM(G196:H197)</f>
        <v>0</v>
      </c>
      <c r="H198" s="370"/>
      <c r="I198" s="369">
        <f ca="1">SUM(I196:J197)</f>
        <v>0</v>
      </c>
      <c r="J198" s="370"/>
      <c r="K198" s="369">
        <f ca="1">G198-I198</f>
        <v>0</v>
      </c>
      <c r="L198" s="370"/>
      <c r="M198" s="176"/>
      <c r="N198" s="176"/>
      <c r="O198" s="176"/>
      <c r="P198" s="176"/>
      <c r="Q198" s="176"/>
      <c r="R198" s="176"/>
    </row>
    <row r="199" spans="1:18" s="198" customFormat="1" ht="35.1" customHeight="1" x14ac:dyDescent="0.3">
      <c r="A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</row>
    <row r="200" spans="1:18" s="198" customFormat="1" ht="35.1" customHeight="1" x14ac:dyDescent="0.3">
      <c r="A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</row>
    <row r="201" spans="1:18" s="198" customFormat="1" ht="35.1" customHeight="1" x14ac:dyDescent="0.3">
      <c r="A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</row>
    <row r="202" spans="1:18" s="198" customFormat="1" ht="35.1" customHeight="1" x14ac:dyDescent="0.3">
      <c r="A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</row>
    <row r="203" spans="1:18" s="198" customFormat="1" ht="35.1" customHeight="1" x14ac:dyDescent="0.3">
      <c r="A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</row>
    <row r="204" spans="1:18" s="198" customFormat="1" ht="35.1" customHeight="1" x14ac:dyDescent="0.3">
      <c r="A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</row>
    <row r="205" spans="1:18" s="198" customFormat="1" ht="35.1" customHeight="1" x14ac:dyDescent="0.3">
      <c r="A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</row>
    <row r="206" spans="1:18" s="198" customFormat="1" ht="35.1" customHeight="1" x14ac:dyDescent="0.3">
      <c r="A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</row>
    <row r="207" spans="1:18" s="198" customFormat="1" ht="35.1" customHeight="1" x14ac:dyDescent="0.3">
      <c r="A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</row>
    <row r="208" spans="1:18" s="198" customFormat="1" ht="35.1" customHeight="1" x14ac:dyDescent="0.3">
      <c r="A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</row>
    <row r="209" spans="1:18" s="198" customFormat="1" ht="35.1" customHeight="1" x14ac:dyDescent="0.3">
      <c r="A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</row>
    <row r="210" spans="1:18" s="198" customFormat="1" ht="35.1" customHeight="1" x14ac:dyDescent="0.3">
      <c r="A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</row>
    <row r="211" spans="1:18" s="198" customFormat="1" ht="35.1" customHeight="1" x14ac:dyDescent="0.3">
      <c r="A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</row>
    <row r="212" spans="1:18" s="198" customFormat="1" ht="35.1" customHeight="1" x14ac:dyDescent="0.3">
      <c r="A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</row>
    <row r="213" spans="1:18" s="198" customFormat="1" ht="35.1" customHeight="1" x14ac:dyDescent="0.3">
      <c r="A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</row>
    <row r="214" spans="1:18" s="198" customFormat="1" ht="35.1" customHeight="1" x14ac:dyDescent="0.3">
      <c r="A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</row>
    <row r="215" spans="1:18" s="198" customFormat="1" ht="35.1" customHeight="1" x14ac:dyDescent="0.3">
      <c r="A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</row>
    <row r="216" spans="1:18" s="198" customFormat="1" ht="35.1" customHeight="1" x14ac:dyDescent="0.3">
      <c r="A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</row>
    <row r="217" spans="1:18" s="198" customFormat="1" ht="35.1" customHeight="1" x14ac:dyDescent="0.3">
      <c r="A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</row>
    <row r="218" spans="1:18" s="198" customFormat="1" ht="35.1" customHeight="1" x14ac:dyDescent="0.3">
      <c r="A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</row>
    <row r="219" spans="1:18" s="198" customFormat="1" ht="35.1" customHeight="1" x14ac:dyDescent="0.3">
      <c r="A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</row>
    <row r="220" spans="1:18" s="198" customFormat="1" ht="35.1" customHeight="1" x14ac:dyDescent="0.3">
      <c r="A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</row>
    <row r="221" spans="1:18" s="198" customFormat="1" ht="35.1" customHeight="1" x14ac:dyDescent="0.3">
      <c r="A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</row>
    <row r="222" spans="1:18" s="198" customFormat="1" ht="35.1" customHeight="1" x14ac:dyDescent="0.3">
      <c r="A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</row>
    <row r="223" spans="1:18" s="198" customFormat="1" ht="35.1" customHeight="1" x14ac:dyDescent="0.3">
      <c r="A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</row>
    <row r="224" spans="1:18" s="198" customFormat="1" ht="35.1" customHeight="1" x14ac:dyDescent="0.3">
      <c r="A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</row>
    <row r="225" spans="1:18" s="198" customFormat="1" ht="35.1" customHeight="1" x14ac:dyDescent="0.3">
      <c r="A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</row>
    <row r="226" spans="1:18" s="198" customFormat="1" ht="35.1" customHeight="1" x14ac:dyDescent="0.3">
      <c r="A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</row>
    <row r="227" spans="1:18" s="198" customFormat="1" ht="35.1" customHeight="1" x14ac:dyDescent="0.3">
      <c r="A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</row>
    <row r="228" spans="1:18" s="198" customFormat="1" ht="35.1" customHeight="1" x14ac:dyDescent="0.3">
      <c r="A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</row>
    <row r="229" spans="1:18" s="198" customFormat="1" ht="35.1" customHeight="1" x14ac:dyDescent="0.3">
      <c r="A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</row>
    <row r="230" spans="1:18" s="198" customFormat="1" ht="35.1" customHeight="1" x14ac:dyDescent="0.3">
      <c r="A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</row>
    <row r="231" spans="1:18" s="198" customFormat="1" ht="35.1" customHeight="1" x14ac:dyDescent="0.3">
      <c r="A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</row>
    <row r="232" spans="1:18" s="198" customFormat="1" ht="35.1" customHeight="1" x14ac:dyDescent="0.3">
      <c r="A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</row>
    <row r="233" spans="1:18" s="198" customFormat="1" ht="35.1" customHeight="1" x14ac:dyDescent="0.3">
      <c r="A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</row>
    <row r="234" spans="1:18" s="198" customFormat="1" ht="35.1" customHeight="1" x14ac:dyDescent="0.3">
      <c r="A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</row>
    <row r="235" spans="1:18" s="198" customFormat="1" ht="35.1" customHeight="1" x14ac:dyDescent="0.3">
      <c r="A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</row>
    <row r="236" spans="1:18" s="198" customFormat="1" ht="35.1" customHeight="1" x14ac:dyDescent="0.3">
      <c r="A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</row>
    <row r="237" spans="1:18" s="198" customFormat="1" ht="35.1" customHeight="1" x14ac:dyDescent="0.3">
      <c r="A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</row>
    <row r="238" spans="1:18" s="198" customFormat="1" ht="35.1" customHeight="1" x14ac:dyDescent="0.3">
      <c r="A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</row>
    <row r="239" spans="1:18" s="198" customFormat="1" ht="35.1" customHeight="1" x14ac:dyDescent="0.3">
      <c r="A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</row>
    <row r="240" spans="1:18" s="198" customFormat="1" ht="35.1" customHeight="1" x14ac:dyDescent="0.3">
      <c r="A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</row>
    <row r="241" spans="1:18" s="198" customFormat="1" ht="35.1" customHeight="1" x14ac:dyDescent="0.3">
      <c r="A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</row>
    <row r="242" spans="1:18" s="198" customFormat="1" ht="35.1" customHeight="1" x14ac:dyDescent="0.3">
      <c r="A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</row>
    <row r="243" spans="1:18" s="198" customFormat="1" ht="35.1" customHeight="1" x14ac:dyDescent="0.3">
      <c r="A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</row>
    <row r="244" spans="1:18" s="198" customFormat="1" ht="35.1" customHeight="1" x14ac:dyDescent="0.3">
      <c r="A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</row>
    <row r="245" spans="1:18" s="198" customFormat="1" ht="35.1" customHeight="1" x14ac:dyDescent="0.3">
      <c r="A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</row>
    <row r="246" spans="1:18" s="198" customFormat="1" ht="35.1" customHeight="1" x14ac:dyDescent="0.3">
      <c r="A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</row>
    <row r="247" spans="1:18" s="198" customFormat="1" ht="35.1" customHeight="1" x14ac:dyDescent="0.3">
      <c r="A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</row>
    <row r="248" spans="1:18" s="198" customFormat="1" ht="35.1" customHeight="1" x14ac:dyDescent="0.3">
      <c r="A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</row>
    <row r="249" spans="1:18" s="198" customFormat="1" ht="35.1" customHeight="1" x14ac:dyDescent="0.3">
      <c r="A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</row>
    <row r="250" spans="1:18" s="198" customFormat="1" ht="35.1" customHeight="1" x14ac:dyDescent="0.3">
      <c r="A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</row>
    <row r="251" spans="1:18" s="198" customFormat="1" ht="35.1" customHeight="1" x14ac:dyDescent="0.3">
      <c r="A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</row>
    <row r="252" spans="1:18" s="198" customFormat="1" ht="35.1" customHeight="1" x14ac:dyDescent="0.3">
      <c r="A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</row>
    <row r="253" spans="1:18" s="198" customFormat="1" ht="35.1" customHeight="1" x14ac:dyDescent="0.3">
      <c r="A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</row>
    <row r="254" spans="1:18" s="198" customFormat="1" ht="35.1" customHeight="1" x14ac:dyDescent="0.3">
      <c r="A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</row>
    <row r="255" spans="1:18" s="198" customFormat="1" ht="35.1" customHeight="1" x14ac:dyDescent="0.3">
      <c r="A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</row>
    <row r="256" spans="1:18" s="198" customFormat="1" ht="35.1" customHeight="1" x14ac:dyDescent="0.3">
      <c r="A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</row>
    <row r="257" spans="1:18" s="198" customFormat="1" ht="35.1" customHeight="1" x14ac:dyDescent="0.3">
      <c r="A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</row>
    <row r="258" spans="1:18" s="198" customFormat="1" ht="35.1" customHeight="1" x14ac:dyDescent="0.3">
      <c r="A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</row>
    <row r="259" spans="1:18" s="198" customFormat="1" ht="35.1" customHeight="1" x14ac:dyDescent="0.3">
      <c r="A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</row>
    <row r="260" spans="1:18" s="198" customFormat="1" ht="35.1" customHeight="1" x14ac:dyDescent="0.3">
      <c r="A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</row>
    <row r="261" spans="1:18" s="198" customFormat="1" ht="35.1" customHeight="1" x14ac:dyDescent="0.3">
      <c r="A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</row>
    <row r="262" spans="1:18" s="198" customFormat="1" ht="35.1" customHeight="1" x14ac:dyDescent="0.3">
      <c r="A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</row>
    <row r="263" spans="1:18" s="198" customFormat="1" ht="35.1" customHeight="1" x14ac:dyDescent="0.3">
      <c r="A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</row>
    <row r="264" spans="1:18" s="198" customFormat="1" ht="35.1" customHeight="1" x14ac:dyDescent="0.3">
      <c r="A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</row>
    <row r="265" spans="1:18" s="198" customFormat="1" ht="35.1" customHeight="1" x14ac:dyDescent="0.3">
      <c r="A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</row>
    <row r="266" spans="1:18" s="198" customFormat="1" ht="35.1" customHeight="1" x14ac:dyDescent="0.3">
      <c r="A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</row>
    <row r="267" spans="1:18" s="198" customFormat="1" ht="35.1" customHeight="1" x14ac:dyDescent="0.3">
      <c r="A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</row>
    <row r="268" spans="1:18" s="198" customFormat="1" ht="35.1" customHeight="1" x14ac:dyDescent="0.3">
      <c r="A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</row>
    <row r="269" spans="1:18" s="198" customFormat="1" ht="35.1" customHeight="1" x14ac:dyDescent="0.3">
      <c r="A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</row>
    <row r="270" spans="1:18" s="198" customFormat="1" ht="35.1" customHeight="1" x14ac:dyDescent="0.3">
      <c r="A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</row>
    <row r="271" spans="1:18" s="198" customFormat="1" ht="35.1" customHeight="1" x14ac:dyDescent="0.3">
      <c r="A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</row>
    <row r="272" spans="1:18" s="198" customFormat="1" ht="35.1" customHeight="1" x14ac:dyDescent="0.3">
      <c r="A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</row>
    <row r="273" spans="1:18" s="198" customFormat="1" ht="35.1" customHeight="1" x14ac:dyDescent="0.3">
      <c r="A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</row>
    <row r="274" spans="1:18" s="198" customFormat="1" ht="35.1" customHeight="1" x14ac:dyDescent="0.3">
      <c r="A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</row>
    <row r="275" spans="1:18" s="198" customFormat="1" ht="35.1" customHeight="1" x14ac:dyDescent="0.3">
      <c r="A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</row>
    <row r="276" spans="1:18" s="198" customFormat="1" ht="35.1" customHeight="1" x14ac:dyDescent="0.3">
      <c r="A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</row>
    <row r="277" spans="1:18" s="198" customFormat="1" ht="35.1" customHeight="1" x14ac:dyDescent="0.3">
      <c r="A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</row>
    <row r="278" spans="1:18" s="198" customFormat="1" ht="35.1" customHeight="1" x14ac:dyDescent="0.3">
      <c r="A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</row>
    <row r="279" spans="1:18" s="198" customFormat="1" ht="35.1" customHeight="1" x14ac:dyDescent="0.3">
      <c r="A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</row>
    <row r="280" spans="1:18" s="198" customFormat="1" ht="35.1" customHeight="1" x14ac:dyDescent="0.3">
      <c r="A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</row>
    <row r="281" spans="1:18" s="198" customFormat="1" ht="35.1" customHeight="1" x14ac:dyDescent="0.3">
      <c r="A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</row>
    <row r="282" spans="1:18" s="198" customFormat="1" ht="35.1" customHeight="1" x14ac:dyDescent="0.3">
      <c r="A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</row>
    <row r="283" spans="1:18" s="198" customFormat="1" ht="35.1" customHeight="1" x14ac:dyDescent="0.3">
      <c r="A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</row>
    <row r="284" spans="1:18" s="198" customFormat="1" ht="35.1" customHeight="1" x14ac:dyDescent="0.3">
      <c r="A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</row>
    <row r="285" spans="1:18" s="198" customFormat="1" ht="35.1" customHeight="1" x14ac:dyDescent="0.3">
      <c r="A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</row>
    <row r="286" spans="1:18" s="198" customFormat="1" ht="35.1" customHeight="1" x14ac:dyDescent="0.3">
      <c r="A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</row>
    <row r="287" spans="1:18" s="198" customFormat="1" ht="35.1" customHeight="1" x14ac:dyDescent="0.3">
      <c r="A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</row>
    <row r="288" spans="1:18" s="198" customFormat="1" ht="35.1" customHeight="1" x14ac:dyDescent="0.3">
      <c r="A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</row>
    <row r="289" spans="1:18" s="198" customFormat="1" ht="35.1" customHeight="1" x14ac:dyDescent="0.3">
      <c r="A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</row>
    <row r="290" spans="1:18" s="198" customFormat="1" ht="35.1" customHeight="1" x14ac:dyDescent="0.3">
      <c r="A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</row>
    <row r="291" spans="1:18" s="198" customFormat="1" ht="35.1" customHeight="1" x14ac:dyDescent="0.3">
      <c r="A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</row>
    <row r="292" spans="1:18" s="198" customFormat="1" ht="35.1" customHeight="1" x14ac:dyDescent="0.3">
      <c r="A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</row>
    <row r="293" spans="1:18" s="198" customFormat="1" ht="35.1" customHeight="1" x14ac:dyDescent="0.3">
      <c r="A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</row>
    <row r="294" spans="1:18" s="198" customFormat="1" ht="35.1" customHeight="1" x14ac:dyDescent="0.3">
      <c r="A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</row>
    <row r="295" spans="1:18" s="198" customFormat="1" ht="35.1" customHeight="1" x14ac:dyDescent="0.3">
      <c r="A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</row>
    <row r="296" spans="1:18" s="198" customFormat="1" x14ac:dyDescent="0.3">
      <c r="A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</row>
    <row r="297" spans="1:18" s="198" customFormat="1" x14ac:dyDescent="0.3">
      <c r="A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</row>
    <row r="298" spans="1:18" s="198" customFormat="1" x14ac:dyDescent="0.3">
      <c r="A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</row>
    <row r="299" spans="1:18" s="198" customFormat="1" x14ac:dyDescent="0.3">
      <c r="A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</row>
    <row r="300" spans="1:18" s="198" customFormat="1" x14ac:dyDescent="0.3">
      <c r="A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</row>
    <row r="301" spans="1:18" s="198" customFormat="1" x14ac:dyDescent="0.3">
      <c r="A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</row>
    <row r="302" spans="1:18" s="198" customFormat="1" x14ac:dyDescent="0.3">
      <c r="A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</row>
    <row r="303" spans="1:18" s="198" customFormat="1" x14ac:dyDescent="0.3">
      <c r="A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</row>
    <row r="304" spans="1:18" s="198" customFormat="1" x14ac:dyDescent="0.3">
      <c r="A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</row>
    <row r="305" spans="1:18" s="198" customFormat="1" x14ac:dyDescent="0.3">
      <c r="A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</row>
    <row r="306" spans="1:18" s="198" customFormat="1" x14ac:dyDescent="0.3">
      <c r="A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</row>
    <row r="307" spans="1:18" s="198" customFormat="1" x14ac:dyDescent="0.3">
      <c r="A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</row>
    <row r="308" spans="1:18" s="198" customFormat="1" x14ac:dyDescent="0.3">
      <c r="A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</row>
    <row r="309" spans="1:18" s="198" customFormat="1" x14ac:dyDescent="0.3">
      <c r="A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</row>
    <row r="310" spans="1:18" s="198" customFormat="1" x14ac:dyDescent="0.3">
      <c r="A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</row>
    <row r="311" spans="1:18" s="198" customFormat="1" x14ac:dyDescent="0.3">
      <c r="A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</row>
    <row r="312" spans="1:18" s="198" customFormat="1" x14ac:dyDescent="0.3">
      <c r="A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</row>
    <row r="313" spans="1:18" s="198" customFormat="1" x14ac:dyDescent="0.3">
      <c r="A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</row>
    <row r="314" spans="1:18" s="198" customFormat="1" x14ac:dyDescent="0.3">
      <c r="A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</row>
    <row r="315" spans="1:18" s="198" customFormat="1" x14ac:dyDescent="0.3">
      <c r="A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</row>
    <row r="316" spans="1:18" s="198" customFormat="1" x14ac:dyDescent="0.3">
      <c r="A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</row>
    <row r="317" spans="1:18" s="198" customFormat="1" x14ac:dyDescent="0.3">
      <c r="A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</row>
    <row r="318" spans="1:18" s="198" customFormat="1" x14ac:dyDescent="0.3">
      <c r="A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</row>
    <row r="319" spans="1:18" s="198" customFormat="1" x14ac:dyDescent="0.3">
      <c r="A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</row>
    <row r="320" spans="1:18" s="198" customFormat="1" x14ac:dyDescent="0.3">
      <c r="A320" s="176"/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</row>
    <row r="321" spans="1:18" s="198" customFormat="1" x14ac:dyDescent="0.3">
      <c r="A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</row>
    <row r="322" spans="1:18" s="198" customFormat="1" x14ac:dyDescent="0.3">
      <c r="A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</row>
    <row r="323" spans="1:18" s="198" customFormat="1" x14ac:dyDescent="0.3">
      <c r="A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</row>
    <row r="324" spans="1:18" s="198" customFormat="1" x14ac:dyDescent="0.3">
      <c r="A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</row>
    <row r="325" spans="1:18" s="198" customFormat="1" x14ac:dyDescent="0.3">
      <c r="A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</row>
    <row r="326" spans="1:18" s="198" customFormat="1" x14ac:dyDescent="0.3">
      <c r="A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</row>
    <row r="327" spans="1:18" s="198" customFormat="1" x14ac:dyDescent="0.3">
      <c r="A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</row>
    <row r="328" spans="1:18" s="198" customFormat="1" x14ac:dyDescent="0.3">
      <c r="A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</row>
    <row r="329" spans="1:18" s="198" customFormat="1" x14ac:dyDescent="0.3">
      <c r="A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</row>
    <row r="330" spans="1:18" s="198" customFormat="1" x14ac:dyDescent="0.3">
      <c r="A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</row>
    <row r="331" spans="1:18" s="198" customFormat="1" x14ac:dyDescent="0.3">
      <c r="A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</row>
    <row r="332" spans="1:18" s="198" customFormat="1" x14ac:dyDescent="0.3">
      <c r="A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</row>
    <row r="333" spans="1:18" s="198" customFormat="1" x14ac:dyDescent="0.3">
      <c r="A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</row>
    <row r="334" spans="1:18" s="198" customFormat="1" x14ac:dyDescent="0.3">
      <c r="A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</row>
    <row r="335" spans="1:18" s="198" customFormat="1" x14ac:dyDescent="0.3">
      <c r="A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</row>
    <row r="336" spans="1:18" s="198" customFormat="1" x14ac:dyDescent="0.3">
      <c r="A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</row>
    <row r="337" spans="1:18" s="198" customFormat="1" x14ac:dyDescent="0.3">
      <c r="A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</row>
    <row r="338" spans="1:18" s="198" customFormat="1" x14ac:dyDescent="0.3">
      <c r="A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</row>
    <row r="339" spans="1:18" s="198" customFormat="1" x14ac:dyDescent="0.3">
      <c r="A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</row>
    <row r="340" spans="1:18" s="198" customFormat="1" x14ac:dyDescent="0.3">
      <c r="A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</row>
    <row r="341" spans="1:18" s="198" customFormat="1" x14ac:dyDescent="0.3">
      <c r="A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</row>
    <row r="342" spans="1:18" s="198" customFormat="1" x14ac:dyDescent="0.3">
      <c r="A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</row>
    <row r="343" spans="1:18" s="198" customFormat="1" x14ac:dyDescent="0.3">
      <c r="A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</row>
    <row r="344" spans="1:18" s="198" customFormat="1" x14ac:dyDescent="0.3">
      <c r="A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</row>
    <row r="345" spans="1:18" s="198" customFormat="1" x14ac:dyDescent="0.3">
      <c r="A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</row>
    <row r="346" spans="1:18" s="198" customFormat="1" x14ac:dyDescent="0.3">
      <c r="A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</row>
    <row r="347" spans="1:18" s="198" customFormat="1" x14ac:dyDescent="0.3">
      <c r="A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</row>
    <row r="348" spans="1:18" s="198" customFormat="1" x14ac:dyDescent="0.3">
      <c r="A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</row>
    <row r="349" spans="1:18" s="198" customFormat="1" x14ac:dyDescent="0.3">
      <c r="A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</row>
    <row r="350" spans="1:18" s="198" customFormat="1" x14ac:dyDescent="0.3">
      <c r="A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</row>
    <row r="351" spans="1:18" s="198" customFormat="1" x14ac:dyDescent="0.3">
      <c r="A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</row>
    <row r="352" spans="1:18" s="198" customFormat="1" x14ac:dyDescent="0.3">
      <c r="A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</row>
    <row r="353" spans="1:18" s="198" customFormat="1" x14ac:dyDescent="0.3">
      <c r="A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</row>
    <row r="354" spans="1:18" s="198" customFormat="1" x14ac:dyDescent="0.3">
      <c r="A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</row>
    <row r="355" spans="1:18" s="198" customFormat="1" x14ac:dyDescent="0.3">
      <c r="A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</row>
    <row r="356" spans="1:18" s="198" customFormat="1" x14ac:dyDescent="0.3">
      <c r="A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</row>
    <row r="357" spans="1:18" s="198" customFormat="1" x14ac:dyDescent="0.3">
      <c r="A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</row>
    <row r="358" spans="1:18" s="198" customFormat="1" x14ac:dyDescent="0.3">
      <c r="A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</row>
    <row r="359" spans="1:18" s="198" customFormat="1" x14ac:dyDescent="0.3">
      <c r="A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</row>
    <row r="360" spans="1:18" s="198" customFormat="1" x14ac:dyDescent="0.3">
      <c r="A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</row>
    <row r="361" spans="1:18" s="198" customFormat="1" x14ac:dyDescent="0.3">
      <c r="A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</row>
    <row r="362" spans="1:18" s="198" customFormat="1" x14ac:dyDescent="0.3">
      <c r="A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</row>
    <row r="363" spans="1:18" s="198" customFormat="1" x14ac:dyDescent="0.3">
      <c r="A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</row>
    <row r="364" spans="1:18" s="198" customFormat="1" x14ac:dyDescent="0.3">
      <c r="A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</row>
    <row r="365" spans="1:18" s="198" customFormat="1" x14ac:dyDescent="0.3">
      <c r="A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</row>
    <row r="366" spans="1:18" s="198" customFormat="1" x14ac:dyDescent="0.3">
      <c r="A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</row>
    <row r="367" spans="1:18" s="198" customFormat="1" x14ac:dyDescent="0.3">
      <c r="A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</row>
    <row r="368" spans="1:18" s="198" customFormat="1" x14ac:dyDescent="0.3">
      <c r="A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</row>
    <row r="369" spans="1:18" s="198" customFormat="1" x14ac:dyDescent="0.3">
      <c r="A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</row>
    <row r="370" spans="1:18" s="198" customFormat="1" x14ac:dyDescent="0.3">
      <c r="A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</row>
    <row r="371" spans="1:18" s="198" customFormat="1" x14ac:dyDescent="0.3">
      <c r="A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</row>
    <row r="372" spans="1:18" s="198" customFormat="1" x14ac:dyDescent="0.3">
      <c r="A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</row>
    <row r="373" spans="1:18" s="198" customFormat="1" x14ac:dyDescent="0.3">
      <c r="A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</row>
    <row r="374" spans="1:18" s="198" customFormat="1" x14ac:dyDescent="0.3">
      <c r="A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</row>
    <row r="375" spans="1:18" s="198" customFormat="1" x14ac:dyDescent="0.3">
      <c r="A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</row>
    <row r="376" spans="1:18" s="198" customFormat="1" x14ac:dyDescent="0.3">
      <c r="A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</row>
    <row r="377" spans="1:18" s="198" customFormat="1" x14ac:dyDescent="0.3">
      <c r="A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</row>
    <row r="378" spans="1:18" s="198" customFormat="1" x14ac:dyDescent="0.3">
      <c r="A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</row>
    <row r="379" spans="1:18" s="198" customFormat="1" x14ac:dyDescent="0.3">
      <c r="A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</row>
    <row r="380" spans="1:18" s="198" customFormat="1" x14ac:dyDescent="0.3">
      <c r="A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</row>
    <row r="381" spans="1:18" s="198" customFormat="1" x14ac:dyDescent="0.3">
      <c r="A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</row>
    <row r="382" spans="1:18" s="198" customFormat="1" x14ac:dyDescent="0.3">
      <c r="A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</row>
    <row r="383" spans="1:18" s="198" customFormat="1" x14ac:dyDescent="0.3">
      <c r="A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</row>
    <row r="384" spans="1:18" s="198" customFormat="1" x14ac:dyDescent="0.3">
      <c r="A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</row>
    <row r="385" spans="1:18" s="198" customFormat="1" x14ac:dyDescent="0.3">
      <c r="A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</row>
    <row r="386" spans="1:18" s="198" customFormat="1" x14ac:dyDescent="0.3">
      <c r="A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</row>
    <row r="387" spans="1:18" s="198" customFormat="1" x14ac:dyDescent="0.3">
      <c r="A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</row>
    <row r="388" spans="1:18" s="198" customFormat="1" x14ac:dyDescent="0.3">
      <c r="A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</row>
    <row r="389" spans="1:18" s="198" customFormat="1" x14ac:dyDescent="0.3">
      <c r="A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</row>
    <row r="390" spans="1:18" s="198" customFormat="1" x14ac:dyDescent="0.3">
      <c r="A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</row>
    <row r="391" spans="1:18" s="198" customFormat="1" x14ac:dyDescent="0.3">
      <c r="A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</row>
    <row r="392" spans="1:18" s="198" customFormat="1" x14ac:dyDescent="0.3">
      <c r="A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</row>
    <row r="393" spans="1:18" s="198" customFormat="1" x14ac:dyDescent="0.3">
      <c r="A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</row>
    <row r="394" spans="1:18" s="198" customFormat="1" x14ac:dyDescent="0.3">
      <c r="A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</row>
    <row r="395" spans="1:18" s="198" customFormat="1" x14ac:dyDescent="0.3">
      <c r="A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</row>
    <row r="396" spans="1:18" s="198" customFormat="1" x14ac:dyDescent="0.3">
      <c r="A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</row>
    <row r="397" spans="1:18" s="198" customFormat="1" x14ac:dyDescent="0.3">
      <c r="A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</row>
    <row r="398" spans="1:18" s="198" customFormat="1" x14ac:dyDescent="0.3">
      <c r="A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</row>
    <row r="399" spans="1:18" s="198" customFormat="1" x14ac:dyDescent="0.3">
      <c r="A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</row>
    <row r="400" spans="1:18" s="198" customFormat="1" x14ac:dyDescent="0.3">
      <c r="A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</row>
    <row r="401" spans="1:18" s="198" customFormat="1" x14ac:dyDescent="0.3">
      <c r="A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</row>
    <row r="402" spans="1:18" s="198" customFormat="1" x14ac:dyDescent="0.3">
      <c r="A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</row>
    <row r="403" spans="1:18" s="198" customFormat="1" x14ac:dyDescent="0.3">
      <c r="A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</row>
    <row r="404" spans="1:18" s="198" customFormat="1" x14ac:dyDescent="0.3">
      <c r="A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</row>
    <row r="405" spans="1:18" s="198" customFormat="1" x14ac:dyDescent="0.3">
      <c r="A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</row>
    <row r="406" spans="1:18" s="198" customFormat="1" x14ac:dyDescent="0.3">
      <c r="A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</row>
    <row r="407" spans="1:18" s="198" customFormat="1" x14ac:dyDescent="0.3">
      <c r="A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</row>
    <row r="408" spans="1:18" s="198" customFormat="1" x14ac:dyDescent="0.3">
      <c r="A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</row>
    <row r="409" spans="1:18" s="198" customFormat="1" x14ac:dyDescent="0.3">
      <c r="A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</row>
    <row r="410" spans="1:18" s="198" customFormat="1" x14ac:dyDescent="0.3">
      <c r="A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</row>
    <row r="411" spans="1:18" s="198" customFormat="1" x14ac:dyDescent="0.3">
      <c r="A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</row>
    <row r="412" spans="1:18" s="198" customFormat="1" x14ac:dyDescent="0.3">
      <c r="A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</row>
    <row r="413" spans="1:18" s="198" customFormat="1" x14ac:dyDescent="0.3">
      <c r="A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</row>
    <row r="414" spans="1:18" s="198" customFormat="1" x14ac:dyDescent="0.3">
      <c r="A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</row>
    <row r="415" spans="1:18" s="198" customFormat="1" x14ac:dyDescent="0.3">
      <c r="A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</row>
    <row r="416" spans="1:18" s="198" customFormat="1" x14ac:dyDescent="0.3">
      <c r="A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</row>
    <row r="417" spans="1:18" s="198" customFormat="1" x14ac:dyDescent="0.3">
      <c r="A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</row>
    <row r="418" spans="1:18" s="198" customFormat="1" x14ac:dyDescent="0.3">
      <c r="A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</row>
    <row r="419" spans="1:18" s="198" customFormat="1" x14ac:dyDescent="0.3">
      <c r="A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</row>
    <row r="420" spans="1:18" s="198" customFormat="1" x14ac:dyDescent="0.3">
      <c r="A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</row>
    <row r="421" spans="1:18" s="198" customFormat="1" x14ac:dyDescent="0.3">
      <c r="A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</row>
    <row r="422" spans="1:18" s="198" customFormat="1" x14ac:dyDescent="0.3">
      <c r="A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</row>
    <row r="423" spans="1:18" s="198" customFormat="1" x14ac:dyDescent="0.3">
      <c r="A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</row>
    <row r="424" spans="1:18" s="198" customFormat="1" x14ac:dyDescent="0.3">
      <c r="A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</row>
    <row r="425" spans="1:18" s="198" customFormat="1" x14ac:dyDescent="0.3">
      <c r="A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</row>
    <row r="426" spans="1:18" s="198" customFormat="1" x14ac:dyDescent="0.3">
      <c r="A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</row>
    <row r="427" spans="1:18" s="198" customFormat="1" x14ac:dyDescent="0.3">
      <c r="A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</row>
    <row r="428" spans="1:18" s="198" customFormat="1" x14ac:dyDescent="0.3">
      <c r="A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</row>
    <row r="429" spans="1:18" s="198" customFormat="1" x14ac:dyDescent="0.3">
      <c r="A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</row>
    <row r="430" spans="1:18" s="198" customFormat="1" x14ac:dyDescent="0.3">
      <c r="A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</row>
    <row r="431" spans="1:18" s="198" customFormat="1" x14ac:dyDescent="0.3">
      <c r="A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</row>
    <row r="432" spans="1:18" s="198" customFormat="1" x14ac:dyDescent="0.3">
      <c r="A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</row>
    <row r="433" spans="1:18" s="198" customFormat="1" x14ac:dyDescent="0.3">
      <c r="A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</row>
    <row r="434" spans="1:18" s="198" customFormat="1" x14ac:dyDescent="0.3">
      <c r="A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</row>
    <row r="435" spans="1:18" s="198" customFormat="1" x14ac:dyDescent="0.3">
      <c r="A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</row>
    <row r="436" spans="1:18" s="198" customFormat="1" x14ac:dyDescent="0.3">
      <c r="A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</row>
    <row r="437" spans="1:18" s="198" customFormat="1" x14ac:dyDescent="0.3">
      <c r="A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</row>
    <row r="438" spans="1:18" s="198" customFormat="1" x14ac:dyDescent="0.3">
      <c r="A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</row>
    <row r="439" spans="1:18" s="198" customFormat="1" x14ac:dyDescent="0.3">
      <c r="A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</row>
    <row r="440" spans="1:18" s="198" customFormat="1" x14ac:dyDescent="0.3">
      <c r="A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</row>
    <row r="441" spans="1:18" s="198" customFormat="1" x14ac:dyDescent="0.3">
      <c r="A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</row>
    <row r="442" spans="1:18" s="198" customFormat="1" x14ac:dyDescent="0.3">
      <c r="A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</row>
    <row r="443" spans="1:18" s="198" customFormat="1" x14ac:dyDescent="0.3">
      <c r="A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</row>
    <row r="444" spans="1:18" s="198" customFormat="1" x14ac:dyDescent="0.3">
      <c r="A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</row>
    <row r="445" spans="1:18" s="198" customFormat="1" x14ac:dyDescent="0.3">
      <c r="A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</row>
    <row r="446" spans="1:18" s="198" customFormat="1" x14ac:dyDescent="0.3">
      <c r="A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</row>
    <row r="447" spans="1:18" s="198" customFormat="1" x14ac:dyDescent="0.3">
      <c r="A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</row>
    <row r="448" spans="1:18" s="198" customFormat="1" x14ac:dyDescent="0.3">
      <c r="A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</row>
    <row r="449" spans="1:18" s="198" customFormat="1" x14ac:dyDescent="0.3">
      <c r="A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</row>
    <row r="450" spans="1:18" s="198" customFormat="1" x14ac:dyDescent="0.3">
      <c r="A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</row>
    <row r="451" spans="1:18" s="198" customFormat="1" x14ac:dyDescent="0.3">
      <c r="A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</row>
    <row r="452" spans="1:18" s="198" customFormat="1" x14ac:dyDescent="0.3">
      <c r="A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</row>
    <row r="453" spans="1:18" s="198" customFormat="1" x14ac:dyDescent="0.3">
      <c r="A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</row>
    <row r="454" spans="1:18" s="198" customFormat="1" x14ac:dyDescent="0.3">
      <c r="A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</row>
    <row r="455" spans="1:18" s="198" customFormat="1" x14ac:dyDescent="0.3">
      <c r="A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</row>
    <row r="456" spans="1:18" s="198" customFormat="1" x14ac:dyDescent="0.3">
      <c r="A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</row>
    <row r="457" spans="1:18" s="198" customFormat="1" x14ac:dyDescent="0.3">
      <c r="A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</row>
    <row r="458" spans="1:18" s="198" customFormat="1" x14ac:dyDescent="0.3">
      <c r="A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</row>
    <row r="459" spans="1:18" s="198" customFormat="1" x14ac:dyDescent="0.3">
      <c r="A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</row>
    <row r="460" spans="1:18" s="198" customFormat="1" x14ac:dyDescent="0.3">
      <c r="A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</row>
    <row r="461" spans="1:18" s="198" customFormat="1" x14ac:dyDescent="0.3">
      <c r="A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</row>
    <row r="462" spans="1:18" s="198" customFormat="1" x14ac:dyDescent="0.3">
      <c r="A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</row>
    <row r="463" spans="1:18" s="198" customFormat="1" x14ac:dyDescent="0.3">
      <c r="A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</row>
    <row r="464" spans="1:18" s="198" customFormat="1" x14ac:dyDescent="0.3">
      <c r="A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</row>
    <row r="465" spans="1:18" s="198" customFormat="1" x14ac:dyDescent="0.3">
      <c r="A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</row>
    <row r="466" spans="1:18" s="198" customFormat="1" x14ac:dyDescent="0.3">
      <c r="A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</row>
    <row r="467" spans="1:18" s="198" customFormat="1" x14ac:dyDescent="0.3">
      <c r="A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</row>
    <row r="468" spans="1:18" s="198" customFormat="1" x14ac:dyDescent="0.3">
      <c r="A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</row>
    <row r="469" spans="1:18" s="198" customFormat="1" x14ac:dyDescent="0.3">
      <c r="A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</row>
    <row r="470" spans="1:18" s="198" customFormat="1" x14ac:dyDescent="0.3">
      <c r="A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</row>
    <row r="471" spans="1:18" s="198" customFormat="1" x14ac:dyDescent="0.3">
      <c r="A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</row>
    <row r="472" spans="1:18" s="198" customFormat="1" x14ac:dyDescent="0.3">
      <c r="A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</row>
    <row r="473" spans="1:18" s="198" customFormat="1" x14ac:dyDescent="0.3">
      <c r="A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</row>
    <row r="474" spans="1:18" s="198" customFormat="1" x14ac:dyDescent="0.3">
      <c r="A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</row>
    <row r="475" spans="1:18" s="198" customFormat="1" x14ac:dyDescent="0.3">
      <c r="A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</row>
    <row r="476" spans="1:18" s="198" customFormat="1" x14ac:dyDescent="0.3">
      <c r="A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</row>
    <row r="477" spans="1:18" s="198" customFormat="1" x14ac:dyDescent="0.3">
      <c r="A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</row>
    <row r="478" spans="1:18" s="198" customFormat="1" x14ac:dyDescent="0.3">
      <c r="A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</row>
    <row r="479" spans="1:18" s="198" customFormat="1" x14ac:dyDescent="0.3">
      <c r="A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</row>
    <row r="480" spans="1:18" s="198" customFormat="1" x14ac:dyDescent="0.3">
      <c r="A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</row>
    <row r="481" spans="1:18" s="198" customFormat="1" x14ac:dyDescent="0.3">
      <c r="A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</row>
    <row r="482" spans="1:18" s="198" customFormat="1" x14ac:dyDescent="0.3">
      <c r="A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</row>
    <row r="483" spans="1:18" s="198" customFormat="1" x14ac:dyDescent="0.3">
      <c r="A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</row>
    <row r="484" spans="1:18" s="198" customFormat="1" x14ac:dyDescent="0.3">
      <c r="A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</row>
    <row r="485" spans="1:18" s="198" customFormat="1" x14ac:dyDescent="0.3">
      <c r="A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</row>
    <row r="486" spans="1:18" s="198" customFormat="1" x14ac:dyDescent="0.3">
      <c r="A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</row>
    <row r="487" spans="1:18" s="198" customFormat="1" x14ac:dyDescent="0.3">
      <c r="A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</row>
    <row r="488" spans="1:18" s="198" customFormat="1" x14ac:dyDescent="0.3">
      <c r="A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</row>
    <row r="489" spans="1:18" s="198" customFormat="1" x14ac:dyDescent="0.3">
      <c r="A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</row>
    <row r="490" spans="1:18" s="198" customFormat="1" x14ac:dyDescent="0.3">
      <c r="A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</row>
    <row r="491" spans="1:18" s="198" customFormat="1" x14ac:dyDescent="0.3">
      <c r="A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</row>
    <row r="492" spans="1:18" s="198" customFormat="1" x14ac:dyDescent="0.3">
      <c r="A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</row>
    <row r="493" spans="1:18" s="198" customFormat="1" x14ac:dyDescent="0.3">
      <c r="A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</row>
    <row r="494" spans="1:18" s="198" customFormat="1" x14ac:dyDescent="0.3">
      <c r="A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</row>
    <row r="495" spans="1:18" s="198" customFormat="1" x14ac:dyDescent="0.3">
      <c r="A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</row>
    <row r="496" spans="1:18" s="198" customFormat="1" x14ac:dyDescent="0.3">
      <c r="A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</row>
    <row r="497" spans="1:18" s="198" customFormat="1" x14ac:dyDescent="0.3">
      <c r="A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</row>
    <row r="498" spans="1:18" s="198" customFormat="1" x14ac:dyDescent="0.3">
      <c r="A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</row>
    <row r="499" spans="1:18" s="198" customFormat="1" x14ac:dyDescent="0.3">
      <c r="A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</row>
    <row r="500" spans="1:18" s="198" customFormat="1" x14ac:dyDescent="0.3">
      <c r="A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</row>
    <row r="501" spans="1:18" s="198" customFormat="1" x14ac:dyDescent="0.3">
      <c r="A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</row>
    <row r="502" spans="1:18" s="198" customFormat="1" x14ac:dyDescent="0.3">
      <c r="A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</row>
    <row r="503" spans="1:18" s="198" customFormat="1" x14ac:dyDescent="0.3">
      <c r="A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</row>
    <row r="504" spans="1:18" s="198" customFormat="1" x14ac:dyDescent="0.3">
      <c r="A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</row>
    <row r="505" spans="1:18" s="198" customFormat="1" x14ac:dyDescent="0.3">
      <c r="A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</row>
    <row r="506" spans="1:18" s="198" customFormat="1" x14ac:dyDescent="0.3">
      <c r="A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</row>
    <row r="507" spans="1:18" s="198" customFormat="1" x14ac:dyDescent="0.3">
      <c r="A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</row>
    <row r="508" spans="1:18" s="198" customFormat="1" x14ac:dyDescent="0.3">
      <c r="A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</row>
    <row r="509" spans="1:18" s="198" customFormat="1" x14ac:dyDescent="0.3">
      <c r="A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</row>
    <row r="510" spans="1:18" s="198" customFormat="1" x14ac:dyDescent="0.3">
      <c r="A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</row>
    <row r="511" spans="1:18" s="198" customFormat="1" x14ac:dyDescent="0.3">
      <c r="A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</row>
    <row r="512" spans="1:18" s="198" customFormat="1" x14ac:dyDescent="0.3">
      <c r="A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</row>
    <row r="513" spans="1:18" s="198" customFormat="1" x14ac:dyDescent="0.3">
      <c r="A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</row>
    <row r="514" spans="1:18" s="198" customFormat="1" x14ac:dyDescent="0.3">
      <c r="A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</row>
    <row r="515" spans="1:18" s="198" customFormat="1" x14ac:dyDescent="0.3">
      <c r="A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</row>
    <row r="516" spans="1:18" s="198" customFormat="1" x14ac:dyDescent="0.3">
      <c r="A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</row>
    <row r="517" spans="1:18" s="198" customFormat="1" x14ac:dyDescent="0.3">
      <c r="A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</row>
    <row r="518" spans="1:18" s="198" customFormat="1" x14ac:dyDescent="0.3">
      <c r="A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</row>
    <row r="519" spans="1:18" s="198" customFormat="1" x14ac:dyDescent="0.3">
      <c r="A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</row>
    <row r="520" spans="1:18" s="198" customFormat="1" x14ac:dyDescent="0.3">
      <c r="A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</row>
    <row r="521" spans="1:18" s="198" customFormat="1" x14ac:dyDescent="0.3">
      <c r="A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</row>
    <row r="522" spans="1:18" s="198" customFormat="1" x14ac:dyDescent="0.3">
      <c r="A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</row>
    <row r="523" spans="1:18" s="198" customFormat="1" x14ac:dyDescent="0.3">
      <c r="A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</row>
    <row r="524" spans="1:18" s="198" customFormat="1" x14ac:dyDescent="0.3">
      <c r="A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</row>
    <row r="525" spans="1:18" s="198" customFormat="1" x14ac:dyDescent="0.3">
      <c r="A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</row>
    <row r="526" spans="1:18" s="198" customFormat="1" x14ac:dyDescent="0.3">
      <c r="A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</row>
    <row r="527" spans="1:18" s="198" customFormat="1" x14ac:dyDescent="0.3">
      <c r="A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</row>
    <row r="528" spans="1:18" s="198" customFormat="1" x14ac:dyDescent="0.3">
      <c r="A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</row>
    <row r="529" spans="1:18" s="198" customFormat="1" x14ac:dyDescent="0.3">
      <c r="A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</row>
    <row r="530" spans="1:18" s="198" customFormat="1" x14ac:dyDescent="0.3">
      <c r="A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</row>
    <row r="531" spans="1:18" s="198" customFormat="1" x14ac:dyDescent="0.3">
      <c r="A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</row>
    <row r="532" spans="1:18" s="198" customFormat="1" x14ac:dyDescent="0.3">
      <c r="A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</row>
    <row r="533" spans="1:18" s="198" customFormat="1" x14ac:dyDescent="0.3">
      <c r="A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</row>
    <row r="534" spans="1:18" s="198" customFormat="1" x14ac:dyDescent="0.3">
      <c r="A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</row>
    <row r="535" spans="1:18" s="198" customFormat="1" x14ac:dyDescent="0.3">
      <c r="A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</row>
    <row r="536" spans="1:18" s="198" customFormat="1" x14ac:dyDescent="0.3">
      <c r="A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</row>
    <row r="537" spans="1:18" s="198" customFormat="1" x14ac:dyDescent="0.3">
      <c r="A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</row>
    <row r="538" spans="1:18" s="198" customFormat="1" x14ac:dyDescent="0.3">
      <c r="A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</row>
    <row r="539" spans="1:18" s="198" customFormat="1" x14ac:dyDescent="0.3">
      <c r="A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</row>
    <row r="540" spans="1:18" s="198" customFormat="1" x14ac:dyDescent="0.3">
      <c r="A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</row>
    <row r="541" spans="1:18" s="198" customFormat="1" x14ac:dyDescent="0.3">
      <c r="A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</row>
    <row r="542" spans="1:18" s="198" customFormat="1" x14ac:dyDescent="0.3">
      <c r="A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</row>
    <row r="543" spans="1:18" s="198" customFormat="1" x14ac:dyDescent="0.3">
      <c r="A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</row>
    <row r="544" spans="1:18" s="198" customFormat="1" x14ac:dyDescent="0.3">
      <c r="A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</row>
    <row r="545" spans="1:18" s="198" customFormat="1" x14ac:dyDescent="0.3">
      <c r="A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</row>
    <row r="546" spans="1:18" s="198" customFormat="1" x14ac:dyDescent="0.3">
      <c r="A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</row>
    <row r="547" spans="1:18" s="198" customFormat="1" x14ac:dyDescent="0.3">
      <c r="A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</row>
    <row r="548" spans="1:18" s="198" customFormat="1" x14ac:dyDescent="0.3">
      <c r="A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</row>
    <row r="549" spans="1:18" s="198" customFormat="1" x14ac:dyDescent="0.3">
      <c r="A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</row>
    <row r="550" spans="1:18" s="198" customFormat="1" x14ac:dyDescent="0.3">
      <c r="A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</row>
    <row r="551" spans="1:18" s="198" customFormat="1" x14ac:dyDescent="0.3">
      <c r="A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</row>
    <row r="552" spans="1:18" s="198" customFormat="1" x14ac:dyDescent="0.3">
      <c r="A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</row>
    <row r="553" spans="1:18" s="198" customFormat="1" x14ac:dyDescent="0.3">
      <c r="A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</row>
    <row r="554" spans="1:18" s="198" customFormat="1" x14ac:dyDescent="0.3">
      <c r="A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</row>
    <row r="555" spans="1:18" s="198" customFormat="1" x14ac:dyDescent="0.3">
      <c r="A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</row>
    <row r="556" spans="1:18" s="198" customFormat="1" x14ac:dyDescent="0.3">
      <c r="A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</row>
    <row r="557" spans="1:18" s="198" customFormat="1" x14ac:dyDescent="0.3">
      <c r="A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</row>
    <row r="558" spans="1:18" s="198" customFormat="1" x14ac:dyDescent="0.3">
      <c r="A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</row>
    <row r="559" spans="1:18" s="198" customFormat="1" x14ac:dyDescent="0.3">
      <c r="A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</row>
    <row r="560" spans="1:18" s="198" customFormat="1" x14ac:dyDescent="0.3">
      <c r="A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</row>
    <row r="561" spans="1:18" s="198" customFormat="1" x14ac:dyDescent="0.3">
      <c r="A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</row>
    <row r="562" spans="1:18" s="198" customFormat="1" x14ac:dyDescent="0.3">
      <c r="A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</row>
    <row r="563" spans="1:18" s="198" customFormat="1" x14ac:dyDescent="0.3">
      <c r="A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</row>
    <row r="564" spans="1:18" s="198" customFormat="1" x14ac:dyDescent="0.3">
      <c r="A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</row>
    <row r="565" spans="1:18" s="198" customFormat="1" x14ac:dyDescent="0.3">
      <c r="A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</row>
    <row r="566" spans="1:18" s="198" customFormat="1" x14ac:dyDescent="0.3">
      <c r="A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</row>
    <row r="567" spans="1:18" s="198" customFormat="1" x14ac:dyDescent="0.3">
      <c r="A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</row>
    <row r="568" spans="1:18" s="198" customFormat="1" x14ac:dyDescent="0.3">
      <c r="A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</row>
    <row r="569" spans="1:18" s="198" customFormat="1" x14ac:dyDescent="0.3">
      <c r="A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</row>
    <row r="570" spans="1:18" s="198" customFormat="1" x14ac:dyDescent="0.3">
      <c r="A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</row>
    <row r="571" spans="1:18" s="198" customFormat="1" x14ac:dyDescent="0.3">
      <c r="A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</row>
    <row r="572" spans="1:18" s="198" customFormat="1" x14ac:dyDescent="0.3">
      <c r="A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</row>
    <row r="573" spans="1:18" s="198" customFormat="1" x14ac:dyDescent="0.3">
      <c r="A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</row>
    <row r="574" spans="1:18" s="198" customFormat="1" x14ac:dyDescent="0.3">
      <c r="A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</row>
    <row r="575" spans="1:18" s="198" customFormat="1" x14ac:dyDescent="0.3">
      <c r="A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</row>
    <row r="576" spans="1:18" s="198" customFormat="1" x14ac:dyDescent="0.3">
      <c r="A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</row>
    <row r="577" spans="1:18" s="198" customFormat="1" x14ac:dyDescent="0.3">
      <c r="A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</row>
    <row r="578" spans="1:18" s="198" customFormat="1" x14ac:dyDescent="0.3">
      <c r="A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</row>
    <row r="579" spans="1:18" s="198" customFormat="1" x14ac:dyDescent="0.3">
      <c r="A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</row>
    <row r="580" spans="1:18" s="198" customFormat="1" x14ac:dyDescent="0.3">
      <c r="A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</row>
    <row r="581" spans="1:18" s="198" customFormat="1" x14ac:dyDescent="0.3">
      <c r="A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</row>
    <row r="582" spans="1:18" s="198" customFormat="1" x14ac:dyDescent="0.3">
      <c r="A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</row>
    <row r="583" spans="1:18" s="198" customFormat="1" x14ac:dyDescent="0.3">
      <c r="A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</row>
    <row r="584" spans="1:18" s="198" customFormat="1" x14ac:dyDescent="0.3">
      <c r="A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</row>
    <row r="585" spans="1:18" s="198" customFormat="1" x14ac:dyDescent="0.3">
      <c r="A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</row>
    <row r="586" spans="1:18" s="198" customFormat="1" x14ac:dyDescent="0.3">
      <c r="A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</row>
    <row r="587" spans="1:18" s="198" customFormat="1" x14ac:dyDescent="0.3">
      <c r="A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</row>
    <row r="588" spans="1:18" s="198" customFormat="1" x14ac:dyDescent="0.3">
      <c r="A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</row>
    <row r="589" spans="1:18" s="198" customFormat="1" x14ac:dyDescent="0.3">
      <c r="A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</row>
    <row r="590" spans="1:18" s="198" customFormat="1" x14ac:dyDescent="0.3">
      <c r="A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</row>
    <row r="591" spans="1:18" s="198" customFormat="1" x14ac:dyDescent="0.3">
      <c r="A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</row>
    <row r="592" spans="1:18" s="198" customFormat="1" x14ac:dyDescent="0.3">
      <c r="A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</row>
    <row r="593" spans="1:18" s="198" customFormat="1" x14ac:dyDescent="0.3">
      <c r="A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</row>
    <row r="594" spans="1:18" s="198" customFormat="1" x14ac:dyDescent="0.3">
      <c r="A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</row>
    <row r="595" spans="1:18" s="198" customFormat="1" x14ac:dyDescent="0.3">
      <c r="A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</row>
    <row r="596" spans="1:18" s="198" customFormat="1" x14ac:dyDescent="0.3">
      <c r="A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</row>
    <row r="597" spans="1:18" s="198" customFormat="1" x14ac:dyDescent="0.3">
      <c r="A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</row>
    <row r="598" spans="1:18" s="198" customFormat="1" x14ac:dyDescent="0.3">
      <c r="A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</row>
    <row r="599" spans="1:18" s="198" customFormat="1" x14ac:dyDescent="0.3">
      <c r="A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</row>
    <row r="600" spans="1:18" s="198" customFormat="1" x14ac:dyDescent="0.3">
      <c r="A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</row>
    <row r="601" spans="1:18" s="198" customFormat="1" x14ac:dyDescent="0.3">
      <c r="A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</row>
    <row r="602" spans="1:18" s="198" customFormat="1" x14ac:dyDescent="0.3">
      <c r="A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</row>
    <row r="603" spans="1:18" s="198" customFormat="1" x14ac:dyDescent="0.3">
      <c r="A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</row>
    <row r="604" spans="1:18" s="198" customFormat="1" x14ac:dyDescent="0.3">
      <c r="A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</row>
    <row r="605" spans="1:18" s="198" customFormat="1" x14ac:dyDescent="0.3">
      <c r="A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</row>
    <row r="606" spans="1:18" s="198" customFormat="1" x14ac:dyDescent="0.3">
      <c r="A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</row>
    <row r="607" spans="1:18" s="198" customFormat="1" x14ac:dyDescent="0.3">
      <c r="A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</row>
    <row r="608" spans="1:18" s="198" customFormat="1" x14ac:dyDescent="0.3">
      <c r="A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</row>
    <row r="609" spans="1:18" s="198" customFormat="1" x14ac:dyDescent="0.3">
      <c r="A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</row>
    <row r="610" spans="1:18" s="198" customFormat="1" x14ac:dyDescent="0.3">
      <c r="A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</row>
    <row r="611" spans="1:18" s="198" customFormat="1" x14ac:dyDescent="0.3">
      <c r="A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</row>
    <row r="612" spans="1:18" s="198" customFormat="1" x14ac:dyDescent="0.3">
      <c r="A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</row>
    <row r="613" spans="1:18" s="198" customFormat="1" x14ac:dyDescent="0.3">
      <c r="A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</row>
    <row r="614" spans="1:18" s="198" customFormat="1" x14ac:dyDescent="0.3">
      <c r="A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</row>
    <row r="615" spans="1:18" s="198" customFormat="1" x14ac:dyDescent="0.3">
      <c r="A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</row>
    <row r="616" spans="1:18" s="198" customFormat="1" x14ac:dyDescent="0.3">
      <c r="A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</row>
    <row r="617" spans="1:18" s="198" customFormat="1" x14ac:dyDescent="0.3">
      <c r="A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</row>
    <row r="618" spans="1:18" s="198" customFormat="1" x14ac:dyDescent="0.3">
      <c r="A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</row>
    <row r="619" spans="1:18" s="198" customFormat="1" x14ac:dyDescent="0.3">
      <c r="A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</row>
    <row r="620" spans="1:18" s="198" customFormat="1" x14ac:dyDescent="0.3">
      <c r="A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</row>
    <row r="621" spans="1:18" s="198" customFormat="1" x14ac:dyDescent="0.3">
      <c r="A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</row>
    <row r="622" spans="1:18" s="198" customFormat="1" x14ac:dyDescent="0.3">
      <c r="A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</row>
    <row r="623" spans="1:18" s="198" customFormat="1" x14ac:dyDescent="0.3">
      <c r="A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</row>
    <row r="624" spans="1:18" s="198" customFormat="1" x14ac:dyDescent="0.3">
      <c r="A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</row>
    <row r="625" spans="1:18" s="198" customFormat="1" x14ac:dyDescent="0.3">
      <c r="A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</row>
    <row r="626" spans="1:18" s="198" customFormat="1" x14ac:dyDescent="0.3">
      <c r="A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</row>
    <row r="627" spans="1:18" s="198" customFormat="1" x14ac:dyDescent="0.3">
      <c r="A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</row>
    <row r="628" spans="1:18" s="198" customFormat="1" x14ac:dyDescent="0.3">
      <c r="A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</row>
    <row r="629" spans="1:18" s="198" customFormat="1" x14ac:dyDescent="0.3">
      <c r="A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</row>
    <row r="630" spans="1:18" s="198" customFormat="1" x14ac:dyDescent="0.3">
      <c r="A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</row>
    <row r="631" spans="1:18" s="198" customFormat="1" x14ac:dyDescent="0.3">
      <c r="A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</row>
    <row r="632" spans="1:18" s="198" customFormat="1" x14ac:dyDescent="0.3">
      <c r="A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</row>
    <row r="633" spans="1:18" s="198" customFormat="1" x14ac:dyDescent="0.3">
      <c r="A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</row>
    <row r="634" spans="1:18" s="198" customFormat="1" x14ac:dyDescent="0.3">
      <c r="A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</row>
    <row r="635" spans="1:18" s="198" customFormat="1" x14ac:dyDescent="0.3">
      <c r="A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</row>
    <row r="636" spans="1:18" s="198" customFormat="1" x14ac:dyDescent="0.3">
      <c r="A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</row>
    <row r="637" spans="1:18" s="198" customFormat="1" x14ac:dyDescent="0.3">
      <c r="A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</row>
    <row r="638" spans="1:18" s="198" customFormat="1" x14ac:dyDescent="0.3">
      <c r="A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</row>
    <row r="639" spans="1:18" s="198" customFormat="1" x14ac:dyDescent="0.3">
      <c r="A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</row>
    <row r="640" spans="1:18" s="198" customFormat="1" x14ac:dyDescent="0.3">
      <c r="A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</row>
    <row r="641" spans="1:18" s="198" customFormat="1" x14ac:dyDescent="0.3">
      <c r="A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</row>
    <row r="642" spans="1:18" s="198" customFormat="1" x14ac:dyDescent="0.3">
      <c r="A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</row>
    <row r="643" spans="1:18" s="198" customFormat="1" x14ac:dyDescent="0.3">
      <c r="A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</row>
    <row r="644" spans="1:18" s="198" customFormat="1" x14ac:dyDescent="0.3">
      <c r="A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</row>
    <row r="645" spans="1:18" s="198" customFormat="1" x14ac:dyDescent="0.3">
      <c r="A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</row>
    <row r="646" spans="1:18" s="198" customFormat="1" x14ac:dyDescent="0.3">
      <c r="A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</row>
    <row r="647" spans="1:18" s="198" customFormat="1" x14ac:dyDescent="0.3">
      <c r="A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</row>
    <row r="648" spans="1:18" s="198" customFormat="1" x14ac:dyDescent="0.3">
      <c r="A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</row>
    <row r="649" spans="1:18" s="198" customFormat="1" x14ac:dyDescent="0.3">
      <c r="A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</row>
    <row r="650" spans="1:18" s="198" customFormat="1" x14ac:dyDescent="0.3">
      <c r="A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</row>
    <row r="651" spans="1:18" s="198" customFormat="1" x14ac:dyDescent="0.3">
      <c r="A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</row>
    <row r="652" spans="1:18" s="198" customFormat="1" x14ac:dyDescent="0.3">
      <c r="A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</row>
    <row r="653" spans="1:18" s="198" customFormat="1" x14ac:dyDescent="0.3">
      <c r="A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</row>
    <row r="654" spans="1:18" s="198" customFormat="1" x14ac:dyDescent="0.3">
      <c r="A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</row>
    <row r="655" spans="1:18" s="198" customFormat="1" x14ac:dyDescent="0.3">
      <c r="A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</row>
    <row r="656" spans="1:18" s="198" customFormat="1" x14ac:dyDescent="0.3">
      <c r="A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</row>
    <row r="657" spans="1:18" s="198" customFormat="1" x14ac:dyDescent="0.3">
      <c r="A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</row>
    <row r="658" spans="1:18" s="198" customFormat="1" x14ac:dyDescent="0.3">
      <c r="A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</row>
    <row r="659" spans="1:18" s="198" customFormat="1" x14ac:dyDescent="0.3">
      <c r="A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</row>
    <row r="660" spans="1:18" s="198" customFormat="1" x14ac:dyDescent="0.3">
      <c r="A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</row>
    <row r="661" spans="1:18" s="198" customFormat="1" x14ac:dyDescent="0.3">
      <c r="A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</row>
    <row r="662" spans="1:18" s="198" customFormat="1" x14ac:dyDescent="0.3">
      <c r="A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</row>
    <row r="663" spans="1:18" s="198" customFormat="1" x14ac:dyDescent="0.3">
      <c r="A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</row>
    <row r="664" spans="1:18" s="198" customFormat="1" x14ac:dyDescent="0.3">
      <c r="A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</row>
    <row r="665" spans="1:18" s="198" customFormat="1" x14ac:dyDescent="0.3">
      <c r="A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</row>
  </sheetData>
  <autoFilter ref="A4:Q193" xr:uid="{00000000-0009-0000-0000-000000000000}"/>
  <mergeCells count="34">
    <mergeCell ref="Q4:Q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M4"/>
    <mergeCell ref="N4:P4"/>
    <mergeCell ref="S29:AF29"/>
    <mergeCell ref="S59:X59"/>
    <mergeCell ref="E195:F195"/>
    <mergeCell ref="G195:H195"/>
    <mergeCell ref="I195:J195"/>
    <mergeCell ref="K195:L195"/>
    <mergeCell ref="E198:F198"/>
    <mergeCell ref="G198:H198"/>
    <mergeCell ref="I198:J198"/>
    <mergeCell ref="K198:L198"/>
    <mergeCell ref="E196:F196"/>
    <mergeCell ref="G196:H196"/>
    <mergeCell ref="I196:J196"/>
    <mergeCell ref="K196:L196"/>
    <mergeCell ref="E197:F197"/>
    <mergeCell ref="G197:H197"/>
    <mergeCell ref="I197:J197"/>
    <mergeCell ref="K197:L197"/>
  </mergeCells>
  <printOptions horizontalCentered="1" verticalCentered="1"/>
  <pageMargins left="0" right="0" top="0" bottom="0" header="0" footer="0"/>
  <pageSetup paperSize="8" scale="10" orientation="portrait" r:id="rId1"/>
  <rowBreaks count="2" manualBreakCount="2">
    <brk id="97" max="16" man="1"/>
    <brk id="175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FED9-CC9D-4F06-A745-FF63069BBEDC}">
  <dimension ref="A1:AF2287"/>
  <sheetViews>
    <sheetView rightToLeft="1" view="pageBreakPreview" zoomScale="71" zoomScaleNormal="90" zoomScaleSheetLayoutView="71" workbookViewId="0">
      <pane ySplit="5" topLeftCell="A6" activePane="bottomLeft" state="frozen"/>
      <selection activeCell="C1951" sqref="C1951"/>
      <selection pane="bottomLeft" activeCell="M5" sqref="M5"/>
    </sheetView>
  </sheetViews>
  <sheetFormatPr defaultColWidth="8.88671875" defaultRowHeight="16.2" thickBottom="1" x14ac:dyDescent="0.35"/>
  <cols>
    <col min="1" max="1" width="9.109375" style="38" bestFit="1" customWidth="1"/>
    <col min="2" max="2" width="42.88671875" style="38" customWidth="1"/>
    <col min="3" max="3" width="27.6640625" style="38" customWidth="1"/>
    <col min="4" max="4" width="25.88671875" style="38" customWidth="1"/>
    <col min="5" max="5" width="31.109375" style="38" customWidth="1"/>
    <col min="6" max="6" width="14.44140625" style="38" customWidth="1"/>
    <col min="7" max="9" width="12.88671875" style="38" customWidth="1"/>
    <col min="10" max="11" width="12.88671875" style="33" customWidth="1"/>
    <col min="12" max="12" width="12.88671875" style="29" customWidth="1"/>
    <col min="13" max="13" width="12.88671875" style="72" customWidth="1"/>
    <col min="14" max="14" width="12.88671875" style="66" customWidth="1"/>
    <col min="15" max="17" width="12.88671875" style="38" customWidth="1"/>
    <col min="18" max="18" width="11.88671875" style="38" customWidth="1"/>
    <col min="19" max="16384" width="8.88671875" style="38"/>
  </cols>
  <sheetData>
    <row r="1" spans="1:17" ht="23.4" customHeight="1" x14ac:dyDescent="0.3">
      <c r="A1" s="357" t="s">
        <v>1759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9"/>
    </row>
    <row r="2" spans="1:17" ht="23.4" customHeight="1" x14ac:dyDescent="0.3">
      <c r="A2" s="357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9"/>
    </row>
    <row r="3" spans="1:17" ht="14.4" x14ac:dyDescent="0.3">
      <c r="A3" s="357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9"/>
    </row>
    <row r="4" spans="1:17" ht="15" thickBot="1" x14ac:dyDescent="0.35">
      <c r="A4" s="360"/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2"/>
    </row>
    <row r="5" spans="1:17" ht="29.4" thickBot="1" x14ac:dyDescent="0.35">
      <c r="A5" s="14" t="s">
        <v>1</v>
      </c>
      <c r="B5" s="14" t="s">
        <v>491</v>
      </c>
      <c r="C5" s="14" t="s">
        <v>5</v>
      </c>
      <c r="D5" s="14" t="s">
        <v>492</v>
      </c>
      <c r="E5" s="14" t="s">
        <v>493</v>
      </c>
      <c r="F5" s="15" t="s">
        <v>494</v>
      </c>
      <c r="G5" s="15" t="s">
        <v>484</v>
      </c>
      <c r="H5" s="200" t="s">
        <v>60</v>
      </c>
      <c r="I5" s="14" t="s">
        <v>61</v>
      </c>
      <c r="J5" s="30" t="s">
        <v>2</v>
      </c>
      <c r="K5" s="67" t="s">
        <v>1202</v>
      </c>
      <c r="L5" s="49" t="s">
        <v>1203</v>
      </c>
      <c r="M5" s="107" t="s">
        <v>1204</v>
      </c>
      <c r="N5" s="66" t="s">
        <v>1142</v>
      </c>
      <c r="P5" s="249"/>
    </row>
    <row r="6" spans="1:17" thickBot="1" x14ac:dyDescent="0.35">
      <c r="A6" s="14">
        <v>0</v>
      </c>
      <c r="B6" s="406" t="s">
        <v>1808</v>
      </c>
      <c r="C6" s="407"/>
      <c r="D6" s="407"/>
      <c r="E6" s="408"/>
      <c r="F6" s="15">
        <v>1</v>
      </c>
      <c r="G6" s="15"/>
      <c r="H6" s="200"/>
      <c r="I6" s="14"/>
      <c r="J6" s="30">
        <v>15624458</v>
      </c>
      <c r="K6" s="67"/>
      <c r="L6" s="49"/>
      <c r="M6" s="107"/>
      <c r="N6" s="288">
        <v>18.809999999999999</v>
      </c>
      <c r="P6" s="249"/>
    </row>
    <row r="7" spans="1:17" ht="15" thickBot="1" x14ac:dyDescent="0.35">
      <c r="A7" s="14">
        <v>1</v>
      </c>
      <c r="B7" s="14" t="s">
        <v>1023</v>
      </c>
      <c r="C7" s="14" t="s">
        <v>14</v>
      </c>
      <c r="D7" s="14" t="s">
        <v>1099</v>
      </c>
      <c r="E7" s="14" t="s">
        <v>1099</v>
      </c>
      <c r="F7" s="14">
        <v>4</v>
      </c>
      <c r="G7" s="16">
        <f>H7-M7</f>
        <v>2592452</v>
      </c>
      <c r="H7" s="16">
        <v>2592452</v>
      </c>
      <c r="I7" s="16">
        <f>J7-H7</f>
        <v>23582</v>
      </c>
      <c r="J7" s="31">
        <v>2616034</v>
      </c>
      <c r="K7" s="69">
        <f t="shared" ref="K7" si="0">M7-L7</f>
        <v>0</v>
      </c>
      <c r="L7" s="50"/>
      <c r="M7" s="109"/>
      <c r="N7" s="110"/>
    </row>
    <row r="8" spans="1:17" ht="15" thickBot="1" x14ac:dyDescent="0.35">
      <c r="A8" s="14">
        <v>1</v>
      </c>
      <c r="B8" s="14" t="s">
        <v>1846</v>
      </c>
      <c r="C8" s="14" t="s">
        <v>14</v>
      </c>
      <c r="D8" s="14" t="s">
        <v>1099</v>
      </c>
      <c r="E8" s="14" t="s">
        <v>1099</v>
      </c>
      <c r="F8" s="14">
        <v>7</v>
      </c>
      <c r="G8" s="16">
        <v>0</v>
      </c>
      <c r="H8" s="16">
        <v>722086</v>
      </c>
      <c r="I8" s="16">
        <f>J8-H8</f>
        <v>32290</v>
      </c>
      <c r="J8" s="31">
        <v>754376</v>
      </c>
      <c r="K8" s="69">
        <f t="shared" ref="K8" si="1">M8-L8</f>
        <v>0</v>
      </c>
      <c r="L8" s="50"/>
      <c r="M8" s="109"/>
      <c r="N8" s="330"/>
      <c r="O8" s="163"/>
    </row>
    <row r="9" spans="1:17" ht="18.600000000000001" thickBot="1" x14ac:dyDescent="0.35">
      <c r="A9" s="14"/>
      <c r="B9" s="389" t="s">
        <v>1760</v>
      </c>
      <c r="C9" s="390"/>
      <c r="D9" s="390"/>
      <c r="E9" s="391"/>
      <c r="F9" s="15"/>
      <c r="G9" s="15"/>
      <c r="H9" s="200"/>
      <c r="I9" s="200"/>
      <c r="J9" s="155"/>
      <c r="K9" s="250"/>
      <c r="L9" s="250"/>
      <c r="M9" s="251"/>
      <c r="N9" s="248"/>
      <c r="P9" s="249"/>
    </row>
    <row r="10" spans="1:17" ht="15" thickBot="1" x14ac:dyDescent="0.35">
      <c r="A10" s="388">
        <v>1</v>
      </c>
      <c r="B10" s="286" t="s">
        <v>19</v>
      </c>
      <c r="C10" s="14" t="s">
        <v>533</v>
      </c>
      <c r="D10" s="14" t="s">
        <v>1099</v>
      </c>
      <c r="E10" s="14" t="s">
        <v>14</v>
      </c>
      <c r="F10" s="14">
        <v>1</v>
      </c>
      <c r="G10" s="16">
        <f t="shared" ref="G10:G40" si="2">H10-M10</f>
        <v>75960</v>
      </c>
      <c r="H10" s="16">
        <v>75960</v>
      </c>
      <c r="I10" s="16">
        <f t="shared" ref="I10:I40" si="3">J10-H10</f>
        <v>0</v>
      </c>
      <c r="J10" s="31">
        <v>75960</v>
      </c>
      <c r="K10" s="69">
        <f t="shared" ref="K10:K40" si="4">M10-L10</f>
        <v>0</v>
      </c>
      <c r="L10" s="50"/>
      <c r="M10" s="109"/>
      <c r="N10" s="110"/>
      <c r="O10" s="394" t="s">
        <v>1807</v>
      </c>
      <c r="P10" s="392"/>
      <c r="Q10" s="393"/>
    </row>
    <row r="11" spans="1:17" ht="15" thickBot="1" x14ac:dyDescent="0.35">
      <c r="A11" s="14">
        <v>2</v>
      </c>
      <c r="B11" s="285" t="s">
        <v>565</v>
      </c>
      <c r="C11" s="14" t="s">
        <v>108</v>
      </c>
      <c r="D11" s="14" t="s">
        <v>1099</v>
      </c>
      <c r="E11" s="14" t="s">
        <v>14</v>
      </c>
      <c r="F11" s="14">
        <v>2</v>
      </c>
      <c r="G11" s="16">
        <f t="shared" si="2"/>
        <v>81503</v>
      </c>
      <c r="H11" s="16">
        <v>81503</v>
      </c>
      <c r="I11" s="16">
        <f t="shared" si="3"/>
        <v>0</v>
      </c>
      <c r="J11" s="31">
        <v>81503</v>
      </c>
      <c r="K11" s="69">
        <f t="shared" si="4"/>
        <v>0</v>
      </c>
      <c r="L11" s="50">
        <v>0</v>
      </c>
      <c r="M11" s="109">
        <v>0</v>
      </c>
      <c r="N11" s="110"/>
    </row>
    <row r="12" spans="1:17" ht="15" thickBot="1" x14ac:dyDescent="0.35">
      <c r="A12" s="14">
        <v>3</v>
      </c>
      <c r="B12" s="285" t="s">
        <v>568</v>
      </c>
      <c r="C12" s="14" t="s">
        <v>1297</v>
      </c>
      <c r="D12" s="14" t="s">
        <v>1099</v>
      </c>
      <c r="E12" s="14" t="s">
        <v>14</v>
      </c>
      <c r="F12" s="14">
        <v>1</v>
      </c>
      <c r="G12" s="16">
        <f t="shared" si="2"/>
        <v>14500</v>
      </c>
      <c r="H12" s="16">
        <v>14500</v>
      </c>
      <c r="I12" s="16">
        <f>J12-H12</f>
        <v>0</v>
      </c>
      <c r="J12" s="31">
        <v>14500</v>
      </c>
      <c r="K12" s="69">
        <f t="shared" si="4"/>
        <v>0</v>
      </c>
      <c r="L12" s="50">
        <v>0</v>
      </c>
      <c r="M12" s="109">
        <v>0</v>
      </c>
      <c r="N12" s="110"/>
    </row>
    <row r="13" spans="1:17" ht="15" thickBot="1" x14ac:dyDescent="0.35">
      <c r="A13" s="14">
        <v>4</v>
      </c>
      <c r="B13" s="286" t="s">
        <v>568</v>
      </c>
      <c r="C13" s="14" t="s">
        <v>569</v>
      </c>
      <c r="D13" s="14" t="s">
        <v>1099</v>
      </c>
      <c r="E13" s="14" t="s">
        <v>14</v>
      </c>
      <c r="F13" s="14">
        <v>1</v>
      </c>
      <c r="G13" s="16">
        <f t="shared" si="2"/>
        <v>13053</v>
      </c>
      <c r="H13" s="16">
        <v>13053</v>
      </c>
      <c r="I13" s="16">
        <f t="shared" ref="I13:I15" si="5">J13-H13</f>
        <v>0</v>
      </c>
      <c r="J13" s="31">
        <v>13053</v>
      </c>
      <c r="K13" s="69">
        <f t="shared" si="4"/>
        <v>0</v>
      </c>
      <c r="L13" s="50">
        <v>0</v>
      </c>
      <c r="M13" s="109">
        <v>0</v>
      </c>
      <c r="N13" s="110"/>
      <c r="O13" s="364" t="s">
        <v>1802</v>
      </c>
      <c r="P13" s="365"/>
      <c r="Q13" s="366"/>
    </row>
    <row r="14" spans="1:17" ht="15" thickBot="1" x14ac:dyDescent="0.35">
      <c r="A14" s="14">
        <v>5</v>
      </c>
      <c r="B14" s="286" t="s">
        <v>568</v>
      </c>
      <c r="C14" s="14" t="s">
        <v>1026</v>
      </c>
      <c r="D14" s="14" t="s">
        <v>1099</v>
      </c>
      <c r="E14" s="14" t="s">
        <v>14</v>
      </c>
      <c r="F14" s="14">
        <v>27</v>
      </c>
      <c r="G14" s="16">
        <f t="shared" si="2"/>
        <v>2567028</v>
      </c>
      <c r="H14" s="16">
        <v>2569678</v>
      </c>
      <c r="I14" s="16">
        <f>J14-H14</f>
        <v>0</v>
      </c>
      <c r="J14" s="31">
        <v>2569678</v>
      </c>
      <c r="K14" s="69">
        <f t="shared" si="4"/>
        <v>0</v>
      </c>
      <c r="L14" s="50">
        <v>2650</v>
      </c>
      <c r="M14" s="109">
        <v>2650</v>
      </c>
      <c r="N14" s="110"/>
      <c r="O14" s="364" t="s">
        <v>1871</v>
      </c>
      <c r="P14" s="365"/>
      <c r="Q14" s="366"/>
    </row>
    <row r="15" spans="1:17" ht="15" thickBot="1" x14ac:dyDescent="0.35">
      <c r="A15" s="14">
        <v>6</v>
      </c>
      <c r="B15" s="334" t="s">
        <v>568</v>
      </c>
      <c r="C15" s="14" t="s">
        <v>550</v>
      </c>
      <c r="D15" s="14" t="s">
        <v>1099</v>
      </c>
      <c r="E15" s="14" t="s">
        <v>14</v>
      </c>
      <c r="F15" s="160">
        <v>9</v>
      </c>
      <c r="G15" s="16">
        <f t="shared" ref="G15" si="6">H15-M15</f>
        <v>629640</v>
      </c>
      <c r="H15" s="16">
        <v>629640</v>
      </c>
      <c r="I15" s="16">
        <f t="shared" si="5"/>
        <v>0</v>
      </c>
      <c r="J15" s="31">
        <v>629640</v>
      </c>
      <c r="K15" s="69">
        <f t="shared" ref="K15" si="7">M15-L15</f>
        <v>0</v>
      </c>
      <c r="L15" s="50">
        <v>0</v>
      </c>
      <c r="M15" s="109">
        <v>0</v>
      </c>
      <c r="N15" s="110"/>
      <c r="O15" s="400"/>
      <c r="P15" s="401"/>
      <c r="Q15" s="402"/>
    </row>
    <row r="16" spans="1:17" ht="15" thickBot="1" x14ac:dyDescent="0.35">
      <c r="A16" s="14">
        <v>7</v>
      </c>
      <c r="B16" s="334" t="s">
        <v>576</v>
      </c>
      <c r="C16" s="14" t="s">
        <v>550</v>
      </c>
      <c r="D16" s="14" t="s">
        <v>1099</v>
      </c>
      <c r="E16" s="14" t="s">
        <v>14</v>
      </c>
      <c r="F16" s="160">
        <v>11</v>
      </c>
      <c r="G16" s="16">
        <f t="shared" si="2"/>
        <v>1870055</v>
      </c>
      <c r="H16" s="16">
        <v>1870055</v>
      </c>
      <c r="I16" s="151">
        <f t="shared" si="3"/>
        <v>0</v>
      </c>
      <c r="J16" s="31">
        <v>1870055</v>
      </c>
      <c r="K16" s="69">
        <f t="shared" si="4"/>
        <v>0</v>
      </c>
      <c r="L16" s="50">
        <v>0</v>
      </c>
      <c r="M16" s="109">
        <v>0</v>
      </c>
      <c r="N16" s="110"/>
      <c r="O16" s="403"/>
      <c r="P16" s="404"/>
      <c r="Q16" s="404"/>
    </row>
    <row r="17" spans="1:17" ht="15" thickBot="1" x14ac:dyDescent="0.35">
      <c r="A17" s="14">
        <v>8</v>
      </c>
      <c r="B17" s="334" t="s">
        <v>589</v>
      </c>
      <c r="C17" s="14" t="s">
        <v>550</v>
      </c>
      <c r="D17" s="14" t="s">
        <v>1099</v>
      </c>
      <c r="E17" s="14" t="s">
        <v>14</v>
      </c>
      <c r="F17" s="160">
        <v>10</v>
      </c>
      <c r="G17" s="16">
        <f t="shared" si="2"/>
        <v>1095968</v>
      </c>
      <c r="H17" s="16">
        <v>1095968</v>
      </c>
      <c r="I17" s="16">
        <f t="shared" si="3"/>
        <v>0</v>
      </c>
      <c r="J17" s="31">
        <v>1095968</v>
      </c>
      <c r="K17" s="69">
        <f t="shared" si="4"/>
        <v>0</v>
      </c>
      <c r="L17" s="50">
        <v>0</v>
      </c>
      <c r="M17" s="109">
        <v>0</v>
      </c>
      <c r="N17" s="110"/>
      <c r="O17" s="363"/>
      <c r="P17" s="398"/>
      <c r="Q17" s="399"/>
    </row>
    <row r="18" spans="1:17" ht="15" thickBot="1" x14ac:dyDescent="0.35">
      <c r="A18" s="14">
        <v>9</v>
      </c>
      <c r="B18" s="284" t="s">
        <v>1014</v>
      </c>
      <c r="C18" s="14" t="s">
        <v>550</v>
      </c>
      <c r="D18" s="14" t="s">
        <v>1099</v>
      </c>
      <c r="E18" s="15" t="s">
        <v>14</v>
      </c>
      <c r="F18" s="159">
        <v>4</v>
      </c>
      <c r="G18" s="16">
        <f t="shared" ref="G18:G28" si="8">H18-M18</f>
        <v>237713</v>
      </c>
      <c r="H18" s="16">
        <v>237713</v>
      </c>
      <c r="I18" s="174">
        <f t="shared" ref="I18:I28" si="9">J18-H18</f>
        <v>0</v>
      </c>
      <c r="J18" s="32">
        <v>237713</v>
      </c>
      <c r="K18" s="69">
        <f t="shared" ref="K18:K28" si="10">M18-L18</f>
        <v>0</v>
      </c>
      <c r="L18" s="71">
        <v>0</v>
      </c>
      <c r="M18" s="109">
        <v>0</v>
      </c>
      <c r="N18" s="110"/>
      <c r="O18" s="335"/>
    </row>
    <row r="19" spans="1:17" ht="15" thickBot="1" x14ac:dyDescent="0.35">
      <c r="A19" s="14">
        <v>10</v>
      </c>
      <c r="B19" s="284" t="s">
        <v>1568</v>
      </c>
      <c r="C19" s="159" t="s">
        <v>550</v>
      </c>
      <c r="D19" s="14" t="s">
        <v>1099</v>
      </c>
      <c r="E19" s="15" t="s">
        <v>14</v>
      </c>
      <c r="F19" s="159">
        <v>1</v>
      </c>
      <c r="G19" s="16">
        <f t="shared" si="8"/>
        <v>58510</v>
      </c>
      <c r="H19" s="16">
        <v>58510</v>
      </c>
      <c r="I19" s="174">
        <f t="shared" si="9"/>
        <v>0</v>
      </c>
      <c r="J19" s="32">
        <v>58510</v>
      </c>
      <c r="K19" s="69">
        <f t="shared" si="10"/>
        <v>0</v>
      </c>
      <c r="L19" s="71">
        <v>0</v>
      </c>
      <c r="M19" s="109">
        <v>0</v>
      </c>
      <c r="N19" s="110">
        <v>0.9</v>
      </c>
    </row>
    <row r="20" spans="1:17" ht="15" thickBot="1" x14ac:dyDescent="0.35">
      <c r="A20" s="14">
        <v>11</v>
      </c>
      <c r="B20" s="334" t="s">
        <v>615</v>
      </c>
      <c r="C20" s="14" t="s">
        <v>550</v>
      </c>
      <c r="D20" s="14" t="s">
        <v>1099</v>
      </c>
      <c r="E20" s="14" t="s">
        <v>14</v>
      </c>
      <c r="F20" s="160">
        <v>6</v>
      </c>
      <c r="G20" s="16">
        <f t="shared" si="8"/>
        <v>49750</v>
      </c>
      <c r="H20" s="16">
        <v>49750</v>
      </c>
      <c r="I20" s="174">
        <f t="shared" si="9"/>
        <v>0</v>
      </c>
      <c r="J20" s="31">
        <f>50470-720</f>
        <v>49750</v>
      </c>
      <c r="K20" s="69">
        <f t="shared" si="10"/>
        <v>0</v>
      </c>
      <c r="L20" s="50"/>
      <c r="M20" s="109"/>
      <c r="N20" s="110"/>
      <c r="O20" s="421"/>
      <c r="P20" s="422"/>
      <c r="Q20" s="423"/>
    </row>
    <row r="21" spans="1:17" ht="15" customHeight="1" thickBot="1" x14ac:dyDescent="0.35">
      <c r="A21" s="14">
        <v>12</v>
      </c>
      <c r="B21" s="286" t="s">
        <v>559</v>
      </c>
      <c r="C21" s="14" t="s">
        <v>550</v>
      </c>
      <c r="D21" s="14" t="s">
        <v>1099</v>
      </c>
      <c r="E21" s="15" t="s">
        <v>14</v>
      </c>
      <c r="F21" s="159">
        <v>11</v>
      </c>
      <c r="G21" s="16">
        <f t="shared" ref="G21:G24" si="11">H21-M21</f>
        <v>238057</v>
      </c>
      <c r="H21" s="16">
        <v>238057</v>
      </c>
      <c r="I21" s="174">
        <f t="shared" ref="I21:I24" si="12">J21-H21</f>
        <v>0</v>
      </c>
      <c r="J21" s="32">
        <v>238057</v>
      </c>
      <c r="K21" s="69">
        <f t="shared" ref="K21:K24" si="13">M21-L21</f>
        <v>0</v>
      </c>
      <c r="L21" s="71"/>
      <c r="M21" s="109"/>
      <c r="N21" s="110"/>
      <c r="O21" s="392" t="s">
        <v>1802</v>
      </c>
      <c r="P21" s="392"/>
      <c r="Q21" s="393"/>
    </row>
    <row r="22" spans="1:17" ht="15" customHeight="1" thickBot="1" x14ac:dyDescent="0.35">
      <c r="A22" s="14">
        <v>13</v>
      </c>
      <c r="B22" s="284" t="s">
        <v>599</v>
      </c>
      <c r="C22" s="14" t="s">
        <v>550</v>
      </c>
      <c r="D22" s="14" t="s">
        <v>1099</v>
      </c>
      <c r="E22" s="15" t="s">
        <v>14</v>
      </c>
      <c r="F22" s="159">
        <v>1</v>
      </c>
      <c r="G22" s="16">
        <f t="shared" si="11"/>
        <v>9195</v>
      </c>
      <c r="H22" s="16">
        <v>9195</v>
      </c>
      <c r="I22" s="174">
        <f t="shared" si="12"/>
        <v>0</v>
      </c>
      <c r="J22" s="32">
        <v>9195</v>
      </c>
      <c r="K22" s="69">
        <f t="shared" si="13"/>
        <v>0</v>
      </c>
      <c r="L22" s="71"/>
      <c r="M22" s="109"/>
      <c r="N22" s="110">
        <v>1</v>
      </c>
    </row>
    <row r="23" spans="1:17" ht="15" customHeight="1" thickBot="1" x14ac:dyDescent="0.35">
      <c r="A23" s="14">
        <v>14</v>
      </c>
      <c r="B23" s="286" t="s">
        <v>1185</v>
      </c>
      <c r="C23" s="14" t="s">
        <v>550</v>
      </c>
      <c r="D23" s="14" t="s">
        <v>1099</v>
      </c>
      <c r="E23" s="15" t="s">
        <v>14</v>
      </c>
      <c r="F23" s="15">
        <v>1</v>
      </c>
      <c r="G23" s="16">
        <f t="shared" si="11"/>
        <v>150090</v>
      </c>
      <c r="H23" s="16">
        <v>150090</v>
      </c>
      <c r="I23" s="174">
        <f t="shared" si="12"/>
        <v>0</v>
      </c>
      <c r="J23" s="32">
        <v>150090</v>
      </c>
      <c r="K23" s="69">
        <f t="shared" si="13"/>
        <v>0</v>
      </c>
      <c r="L23" s="71"/>
      <c r="M23" s="109"/>
      <c r="N23" s="110">
        <v>1</v>
      </c>
      <c r="O23" s="364" t="s">
        <v>1806</v>
      </c>
      <c r="P23" s="365"/>
      <c r="Q23" s="366"/>
    </row>
    <row r="24" spans="1:17" ht="15" customHeight="1" thickBot="1" x14ac:dyDescent="0.35">
      <c r="A24" s="14">
        <v>14</v>
      </c>
      <c r="B24" s="334" t="s">
        <v>1882</v>
      </c>
      <c r="C24" s="14" t="s">
        <v>550</v>
      </c>
      <c r="D24" s="14" t="s">
        <v>1099</v>
      </c>
      <c r="E24" s="15" t="s">
        <v>14</v>
      </c>
      <c r="F24" s="15">
        <v>1</v>
      </c>
      <c r="G24" s="16">
        <f t="shared" si="11"/>
        <v>15680</v>
      </c>
      <c r="H24" s="16">
        <v>15680</v>
      </c>
      <c r="I24" s="174">
        <f t="shared" si="12"/>
        <v>0</v>
      </c>
      <c r="J24" s="32">
        <v>15680</v>
      </c>
      <c r="K24" s="69">
        <f t="shared" si="13"/>
        <v>0</v>
      </c>
      <c r="L24" s="71"/>
      <c r="M24" s="109"/>
      <c r="N24" s="110">
        <v>1</v>
      </c>
      <c r="O24" s="398"/>
      <c r="P24" s="398"/>
      <c r="Q24" s="398"/>
    </row>
    <row r="25" spans="1:17" ht="15" customHeight="1" thickBot="1" x14ac:dyDescent="0.35">
      <c r="A25" s="14">
        <v>14</v>
      </c>
      <c r="B25" s="334" t="s">
        <v>1883</v>
      </c>
      <c r="C25" s="14" t="s">
        <v>550</v>
      </c>
      <c r="D25" s="14" t="s">
        <v>1099</v>
      </c>
      <c r="E25" s="15" t="s">
        <v>14</v>
      </c>
      <c r="F25" s="15">
        <v>1</v>
      </c>
      <c r="G25" s="16">
        <f t="shared" ref="G25:G26" si="14">H25-M25</f>
        <v>16200</v>
      </c>
      <c r="H25" s="16">
        <v>16200</v>
      </c>
      <c r="I25" s="174">
        <f t="shared" ref="I25:I26" si="15">J25-H25</f>
        <v>0</v>
      </c>
      <c r="J25" s="32">
        <v>16200</v>
      </c>
      <c r="K25" s="69">
        <f t="shared" ref="K25:K26" si="16">M25-L25</f>
        <v>0</v>
      </c>
      <c r="L25" s="71"/>
      <c r="M25" s="109"/>
      <c r="N25" s="110">
        <v>1</v>
      </c>
      <c r="O25" s="398"/>
      <c r="P25" s="398"/>
      <c r="Q25" s="398"/>
    </row>
    <row r="26" spans="1:17" ht="15" customHeight="1" thickBot="1" x14ac:dyDescent="0.35">
      <c r="A26" s="14">
        <v>15</v>
      </c>
      <c r="B26" s="334" t="s">
        <v>1162</v>
      </c>
      <c r="C26" s="14" t="s">
        <v>1819</v>
      </c>
      <c r="D26" s="14" t="s">
        <v>1099</v>
      </c>
      <c r="E26" s="15" t="s">
        <v>14</v>
      </c>
      <c r="F26" s="15">
        <v>6</v>
      </c>
      <c r="G26" s="16">
        <f t="shared" si="14"/>
        <v>254475</v>
      </c>
      <c r="H26" s="16">
        <v>254475</v>
      </c>
      <c r="I26" s="174">
        <f t="shared" si="15"/>
        <v>0</v>
      </c>
      <c r="J26" s="32">
        <v>254475</v>
      </c>
      <c r="K26" s="69">
        <f t="shared" si="16"/>
        <v>0</v>
      </c>
      <c r="L26" s="71"/>
      <c r="M26" s="109"/>
      <c r="N26" s="110">
        <v>1</v>
      </c>
      <c r="O26" s="398"/>
      <c r="P26" s="398"/>
      <c r="Q26" s="398"/>
    </row>
    <row r="27" spans="1:17" ht="15" customHeight="1" thickBot="1" x14ac:dyDescent="0.35">
      <c r="A27" s="14">
        <v>15</v>
      </c>
      <c r="B27" s="334" t="s">
        <v>1878</v>
      </c>
      <c r="C27" s="14" t="s">
        <v>1893</v>
      </c>
      <c r="D27" s="14" t="s">
        <v>1099</v>
      </c>
      <c r="E27" s="15" t="s">
        <v>14</v>
      </c>
      <c r="F27" s="15">
        <v>1</v>
      </c>
      <c r="G27" s="16">
        <f t="shared" si="8"/>
        <v>42350</v>
      </c>
      <c r="H27" s="16">
        <v>42350</v>
      </c>
      <c r="I27" s="174">
        <f t="shared" si="9"/>
        <v>0</v>
      </c>
      <c r="J27" s="32">
        <v>42350</v>
      </c>
      <c r="K27" s="69">
        <f t="shared" si="10"/>
        <v>0</v>
      </c>
      <c r="L27" s="71"/>
      <c r="M27" s="109"/>
      <c r="N27" s="110">
        <v>1</v>
      </c>
      <c r="O27" s="398"/>
      <c r="P27" s="398"/>
      <c r="Q27" s="398"/>
    </row>
    <row r="28" spans="1:17" ht="15" customHeight="1" thickBot="1" x14ac:dyDescent="0.35">
      <c r="A28" s="14">
        <v>15</v>
      </c>
      <c r="B28" s="334" t="s">
        <v>1892</v>
      </c>
      <c r="C28" s="14" t="s">
        <v>1123</v>
      </c>
      <c r="D28" s="14" t="s">
        <v>1099</v>
      </c>
      <c r="E28" s="15" t="s">
        <v>14</v>
      </c>
      <c r="F28" s="15">
        <v>3</v>
      </c>
      <c r="G28" s="16">
        <f t="shared" si="8"/>
        <v>33885</v>
      </c>
      <c r="H28" s="16">
        <v>33885</v>
      </c>
      <c r="I28" s="174">
        <f t="shared" si="9"/>
        <v>0</v>
      </c>
      <c r="J28" s="32">
        <v>33885</v>
      </c>
      <c r="K28" s="69">
        <f t="shared" si="10"/>
        <v>0</v>
      </c>
      <c r="L28" s="71"/>
      <c r="M28" s="109"/>
      <c r="N28" s="110">
        <v>1</v>
      </c>
      <c r="O28" s="398"/>
      <c r="P28" s="398"/>
      <c r="Q28" s="398"/>
    </row>
    <row r="29" spans="1:17" ht="15" customHeight="1" thickBot="1" x14ac:dyDescent="0.35">
      <c r="A29" s="14">
        <v>15</v>
      </c>
      <c r="B29" s="334" t="s">
        <v>1892</v>
      </c>
      <c r="C29" s="14" t="s">
        <v>1893</v>
      </c>
      <c r="D29" s="14" t="s">
        <v>1099</v>
      </c>
      <c r="E29" s="15" t="s">
        <v>14</v>
      </c>
      <c r="F29" s="15">
        <v>3</v>
      </c>
      <c r="G29" s="16">
        <f t="shared" ref="G29:G30" si="17">H29-M29</f>
        <v>71005</v>
      </c>
      <c r="H29" s="16">
        <v>71005</v>
      </c>
      <c r="I29" s="174">
        <f t="shared" ref="I29:I30" si="18">J29-H29</f>
        <v>0</v>
      </c>
      <c r="J29" s="32">
        <v>71005</v>
      </c>
      <c r="K29" s="69">
        <f t="shared" ref="K29:K30" si="19">M29-L29</f>
        <v>0</v>
      </c>
      <c r="L29" s="71"/>
      <c r="M29" s="109"/>
      <c r="N29" s="110">
        <v>1</v>
      </c>
      <c r="O29" s="398"/>
      <c r="P29" s="398"/>
      <c r="Q29" s="398"/>
    </row>
    <row r="30" spans="1:17" ht="13.2" customHeight="1" thickBot="1" x14ac:dyDescent="0.35">
      <c r="A30" s="14">
        <v>16</v>
      </c>
      <c r="B30" s="284" t="s">
        <v>1898</v>
      </c>
      <c r="C30" s="159" t="s">
        <v>1440</v>
      </c>
      <c r="D30" s="14" t="s">
        <v>1099</v>
      </c>
      <c r="E30" s="15" t="s">
        <v>14</v>
      </c>
      <c r="F30" s="15">
        <v>1</v>
      </c>
      <c r="G30" s="16">
        <f t="shared" si="17"/>
        <v>214206</v>
      </c>
      <c r="H30" s="16">
        <v>214206</v>
      </c>
      <c r="I30" s="16">
        <f t="shared" si="18"/>
        <v>0</v>
      </c>
      <c r="J30" s="32">
        <v>214206</v>
      </c>
      <c r="K30" s="69">
        <f t="shared" si="19"/>
        <v>0</v>
      </c>
      <c r="L30" s="71"/>
      <c r="M30" s="109"/>
      <c r="N30" s="110">
        <v>1</v>
      </c>
    </row>
    <row r="31" spans="1:17" ht="13.2" customHeight="1" thickBot="1" x14ac:dyDescent="0.35">
      <c r="A31" s="14">
        <v>16</v>
      </c>
      <c r="B31" s="284" t="s">
        <v>1439</v>
      </c>
      <c r="C31" s="159" t="s">
        <v>1440</v>
      </c>
      <c r="D31" s="14" t="s">
        <v>1099</v>
      </c>
      <c r="E31" s="15" t="s">
        <v>14</v>
      </c>
      <c r="F31" s="15">
        <v>4</v>
      </c>
      <c r="G31" s="16">
        <f t="shared" si="2"/>
        <v>1030200</v>
      </c>
      <c r="H31" s="16">
        <v>1030200</v>
      </c>
      <c r="I31" s="16">
        <f t="shared" si="3"/>
        <v>0</v>
      </c>
      <c r="J31" s="32">
        <v>1030200</v>
      </c>
      <c r="K31" s="69">
        <f t="shared" si="4"/>
        <v>0</v>
      </c>
      <c r="L31" s="71"/>
      <c r="M31" s="109"/>
      <c r="N31" s="110">
        <v>1</v>
      </c>
    </row>
    <row r="32" spans="1:17" ht="15" thickBot="1" x14ac:dyDescent="0.35">
      <c r="A32" s="14">
        <v>17</v>
      </c>
      <c r="B32" s="284" t="s">
        <v>1557</v>
      </c>
      <c r="C32" s="159" t="s">
        <v>1558</v>
      </c>
      <c r="D32" s="14" t="s">
        <v>1099</v>
      </c>
      <c r="E32" s="15" t="s">
        <v>14</v>
      </c>
      <c r="F32" s="15">
        <v>1</v>
      </c>
      <c r="G32" s="16">
        <f t="shared" si="2"/>
        <v>31950</v>
      </c>
      <c r="H32" s="16">
        <v>31950</v>
      </c>
      <c r="I32" s="16">
        <f t="shared" si="3"/>
        <v>0</v>
      </c>
      <c r="J32" s="32">
        <v>31950</v>
      </c>
      <c r="K32" s="69">
        <f t="shared" si="4"/>
        <v>0</v>
      </c>
      <c r="L32" s="71"/>
      <c r="M32" s="109"/>
      <c r="N32" s="110">
        <v>1</v>
      </c>
    </row>
    <row r="33" spans="1:17" ht="15" thickBot="1" x14ac:dyDescent="0.35">
      <c r="A33" s="14">
        <v>18</v>
      </c>
      <c r="B33" s="284" t="s">
        <v>1678</v>
      </c>
      <c r="C33" s="159" t="s">
        <v>1679</v>
      </c>
      <c r="D33" s="14" t="s">
        <v>1099</v>
      </c>
      <c r="E33" s="15" t="s">
        <v>14</v>
      </c>
      <c r="F33" s="15">
        <v>2</v>
      </c>
      <c r="G33" s="16">
        <f t="shared" si="2"/>
        <v>118400</v>
      </c>
      <c r="H33" s="16">
        <v>118400</v>
      </c>
      <c r="I33" s="16">
        <f t="shared" si="3"/>
        <v>0</v>
      </c>
      <c r="J33" s="32">
        <v>118400</v>
      </c>
      <c r="K33" s="69">
        <f t="shared" si="4"/>
        <v>0</v>
      </c>
      <c r="L33" s="71">
        <v>0</v>
      </c>
      <c r="M33" s="109">
        <v>0</v>
      </c>
      <c r="N33" s="110">
        <v>1</v>
      </c>
    </row>
    <row r="34" spans="1:17" ht="15" thickBot="1" x14ac:dyDescent="0.35">
      <c r="A34" s="14">
        <v>19</v>
      </c>
      <c r="B34" s="286" t="s">
        <v>556</v>
      </c>
      <c r="C34" s="14" t="s">
        <v>1384</v>
      </c>
      <c r="D34" s="14" t="s">
        <v>1099</v>
      </c>
      <c r="E34" s="15" t="s">
        <v>14</v>
      </c>
      <c r="F34" s="14">
        <v>2</v>
      </c>
      <c r="G34" s="16">
        <f t="shared" ref="G34:G39" si="20">H34-M34</f>
        <v>31200</v>
      </c>
      <c r="H34" s="16">
        <v>45700</v>
      </c>
      <c r="I34" s="16">
        <f t="shared" ref="I34:I39" si="21">J34-H34</f>
        <v>0</v>
      </c>
      <c r="J34" s="31">
        <v>45700</v>
      </c>
      <c r="K34" s="69">
        <f t="shared" ref="K34:K39" si="22">M34-L34</f>
        <v>0</v>
      </c>
      <c r="L34" s="50">
        <v>14500</v>
      </c>
      <c r="M34" s="109">
        <v>14500</v>
      </c>
      <c r="N34" s="110">
        <v>1</v>
      </c>
      <c r="O34" s="394" t="s">
        <v>1807</v>
      </c>
      <c r="P34" s="392"/>
      <c r="Q34" s="393"/>
    </row>
    <row r="35" spans="1:17" ht="15" customHeight="1" thickBot="1" x14ac:dyDescent="0.35">
      <c r="A35" s="14">
        <v>20</v>
      </c>
      <c r="B35" s="334" t="s">
        <v>1834</v>
      </c>
      <c r="C35" s="14" t="s">
        <v>1821</v>
      </c>
      <c r="D35" s="14" t="s">
        <v>1099</v>
      </c>
      <c r="E35" s="15" t="s">
        <v>14</v>
      </c>
      <c r="F35" s="15">
        <v>2</v>
      </c>
      <c r="G35" s="16">
        <f t="shared" ref="G35" si="23">H35-M35</f>
        <v>41800</v>
      </c>
      <c r="H35" s="16">
        <v>41800</v>
      </c>
      <c r="I35" s="16">
        <f t="shared" ref="I35" si="24">J35-H35</f>
        <v>0</v>
      </c>
      <c r="J35" s="32">
        <v>41800</v>
      </c>
      <c r="K35" s="69">
        <f t="shared" ref="K35" si="25">M35-L35</f>
        <v>0</v>
      </c>
      <c r="L35" s="71"/>
      <c r="M35" s="109"/>
      <c r="N35" s="110">
        <v>1</v>
      </c>
      <c r="O35" s="400"/>
      <c r="P35" s="401"/>
      <c r="Q35" s="402"/>
    </row>
    <row r="36" spans="1:17" ht="15" customHeight="1" thickBot="1" x14ac:dyDescent="0.35">
      <c r="A36" s="14">
        <v>20</v>
      </c>
      <c r="B36" s="334" t="s">
        <v>1834</v>
      </c>
      <c r="C36" s="14" t="s">
        <v>1123</v>
      </c>
      <c r="D36" s="14" t="s">
        <v>1099</v>
      </c>
      <c r="E36" s="15" t="s">
        <v>14</v>
      </c>
      <c r="F36" s="15">
        <v>1</v>
      </c>
      <c r="G36" s="16">
        <f t="shared" si="20"/>
        <v>6500</v>
      </c>
      <c r="H36" s="16">
        <v>6500</v>
      </c>
      <c r="I36" s="16">
        <f t="shared" si="21"/>
        <v>0</v>
      </c>
      <c r="J36" s="32">
        <v>6500</v>
      </c>
      <c r="K36" s="69">
        <f t="shared" si="22"/>
        <v>0</v>
      </c>
      <c r="L36" s="71"/>
      <c r="M36" s="109"/>
      <c r="N36" s="110">
        <v>1</v>
      </c>
      <c r="O36" s="363"/>
      <c r="P36" s="398"/>
      <c r="Q36" s="399"/>
    </row>
    <row r="37" spans="1:17" ht="15" thickBot="1" x14ac:dyDescent="0.35">
      <c r="A37" s="14">
        <v>21</v>
      </c>
      <c r="B37" s="334" t="s">
        <v>1820</v>
      </c>
      <c r="C37" s="14" t="s">
        <v>1821</v>
      </c>
      <c r="D37" s="14" t="s">
        <v>1099</v>
      </c>
      <c r="E37" s="14" t="s">
        <v>14</v>
      </c>
      <c r="F37" s="14">
        <v>2</v>
      </c>
      <c r="G37" s="16">
        <f t="shared" ref="G37" si="26">H37-M37</f>
        <v>48065</v>
      </c>
      <c r="H37" s="16">
        <v>48065</v>
      </c>
      <c r="I37" s="16">
        <f t="shared" ref="I37" si="27">J37-H37</f>
        <v>0</v>
      </c>
      <c r="J37" s="31">
        <v>48065</v>
      </c>
      <c r="K37" s="69">
        <f t="shared" ref="K37" si="28">M37-L37</f>
        <v>0</v>
      </c>
      <c r="L37" s="50">
        <v>0</v>
      </c>
      <c r="M37" s="109">
        <v>0</v>
      </c>
      <c r="N37" s="110">
        <v>1</v>
      </c>
      <c r="O37" s="403"/>
      <c r="P37" s="404"/>
      <c r="Q37" s="405"/>
    </row>
    <row r="38" spans="1:17" ht="15" thickBot="1" x14ac:dyDescent="0.35">
      <c r="A38" s="14">
        <v>22</v>
      </c>
      <c r="B38" s="334" t="s">
        <v>1900</v>
      </c>
      <c r="C38" s="14" t="s">
        <v>1821</v>
      </c>
      <c r="D38" s="14" t="s">
        <v>1099</v>
      </c>
      <c r="E38" s="14" t="s">
        <v>14</v>
      </c>
      <c r="F38" s="14">
        <v>1</v>
      </c>
      <c r="G38" s="16">
        <f t="shared" si="20"/>
        <v>3920</v>
      </c>
      <c r="H38" s="16">
        <v>3920</v>
      </c>
      <c r="I38" s="16">
        <f t="shared" si="21"/>
        <v>0</v>
      </c>
      <c r="J38" s="31">
        <v>3920</v>
      </c>
      <c r="K38" s="69">
        <f t="shared" si="22"/>
        <v>0</v>
      </c>
      <c r="L38" s="50">
        <v>0</v>
      </c>
      <c r="M38" s="109">
        <v>0</v>
      </c>
      <c r="N38" s="110">
        <v>1</v>
      </c>
      <c r="O38" s="403"/>
      <c r="P38" s="404"/>
      <c r="Q38" s="405"/>
    </row>
    <row r="39" spans="1:17" ht="15" thickBot="1" x14ac:dyDescent="0.35">
      <c r="A39" s="14">
        <v>23</v>
      </c>
      <c r="B39" s="334" t="s">
        <v>1899</v>
      </c>
      <c r="C39" s="14" t="s">
        <v>1123</v>
      </c>
      <c r="D39" s="14" t="s">
        <v>1099</v>
      </c>
      <c r="E39" s="14" t="s">
        <v>14</v>
      </c>
      <c r="F39" s="14">
        <v>1</v>
      </c>
      <c r="G39" s="16">
        <f t="shared" si="20"/>
        <v>26520</v>
      </c>
      <c r="H39" s="16">
        <v>26520</v>
      </c>
      <c r="I39" s="16">
        <f t="shared" si="21"/>
        <v>0</v>
      </c>
      <c r="J39" s="31">
        <v>26520</v>
      </c>
      <c r="K39" s="69">
        <f t="shared" si="22"/>
        <v>0</v>
      </c>
      <c r="L39" s="50">
        <v>0</v>
      </c>
      <c r="M39" s="109">
        <v>0</v>
      </c>
      <c r="N39" s="110">
        <v>1</v>
      </c>
      <c r="O39" s="403"/>
      <c r="P39" s="404"/>
      <c r="Q39" s="405"/>
    </row>
    <row r="40" spans="1:17" ht="15" thickBot="1" x14ac:dyDescent="0.35">
      <c r="A40" s="14">
        <v>24</v>
      </c>
      <c r="B40" s="334" t="s">
        <v>1901</v>
      </c>
      <c r="C40" s="14" t="s">
        <v>1123</v>
      </c>
      <c r="D40" s="14" t="s">
        <v>1099</v>
      </c>
      <c r="E40" s="14" t="s">
        <v>14</v>
      </c>
      <c r="F40" s="14">
        <v>1</v>
      </c>
      <c r="G40" s="16">
        <f t="shared" si="2"/>
        <v>32110</v>
      </c>
      <c r="H40" s="16">
        <v>32110</v>
      </c>
      <c r="I40" s="16">
        <f t="shared" si="3"/>
        <v>0</v>
      </c>
      <c r="J40" s="31">
        <v>32110</v>
      </c>
      <c r="K40" s="69">
        <f t="shared" si="4"/>
        <v>0</v>
      </c>
      <c r="L40" s="50">
        <v>0</v>
      </c>
      <c r="M40" s="109">
        <v>0</v>
      </c>
      <c r="N40" s="110">
        <v>1</v>
      </c>
      <c r="O40" s="403"/>
      <c r="P40" s="404"/>
      <c r="Q40" s="405"/>
    </row>
    <row r="41" spans="1:17" ht="18.600000000000001" thickBot="1" x14ac:dyDescent="0.35">
      <c r="A41" s="14"/>
      <c r="B41" s="389" t="s">
        <v>1762</v>
      </c>
      <c r="C41" s="390"/>
      <c r="D41" s="390"/>
      <c r="E41" s="391"/>
      <c r="F41" s="15"/>
      <c r="G41" s="15"/>
      <c r="H41" s="200"/>
      <c r="I41" s="200"/>
      <c r="J41" s="155"/>
      <c r="K41" s="250"/>
      <c r="L41" s="250"/>
      <c r="M41" s="251"/>
      <c r="N41" s="248"/>
      <c r="P41" s="249"/>
    </row>
    <row r="42" spans="1:17" ht="16.2" customHeight="1" thickBot="1" x14ac:dyDescent="0.35">
      <c r="A42" s="25">
        <v>1</v>
      </c>
      <c r="B42" s="284" t="s">
        <v>1341</v>
      </c>
      <c r="C42" s="15" t="s">
        <v>1342</v>
      </c>
      <c r="D42" s="15" t="s">
        <v>1343</v>
      </c>
      <c r="E42" s="15" t="s">
        <v>1099</v>
      </c>
      <c r="F42" s="15">
        <v>1</v>
      </c>
      <c r="G42" s="16">
        <f t="shared" ref="G42" si="29">H42-M42</f>
        <v>45335</v>
      </c>
      <c r="H42" s="16">
        <v>45335</v>
      </c>
      <c r="I42" s="16">
        <f t="shared" ref="I42" si="30">J42-H42</f>
        <v>0</v>
      </c>
      <c r="J42" s="32">
        <v>45335</v>
      </c>
      <c r="K42" s="69">
        <f t="shared" ref="K42" si="31">M42-L42</f>
        <v>0</v>
      </c>
      <c r="L42" s="71"/>
      <c r="M42" s="109"/>
      <c r="N42" s="110">
        <v>0.9</v>
      </c>
    </row>
    <row r="43" spans="1:17" ht="15" thickBot="1" x14ac:dyDescent="0.35">
      <c r="A43" s="14">
        <v>1</v>
      </c>
      <c r="B43" s="285" t="s">
        <v>544</v>
      </c>
      <c r="C43" s="14" t="s">
        <v>1761</v>
      </c>
      <c r="D43" s="14" t="s">
        <v>1099</v>
      </c>
      <c r="E43" s="14" t="s">
        <v>1099</v>
      </c>
      <c r="F43" s="14">
        <v>1</v>
      </c>
      <c r="G43" s="16">
        <f t="shared" ref="G43" si="32">H43-M43</f>
        <v>10000</v>
      </c>
      <c r="H43" s="16">
        <v>10000</v>
      </c>
      <c r="I43" s="174">
        <f t="shared" ref="I43" si="33">J43-H43</f>
        <v>0</v>
      </c>
      <c r="J43" s="31">
        <v>10000</v>
      </c>
      <c r="K43" s="69">
        <f t="shared" ref="K43" si="34">M43-L43</f>
        <v>0</v>
      </c>
      <c r="L43" s="50"/>
      <c r="M43" s="109"/>
      <c r="N43" s="110">
        <v>1</v>
      </c>
    </row>
    <row r="44" spans="1:17" ht="15" thickBot="1" x14ac:dyDescent="0.35">
      <c r="A44" s="14">
        <v>2</v>
      </c>
      <c r="B44" s="285" t="s">
        <v>693</v>
      </c>
      <c r="C44" s="21" t="s">
        <v>748</v>
      </c>
      <c r="D44" s="14" t="s">
        <v>1099</v>
      </c>
      <c r="E44" s="14" t="s">
        <v>1099</v>
      </c>
      <c r="F44" s="15">
        <v>3</v>
      </c>
      <c r="G44" s="16">
        <f t="shared" ref="G44" si="35">H44-M44</f>
        <v>31347</v>
      </c>
      <c r="H44" s="16">
        <v>32447</v>
      </c>
      <c r="I44" s="174">
        <f>J44-H44</f>
        <v>0</v>
      </c>
      <c r="J44" s="31">
        <v>32447</v>
      </c>
      <c r="K44" s="69">
        <f t="shared" ref="K44" si="36">M44-L44</f>
        <v>0</v>
      </c>
      <c r="L44" s="50">
        <v>1100</v>
      </c>
      <c r="M44" s="109">
        <v>1100</v>
      </c>
      <c r="N44" s="110">
        <v>1</v>
      </c>
    </row>
    <row r="45" spans="1:17" ht="15" thickBot="1" x14ac:dyDescent="0.35">
      <c r="A45" s="14">
        <v>3</v>
      </c>
      <c r="B45" s="334" t="s">
        <v>874</v>
      </c>
      <c r="C45" s="388" t="s">
        <v>837</v>
      </c>
      <c r="D45" s="14" t="s">
        <v>1099</v>
      </c>
      <c r="E45" s="14" t="s">
        <v>1099</v>
      </c>
      <c r="F45" s="15">
        <v>6</v>
      </c>
      <c r="G45" s="16">
        <f t="shared" ref="G45" si="37">H45-M45</f>
        <v>231645</v>
      </c>
      <c r="H45" s="16">
        <v>231645</v>
      </c>
      <c r="I45" s="174">
        <f t="shared" ref="I45" si="38">J45-H45</f>
        <v>0</v>
      </c>
      <c r="J45" s="31">
        <v>231645</v>
      </c>
      <c r="K45" s="69">
        <f t="shared" ref="K45" si="39">M45-L45</f>
        <v>0</v>
      </c>
      <c r="L45" s="50"/>
      <c r="M45" s="109"/>
      <c r="N45" s="110">
        <v>0.9</v>
      </c>
      <c r="O45" s="395"/>
      <c r="P45" s="396"/>
      <c r="Q45" s="397"/>
    </row>
    <row r="46" spans="1:17" ht="15" thickBot="1" x14ac:dyDescent="0.35">
      <c r="A46" s="14">
        <v>4</v>
      </c>
      <c r="B46" s="286" t="s">
        <v>919</v>
      </c>
      <c r="C46" s="388" t="s">
        <v>557</v>
      </c>
      <c r="D46" s="14" t="s">
        <v>1099</v>
      </c>
      <c r="E46" s="14" t="s">
        <v>1099</v>
      </c>
      <c r="F46" s="15">
        <v>3</v>
      </c>
      <c r="G46" s="16">
        <f t="shared" ref="G46:G47" si="40">H46-M46</f>
        <v>45709</v>
      </c>
      <c r="H46" s="16">
        <v>45709</v>
      </c>
      <c r="I46" s="174">
        <f t="shared" ref="I46" si="41">J46-H46</f>
        <v>0</v>
      </c>
      <c r="J46" s="31">
        <v>45709</v>
      </c>
      <c r="K46" s="69">
        <f t="shared" ref="K46:K47" si="42">M46-L46</f>
        <v>0</v>
      </c>
      <c r="L46" s="50"/>
      <c r="M46" s="109"/>
      <c r="N46" s="110">
        <v>1</v>
      </c>
      <c r="O46" s="394" t="s">
        <v>1804</v>
      </c>
      <c r="P46" s="392"/>
      <c r="Q46" s="393"/>
    </row>
    <row r="47" spans="1:17" ht="15" customHeight="1" thickBot="1" x14ac:dyDescent="0.35">
      <c r="A47" s="14">
        <v>5</v>
      </c>
      <c r="B47" s="284" t="s">
        <v>929</v>
      </c>
      <c r="C47" s="21" t="s">
        <v>605</v>
      </c>
      <c r="D47" s="14" t="s">
        <v>1099</v>
      </c>
      <c r="E47" s="14" t="s">
        <v>1099</v>
      </c>
      <c r="F47" s="15">
        <v>1</v>
      </c>
      <c r="G47" s="16">
        <f t="shared" si="40"/>
        <v>2500</v>
      </c>
      <c r="H47" s="16">
        <v>2500</v>
      </c>
      <c r="I47" s="16">
        <f>J47-H47</f>
        <v>0</v>
      </c>
      <c r="J47" s="31">
        <v>2500</v>
      </c>
      <c r="K47" s="69">
        <f t="shared" si="42"/>
        <v>0</v>
      </c>
      <c r="L47" s="50"/>
      <c r="M47" s="109"/>
      <c r="N47" s="110"/>
    </row>
    <row r="48" spans="1:17" ht="15" customHeight="1" thickBot="1" x14ac:dyDescent="0.35">
      <c r="A48" s="14">
        <v>6</v>
      </c>
      <c r="B48" s="286" t="s">
        <v>976</v>
      </c>
      <c r="C48" s="14" t="s">
        <v>1089</v>
      </c>
      <c r="D48" s="14" t="s">
        <v>1235</v>
      </c>
      <c r="E48" s="14" t="s">
        <v>1099</v>
      </c>
      <c r="F48" s="15">
        <v>3</v>
      </c>
      <c r="G48" s="16">
        <f t="shared" ref="G48:G52" si="43">H48-M48</f>
        <v>51290</v>
      </c>
      <c r="H48" s="16">
        <v>51290</v>
      </c>
      <c r="I48" s="16">
        <f>J48-H48</f>
        <v>0</v>
      </c>
      <c r="J48" s="32">
        <v>51290</v>
      </c>
      <c r="K48" s="69">
        <f t="shared" ref="K48:K52" si="44">M48-L48</f>
        <v>0</v>
      </c>
      <c r="L48" s="71"/>
      <c r="M48" s="109"/>
      <c r="N48" s="110"/>
      <c r="O48" s="394" t="s">
        <v>1805</v>
      </c>
      <c r="P48" s="392"/>
      <c r="Q48" s="393"/>
    </row>
    <row r="49" spans="1:17" ht="15" thickBot="1" x14ac:dyDescent="0.35">
      <c r="A49" s="14">
        <v>7</v>
      </c>
      <c r="B49" s="284" t="s">
        <v>977</v>
      </c>
      <c r="C49" s="14" t="s">
        <v>955</v>
      </c>
      <c r="D49" s="14" t="s">
        <v>1100</v>
      </c>
      <c r="E49" s="14" t="s">
        <v>1099</v>
      </c>
      <c r="F49" s="15">
        <v>5</v>
      </c>
      <c r="G49" s="16">
        <f t="shared" si="43"/>
        <v>22287</v>
      </c>
      <c r="H49" s="16">
        <v>22287</v>
      </c>
      <c r="I49" s="16">
        <f t="shared" ref="I49:I51" si="45">J49-H49</f>
        <v>0</v>
      </c>
      <c r="J49" s="32">
        <v>22287</v>
      </c>
      <c r="K49" s="69">
        <f t="shared" si="44"/>
        <v>0</v>
      </c>
      <c r="L49" s="71"/>
      <c r="M49" s="109"/>
      <c r="N49" s="110">
        <v>1</v>
      </c>
      <c r="O49" s="418"/>
      <c r="P49" s="419"/>
      <c r="Q49" s="420"/>
    </row>
    <row r="50" spans="1:17" ht="15" thickBot="1" x14ac:dyDescent="0.35">
      <c r="A50" s="14">
        <v>8</v>
      </c>
      <c r="B50" s="284" t="s">
        <v>1765</v>
      </c>
      <c r="C50" s="14" t="s">
        <v>557</v>
      </c>
      <c r="D50" s="14" t="s">
        <v>1100</v>
      </c>
      <c r="E50" s="14" t="s">
        <v>1099</v>
      </c>
      <c r="F50" s="15">
        <v>3</v>
      </c>
      <c r="G50" s="16">
        <f t="shared" si="43"/>
        <v>40400</v>
      </c>
      <c r="H50" s="16">
        <v>44000</v>
      </c>
      <c r="I50" s="16">
        <f t="shared" si="45"/>
        <v>0</v>
      </c>
      <c r="J50" s="32">
        <v>44000</v>
      </c>
      <c r="K50" s="69">
        <f t="shared" si="44"/>
        <v>0</v>
      </c>
      <c r="L50" s="71">
        <v>3600</v>
      </c>
      <c r="M50" s="109">
        <v>3600</v>
      </c>
      <c r="N50" s="110">
        <v>1</v>
      </c>
    </row>
    <row r="51" spans="1:17" ht="15" thickBot="1" x14ac:dyDescent="0.35">
      <c r="A51" s="14">
        <v>9</v>
      </c>
      <c r="B51" s="286" t="s">
        <v>977</v>
      </c>
      <c r="C51" s="14" t="s">
        <v>960</v>
      </c>
      <c r="D51" s="14" t="s">
        <v>1099</v>
      </c>
      <c r="E51" s="14" t="s">
        <v>1099</v>
      </c>
      <c r="F51" s="15">
        <v>1</v>
      </c>
      <c r="G51" s="16">
        <f t="shared" si="43"/>
        <v>35000</v>
      </c>
      <c r="H51" s="16">
        <v>35000</v>
      </c>
      <c r="I51" s="16">
        <f t="shared" si="45"/>
        <v>0</v>
      </c>
      <c r="J51" s="32">
        <v>35000</v>
      </c>
      <c r="K51" s="69">
        <f t="shared" si="44"/>
        <v>0</v>
      </c>
      <c r="L51" s="71"/>
      <c r="M51" s="109"/>
      <c r="N51" s="110">
        <v>1</v>
      </c>
      <c r="O51" s="364" t="s">
        <v>1805</v>
      </c>
      <c r="P51" s="365"/>
      <c r="Q51" s="366"/>
    </row>
    <row r="52" spans="1:17" ht="15" thickBot="1" x14ac:dyDescent="0.35">
      <c r="A52" s="14">
        <v>10</v>
      </c>
      <c r="B52" s="284" t="s">
        <v>987</v>
      </c>
      <c r="C52" s="20" t="s">
        <v>988</v>
      </c>
      <c r="D52" s="14" t="s">
        <v>1099</v>
      </c>
      <c r="E52" s="14" t="s">
        <v>1099</v>
      </c>
      <c r="F52" s="15">
        <v>2</v>
      </c>
      <c r="G52" s="16">
        <f t="shared" si="43"/>
        <v>9550</v>
      </c>
      <c r="H52" s="16">
        <v>9550</v>
      </c>
      <c r="I52" s="16">
        <f t="shared" ref="I52" si="46">J52-H52</f>
        <v>0</v>
      </c>
      <c r="J52" s="32">
        <v>9550</v>
      </c>
      <c r="K52" s="69">
        <f t="shared" si="44"/>
        <v>0</v>
      </c>
      <c r="L52" s="71">
        <v>0</v>
      </c>
      <c r="M52" s="109">
        <v>0</v>
      </c>
      <c r="N52" s="110">
        <v>1</v>
      </c>
    </row>
    <row r="53" spans="1:17" ht="17.399999999999999" customHeight="1" thickBot="1" x14ac:dyDescent="0.35">
      <c r="A53" s="14">
        <v>11</v>
      </c>
      <c r="B53" s="284" t="s">
        <v>1194</v>
      </c>
      <c r="C53" s="15" t="s">
        <v>960</v>
      </c>
      <c r="D53" s="14" t="s">
        <v>1099</v>
      </c>
      <c r="E53" s="14" t="s">
        <v>1099</v>
      </c>
      <c r="F53" s="15">
        <v>2</v>
      </c>
      <c r="G53" s="16">
        <f t="shared" ref="G53:G56" si="47">H53-M53</f>
        <v>46000</v>
      </c>
      <c r="H53" s="16">
        <v>46000</v>
      </c>
      <c r="I53" s="16">
        <f t="shared" ref="I53:I54" si="48">J53-H53</f>
        <v>0</v>
      </c>
      <c r="J53" s="32">
        <v>46000</v>
      </c>
      <c r="K53" s="69">
        <f t="shared" ref="K53" si="49">M53-L53</f>
        <v>0</v>
      </c>
      <c r="L53" s="71"/>
      <c r="M53" s="109"/>
      <c r="N53" s="110">
        <v>1</v>
      </c>
    </row>
    <row r="54" spans="1:17" ht="15" thickBot="1" x14ac:dyDescent="0.35">
      <c r="A54" s="14">
        <v>12</v>
      </c>
      <c r="B54" s="284" t="s">
        <v>1277</v>
      </c>
      <c r="C54" s="15" t="s">
        <v>1278</v>
      </c>
      <c r="D54" s="15" t="s">
        <v>1099</v>
      </c>
      <c r="E54" s="14" t="s">
        <v>1099</v>
      </c>
      <c r="F54" s="15">
        <v>4</v>
      </c>
      <c r="G54" s="16">
        <f t="shared" si="47"/>
        <v>52429</v>
      </c>
      <c r="H54" s="16">
        <v>52429</v>
      </c>
      <c r="I54" s="16">
        <f t="shared" si="48"/>
        <v>0</v>
      </c>
      <c r="J54" s="32">
        <v>52429</v>
      </c>
      <c r="K54" s="69">
        <f t="shared" ref="K54:K56" si="50">M54-L54</f>
        <v>0</v>
      </c>
      <c r="L54" s="71"/>
      <c r="M54" s="109"/>
      <c r="N54" s="110">
        <v>0.97</v>
      </c>
    </row>
    <row r="55" spans="1:17" ht="15" thickBot="1" x14ac:dyDescent="0.35">
      <c r="A55" s="14">
        <v>13</v>
      </c>
      <c r="B55" s="284" t="s">
        <v>1307</v>
      </c>
      <c r="C55" s="15" t="s">
        <v>621</v>
      </c>
      <c r="D55" s="15" t="s">
        <v>1099</v>
      </c>
      <c r="E55" s="15" t="s">
        <v>1099</v>
      </c>
      <c r="F55" s="15">
        <v>1</v>
      </c>
      <c r="G55" s="16">
        <f t="shared" si="47"/>
        <v>16543</v>
      </c>
      <c r="H55" s="16">
        <v>16543</v>
      </c>
      <c r="I55" s="16">
        <f t="shared" ref="I55:I61" si="51">J55-H55</f>
        <v>0</v>
      </c>
      <c r="J55" s="32">
        <v>16543</v>
      </c>
      <c r="K55" s="69">
        <f t="shared" si="50"/>
        <v>0</v>
      </c>
      <c r="L55" s="71"/>
      <c r="M55" s="109"/>
      <c r="N55" s="110">
        <v>1</v>
      </c>
    </row>
    <row r="56" spans="1:17" ht="15" thickBot="1" x14ac:dyDescent="0.35">
      <c r="A56" s="25">
        <v>14</v>
      </c>
      <c r="B56" s="284" t="s">
        <v>1140</v>
      </c>
      <c r="C56" s="15" t="s">
        <v>1141</v>
      </c>
      <c r="D56" s="15" t="s">
        <v>1099</v>
      </c>
      <c r="E56" s="15" t="s">
        <v>1099</v>
      </c>
      <c r="F56" s="15">
        <v>1</v>
      </c>
      <c r="G56" s="16">
        <f t="shared" si="47"/>
        <v>6000</v>
      </c>
      <c r="H56" s="16">
        <v>6000</v>
      </c>
      <c r="I56" s="16">
        <f t="shared" si="51"/>
        <v>0</v>
      </c>
      <c r="J56" s="32">
        <v>6000</v>
      </c>
      <c r="K56" s="69">
        <f t="shared" si="50"/>
        <v>0</v>
      </c>
      <c r="L56" s="71"/>
      <c r="M56" s="109"/>
      <c r="N56" s="110"/>
    </row>
    <row r="57" spans="1:17" ht="18.600000000000001" thickBot="1" x14ac:dyDescent="0.35">
      <c r="A57" s="14"/>
      <c r="B57" s="389" t="s">
        <v>1764</v>
      </c>
      <c r="C57" s="390"/>
      <c r="D57" s="390"/>
      <c r="E57" s="391"/>
      <c r="F57" s="15"/>
      <c r="G57" s="15"/>
      <c r="H57" s="200"/>
      <c r="I57" s="200"/>
      <c r="J57" s="155"/>
      <c r="K57" s="250"/>
      <c r="L57" s="250"/>
      <c r="M57" s="251"/>
      <c r="N57" s="248"/>
      <c r="P57" s="249"/>
    </row>
    <row r="58" spans="1:17" ht="20.25" customHeight="1" thickBot="1" x14ac:dyDescent="0.35">
      <c r="A58" s="14">
        <v>1</v>
      </c>
      <c r="B58" s="284" t="s">
        <v>1167</v>
      </c>
      <c r="C58" s="159" t="s">
        <v>1165</v>
      </c>
      <c r="D58" s="15" t="s">
        <v>1099</v>
      </c>
      <c r="E58" s="15" t="s">
        <v>1099</v>
      </c>
      <c r="F58" s="15">
        <v>3</v>
      </c>
      <c r="G58" s="16">
        <f t="shared" ref="G58:G61" si="52">H58-M58</f>
        <v>33088</v>
      </c>
      <c r="H58" s="16">
        <v>33088</v>
      </c>
      <c r="I58" s="16">
        <f t="shared" si="51"/>
        <v>0</v>
      </c>
      <c r="J58" s="32">
        <v>33088</v>
      </c>
      <c r="K58" s="69">
        <f t="shared" ref="K58:K61" si="53">M58-L58</f>
        <v>0</v>
      </c>
      <c r="L58" s="71"/>
      <c r="M58" s="109"/>
      <c r="N58" s="110">
        <v>1</v>
      </c>
    </row>
    <row r="59" spans="1:17" ht="20.25" customHeight="1" thickBot="1" x14ac:dyDescent="0.35">
      <c r="A59" s="14">
        <v>2</v>
      </c>
      <c r="B59" s="284" t="s">
        <v>1391</v>
      </c>
      <c r="C59" s="159" t="s">
        <v>1165</v>
      </c>
      <c r="D59" s="15" t="s">
        <v>1099</v>
      </c>
      <c r="E59" s="15" t="s">
        <v>1099</v>
      </c>
      <c r="F59" s="15">
        <v>3</v>
      </c>
      <c r="G59" s="16">
        <f t="shared" si="52"/>
        <v>2320</v>
      </c>
      <c r="H59" s="16">
        <v>2320</v>
      </c>
      <c r="I59" s="16">
        <f t="shared" si="51"/>
        <v>0</v>
      </c>
      <c r="J59" s="32">
        <v>2320</v>
      </c>
      <c r="K59" s="69">
        <f t="shared" si="53"/>
        <v>0</v>
      </c>
      <c r="L59" s="71"/>
      <c r="M59" s="109"/>
      <c r="N59" s="110">
        <v>1</v>
      </c>
    </row>
    <row r="60" spans="1:17" ht="15" thickBot="1" x14ac:dyDescent="0.35">
      <c r="A60" s="14">
        <v>3</v>
      </c>
      <c r="B60" s="284" t="s">
        <v>1359</v>
      </c>
      <c r="C60" s="159" t="s">
        <v>1165</v>
      </c>
      <c r="D60" s="14" t="s">
        <v>1099</v>
      </c>
      <c r="E60" s="15" t="s">
        <v>1099</v>
      </c>
      <c r="F60" s="15">
        <v>1</v>
      </c>
      <c r="G60" s="16">
        <f t="shared" si="52"/>
        <v>165263</v>
      </c>
      <c r="H60" s="16">
        <v>165263</v>
      </c>
      <c r="I60" s="16">
        <f t="shared" si="51"/>
        <v>0</v>
      </c>
      <c r="J60" s="32">
        <v>165263</v>
      </c>
      <c r="K60" s="69">
        <f t="shared" si="53"/>
        <v>0</v>
      </c>
      <c r="L60" s="71"/>
      <c r="M60" s="109"/>
      <c r="N60" s="110">
        <v>1</v>
      </c>
    </row>
    <row r="61" spans="1:17" ht="20.25" customHeight="1" thickBot="1" x14ac:dyDescent="0.35">
      <c r="A61" s="14">
        <v>4</v>
      </c>
      <c r="B61" s="284" t="s">
        <v>1209</v>
      </c>
      <c r="C61" s="15" t="s">
        <v>1210</v>
      </c>
      <c r="D61" s="14" t="s">
        <v>1099</v>
      </c>
      <c r="E61" s="15" t="s">
        <v>1099</v>
      </c>
      <c r="F61" s="15">
        <v>6</v>
      </c>
      <c r="G61" s="16">
        <f t="shared" si="52"/>
        <v>289035</v>
      </c>
      <c r="H61" s="16">
        <v>323485</v>
      </c>
      <c r="I61" s="16">
        <f t="shared" si="51"/>
        <v>0</v>
      </c>
      <c r="J61" s="32">
        <v>323485</v>
      </c>
      <c r="K61" s="69">
        <f t="shared" si="53"/>
        <v>0</v>
      </c>
      <c r="L61" s="71">
        <v>34450</v>
      </c>
      <c r="M61" s="109">
        <v>34450</v>
      </c>
      <c r="N61" s="110">
        <v>1</v>
      </c>
    </row>
    <row r="62" spans="1:17" ht="15" thickBot="1" x14ac:dyDescent="0.35">
      <c r="A62" s="14">
        <v>5</v>
      </c>
      <c r="B62" s="284" t="s">
        <v>1682</v>
      </c>
      <c r="C62" s="159" t="s">
        <v>1210</v>
      </c>
      <c r="D62" s="14" t="s">
        <v>1099</v>
      </c>
      <c r="E62" s="15" t="s">
        <v>1099</v>
      </c>
      <c r="F62" s="15">
        <v>3</v>
      </c>
      <c r="G62" s="16">
        <f t="shared" ref="G62:G74" si="54">H62-M62</f>
        <v>199398</v>
      </c>
      <c r="H62" s="16">
        <v>199398</v>
      </c>
      <c r="I62" s="16">
        <f t="shared" ref="I62:I84" si="55">J62-H62</f>
        <v>0</v>
      </c>
      <c r="J62" s="32">
        <v>199398</v>
      </c>
      <c r="K62" s="69">
        <f t="shared" ref="K62" si="56">M62-L62</f>
        <v>0</v>
      </c>
      <c r="L62" s="71">
        <v>0</v>
      </c>
      <c r="M62" s="109">
        <v>0</v>
      </c>
      <c r="N62" s="110">
        <v>1</v>
      </c>
    </row>
    <row r="63" spans="1:17" ht="15" thickBot="1" x14ac:dyDescent="0.35">
      <c r="A63" s="258"/>
      <c r="B63" s="261"/>
      <c r="C63" s="260"/>
      <c r="D63" s="259"/>
      <c r="E63" s="257"/>
      <c r="F63" s="257"/>
      <c r="G63" s="256"/>
      <c r="H63" s="256"/>
      <c r="I63" s="256"/>
      <c r="J63" s="256"/>
      <c r="K63" s="256"/>
      <c r="L63" s="256"/>
      <c r="M63" s="256"/>
      <c r="N63" s="255"/>
    </row>
    <row r="64" spans="1:17" ht="29.4" thickBot="1" x14ac:dyDescent="0.35">
      <c r="A64" s="14" t="s">
        <v>1</v>
      </c>
      <c r="B64" s="14" t="s">
        <v>491</v>
      </c>
      <c r="C64" s="14" t="s">
        <v>5</v>
      </c>
      <c r="D64" s="14" t="s">
        <v>492</v>
      </c>
      <c r="E64" s="14" t="s">
        <v>493</v>
      </c>
      <c r="F64" s="15" t="s">
        <v>494</v>
      </c>
      <c r="G64" s="15" t="s">
        <v>484</v>
      </c>
      <c r="H64" s="34" t="s">
        <v>60</v>
      </c>
      <c r="I64" s="14" t="s">
        <v>61</v>
      </c>
      <c r="J64" s="306" t="s">
        <v>2</v>
      </c>
      <c r="K64" s="67" t="s">
        <v>1775</v>
      </c>
      <c r="L64" s="49" t="s">
        <v>1774</v>
      </c>
      <c r="M64" s="251"/>
      <c r="P64" s="249"/>
    </row>
    <row r="65" spans="1:16" ht="18.600000000000001" thickBot="1" x14ac:dyDescent="0.35">
      <c r="A65" s="14"/>
      <c r="B65" s="389" t="s">
        <v>1763</v>
      </c>
      <c r="C65" s="390"/>
      <c r="D65" s="390"/>
      <c r="E65" s="391"/>
      <c r="F65" s="15"/>
      <c r="G65" s="15"/>
      <c r="H65" s="200"/>
      <c r="I65" s="200"/>
      <c r="J65" s="155"/>
      <c r="K65" s="250"/>
      <c r="L65" s="250"/>
      <c r="M65" s="251"/>
      <c r="N65" s="248"/>
      <c r="P65" s="249"/>
    </row>
    <row r="66" spans="1:16" ht="18" customHeight="1" thickBot="1" x14ac:dyDescent="0.35">
      <c r="A66" s="14">
        <v>1</v>
      </c>
      <c r="B66" s="284" t="s">
        <v>1756</v>
      </c>
      <c r="C66" s="147" t="s">
        <v>1248</v>
      </c>
      <c r="D66" s="14" t="s">
        <v>1099</v>
      </c>
      <c r="E66" s="15" t="s">
        <v>1099</v>
      </c>
      <c r="F66" s="15">
        <v>1</v>
      </c>
      <c r="G66" s="16">
        <f t="shared" si="54"/>
        <v>34480</v>
      </c>
      <c r="H66" s="16">
        <v>34480</v>
      </c>
      <c r="I66" s="16">
        <f t="shared" si="55"/>
        <v>0</v>
      </c>
      <c r="J66" s="279">
        <v>34480</v>
      </c>
      <c r="K66" s="69">
        <v>34480</v>
      </c>
      <c r="L66" s="71">
        <f>J66-K66</f>
        <v>0</v>
      </c>
      <c r="M66" s="254"/>
      <c r="N66" s="110"/>
    </row>
    <row r="67" spans="1:16" ht="15" thickBot="1" x14ac:dyDescent="0.35">
      <c r="A67" s="14">
        <v>2</v>
      </c>
      <c r="B67" s="284" t="s">
        <v>1685</v>
      </c>
      <c r="C67" s="147" t="s">
        <v>1248</v>
      </c>
      <c r="D67" s="14" t="s">
        <v>1099</v>
      </c>
      <c r="E67" s="15" t="s">
        <v>1099</v>
      </c>
      <c r="F67" s="15">
        <v>1</v>
      </c>
      <c r="G67" s="16">
        <f t="shared" si="54"/>
        <v>350800</v>
      </c>
      <c r="H67" s="16">
        <v>350800</v>
      </c>
      <c r="I67" s="16">
        <f t="shared" si="55"/>
        <v>0</v>
      </c>
      <c r="J67" s="279">
        <v>350800</v>
      </c>
      <c r="K67" s="69">
        <v>350800</v>
      </c>
      <c r="L67" s="71">
        <f t="shared" ref="L67:L74" si="57">J67-K67</f>
        <v>0</v>
      </c>
      <c r="M67" s="254"/>
      <c r="N67" s="110"/>
    </row>
    <row r="68" spans="1:16" ht="18" customHeight="1" thickBot="1" x14ac:dyDescent="0.35">
      <c r="A68" s="14">
        <v>3</v>
      </c>
      <c r="B68" s="284" t="s">
        <v>1686</v>
      </c>
      <c r="C68" s="147" t="s">
        <v>1248</v>
      </c>
      <c r="D68" s="14" t="s">
        <v>1099</v>
      </c>
      <c r="E68" s="15" t="s">
        <v>1099</v>
      </c>
      <c r="F68" s="15">
        <v>3</v>
      </c>
      <c r="G68" s="16">
        <f t="shared" si="54"/>
        <v>168650</v>
      </c>
      <c r="H68" s="16">
        <v>168650</v>
      </c>
      <c r="I68" s="16">
        <f t="shared" si="55"/>
        <v>0</v>
      </c>
      <c r="J68" s="279">
        <v>168650</v>
      </c>
      <c r="K68" s="69">
        <f>20000+50000</f>
        <v>70000</v>
      </c>
      <c r="L68" s="71">
        <f t="shared" si="57"/>
        <v>98650</v>
      </c>
      <c r="M68" s="254"/>
      <c r="N68" s="110"/>
    </row>
    <row r="69" spans="1:16" ht="18" customHeight="1" thickBot="1" x14ac:dyDescent="0.35">
      <c r="A69" s="14">
        <v>4</v>
      </c>
      <c r="B69" s="284" t="s">
        <v>1390</v>
      </c>
      <c r="C69" s="147" t="s">
        <v>1248</v>
      </c>
      <c r="D69" s="14" t="s">
        <v>1099</v>
      </c>
      <c r="E69" s="15" t="s">
        <v>1099</v>
      </c>
      <c r="F69" s="15">
        <v>2</v>
      </c>
      <c r="G69" s="16">
        <f t="shared" si="54"/>
        <v>1057527.5</v>
      </c>
      <c r="H69" s="16">
        <v>1057527.5</v>
      </c>
      <c r="I69" s="16">
        <f t="shared" si="55"/>
        <v>0</v>
      </c>
      <c r="J69" s="279">
        <v>1057527.5</v>
      </c>
      <c r="K69" s="69"/>
      <c r="L69" s="71">
        <f t="shared" si="57"/>
        <v>1057527.5</v>
      </c>
      <c r="M69" s="254"/>
      <c r="N69" s="110"/>
    </row>
    <row r="70" spans="1:16" ht="18" customHeight="1" thickBot="1" x14ac:dyDescent="0.35">
      <c r="A70" s="14">
        <v>5</v>
      </c>
      <c r="B70" s="331" t="s">
        <v>1393</v>
      </c>
      <c r="C70" s="147" t="s">
        <v>1248</v>
      </c>
      <c r="D70" s="14" t="s">
        <v>1099</v>
      </c>
      <c r="E70" s="15" t="s">
        <v>1099</v>
      </c>
      <c r="F70" s="15">
        <v>11</v>
      </c>
      <c r="G70" s="16">
        <f t="shared" si="54"/>
        <v>7413485</v>
      </c>
      <c r="H70" s="16">
        <v>7413485</v>
      </c>
      <c r="I70" s="174">
        <f t="shared" si="55"/>
        <v>77905</v>
      </c>
      <c r="J70" s="279">
        <v>7491390</v>
      </c>
      <c r="K70" s="69"/>
      <c r="L70" s="71">
        <f t="shared" si="57"/>
        <v>7491390</v>
      </c>
      <c r="M70" s="254"/>
      <c r="N70" s="110"/>
    </row>
    <row r="71" spans="1:16" ht="18" customHeight="1" thickBot="1" x14ac:dyDescent="0.35">
      <c r="A71" s="14">
        <v>6</v>
      </c>
      <c r="B71" s="284" t="s">
        <v>1394</v>
      </c>
      <c r="C71" s="147" t="s">
        <v>1248</v>
      </c>
      <c r="D71" s="14" t="s">
        <v>1099</v>
      </c>
      <c r="E71" s="15" t="s">
        <v>1099</v>
      </c>
      <c r="F71" s="15">
        <v>7</v>
      </c>
      <c r="G71" s="16">
        <f t="shared" si="54"/>
        <v>6424075</v>
      </c>
      <c r="H71" s="16">
        <v>6424075</v>
      </c>
      <c r="I71" s="16">
        <f t="shared" si="55"/>
        <v>208780</v>
      </c>
      <c r="J71" s="279">
        <v>6632855</v>
      </c>
      <c r="K71" s="69"/>
      <c r="L71" s="71">
        <f t="shared" si="57"/>
        <v>6632855</v>
      </c>
      <c r="M71" s="254"/>
      <c r="N71" s="110"/>
    </row>
    <row r="72" spans="1:16" ht="18" customHeight="1" thickBot="1" x14ac:dyDescent="0.35">
      <c r="A72" s="14">
        <v>7</v>
      </c>
      <c r="B72" s="223" t="s">
        <v>1392</v>
      </c>
      <c r="C72" s="147" t="s">
        <v>1248</v>
      </c>
      <c r="D72" s="14" t="s">
        <v>1099</v>
      </c>
      <c r="E72" s="15" t="s">
        <v>1099</v>
      </c>
      <c r="F72" s="15">
        <v>10</v>
      </c>
      <c r="G72" s="16">
        <f t="shared" si="54"/>
        <v>1219460</v>
      </c>
      <c r="H72" s="16">
        <v>1219460</v>
      </c>
      <c r="I72" s="16">
        <f t="shared" si="55"/>
        <v>0</v>
      </c>
      <c r="J72" s="280">
        <v>1219460</v>
      </c>
      <c r="K72" s="69">
        <v>700000</v>
      </c>
      <c r="L72" s="71">
        <f t="shared" si="57"/>
        <v>519460</v>
      </c>
      <c r="M72" s="254"/>
      <c r="N72" s="110"/>
    </row>
    <row r="73" spans="1:16" ht="18" customHeight="1" thickBot="1" x14ac:dyDescent="0.35">
      <c r="A73" s="14">
        <v>8</v>
      </c>
      <c r="B73" s="284" t="s">
        <v>1757</v>
      </c>
      <c r="C73" s="147" t="s">
        <v>1248</v>
      </c>
      <c r="D73" s="14" t="s">
        <v>1099</v>
      </c>
      <c r="E73" s="15" t="s">
        <v>1099</v>
      </c>
      <c r="F73" s="15">
        <v>1</v>
      </c>
      <c r="G73" s="16">
        <f t="shared" si="54"/>
        <v>495000</v>
      </c>
      <c r="H73" s="16">
        <v>495000</v>
      </c>
      <c r="I73" s="16">
        <f t="shared" si="55"/>
        <v>0</v>
      </c>
      <c r="J73" s="279">
        <v>495000</v>
      </c>
      <c r="K73" s="69">
        <v>495000</v>
      </c>
      <c r="L73" s="71">
        <f t="shared" si="57"/>
        <v>0</v>
      </c>
      <c r="M73" s="254"/>
      <c r="N73" s="110"/>
    </row>
    <row r="74" spans="1:16" ht="18" customHeight="1" thickBot="1" x14ac:dyDescent="0.35">
      <c r="A74" s="14">
        <v>9</v>
      </c>
      <c r="B74" s="284" t="s">
        <v>1559</v>
      </c>
      <c r="C74" s="147" t="s">
        <v>1248</v>
      </c>
      <c r="D74" s="14" t="s">
        <v>1099</v>
      </c>
      <c r="E74" s="15" t="s">
        <v>1099</v>
      </c>
      <c r="F74" s="15">
        <v>1</v>
      </c>
      <c r="G74" s="16">
        <f t="shared" si="54"/>
        <v>121250</v>
      </c>
      <c r="H74" s="16">
        <v>121250</v>
      </c>
      <c r="I74" s="16">
        <f t="shared" si="55"/>
        <v>0</v>
      </c>
      <c r="J74" s="279">
        <v>121250</v>
      </c>
      <c r="K74" s="69">
        <v>120000</v>
      </c>
      <c r="L74" s="71">
        <f t="shared" si="57"/>
        <v>1250</v>
      </c>
      <c r="M74" s="254"/>
      <c r="N74" s="110"/>
    </row>
    <row r="75" spans="1:16" ht="18" customHeight="1" thickBot="1" x14ac:dyDescent="0.35">
      <c r="A75" s="14">
        <v>10</v>
      </c>
      <c r="B75" s="223" t="s">
        <v>1233</v>
      </c>
      <c r="C75" s="147" t="s">
        <v>1248</v>
      </c>
      <c r="D75" s="14" t="s">
        <v>1099</v>
      </c>
      <c r="E75" s="15" t="s">
        <v>1099</v>
      </c>
      <c r="F75" s="15">
        <v>10</v>
      </c>
      <c r="G75" s="16">
        <f t="shared" ref="G75" si="58">H75-M75</f>
        <v>1501725</v>
      </c>
      <c r="H75" s="16">
        <v>1501725</v>
      </c>
      <c r="I75" s="16">
        <f t="shared" ref="I75:I77" si="59">J75-H75</f>
        <v>0</v>
      </c>
      <c r="J75" s="280">
        <v>1501725</v>
      </c>
      <c r="K75" s="69">
        <f>1442985-150400</f>
        <v>1292585</v>
      </c>
      <c r="L75" s="71">
        <f t="shared" ref="L75:L77" si="60">J75-K75</f>
        <v>209140</v>
      </c>
      <c r="M75" s="254"/>
      <c r="N75" s="110"/>
    </row>
    <row r="76" spans="1:16" ht="18" customHeight="1" thickBot="1" x14ac:dyDescent="0.35">
      <c r="A76" s="14">
        <v>11</v>
      </c>
      <c r="B76" s="284" t="s">
        <v>1776</v>
      </c>
      <c r="C76" s="147" t="s">
        <v>1248</v>
      </c>
      <c r="D76" s="14" t="s">
        <v>1099</v>
      </c>
      <c r="E76" s="15" t="s">
        <v>1099</v>
      </c>
      <c r="F76" s="15">
        <v>1</v>
      </c>
      <c r="G76" s="16">
        <v>0</v>
      </c>
      <c r="H76" s="16">
        <v>25125</v>
      </c>
      <c r="I76" s="16">
        <f t="shared" si="59"/>
        <v>0</v>
      </c>
      <c r="J76" s="279">
        <v>25125</v>
      </c>
      <c r="K76" s="69">
        <v>25125</v>
      </c>
      <c r="L76" s="71">
        <f t="shared" si="60"/>
        <v>0</v>
      </c>
      <c r="M76" s="254"/>
      <c r="N76" s="110"/>
    </row>
    <row r="77" spans="1:16" ht="18" customHeight="1" thickBot="1" x14ac:dyDescent="0.35">
      <c r="A77" s="14">
        <v>12</v>
      </c>
      <c r="B77" s="284" t="s">
        <v>1781</v>
      </c>
      <c r="C77" s="147" t="s">
        <v>1248</v>
      </c>
      <c r="D77" s="14" t="s">
        <v>1099</v>
      </c>
      <c r="E77" s="15" t="s">
        <v>1099</v>
      </c>
      <c r="F77" s="15">
        <v>1</v>
      </c>
      <c r="G77" s="16">
        <v>0</v>
      </c>
      <c r="H77" s="16">
        <v>7890</v>
      </c>
      <c r="I77" s="16">
        <f t="shared" si="59"/>
        <v>0</v>
      </c>
      <c r="J77" s="279">
        <v>7890</v>
      </c>
      <c r="K77" s="69">
        <v>7870</v>
      </c>
      <c r="L77" s="71">
        <f t="shared" si="60"/>
        <v>20</v>
      </c>
      <c r="M77" s="254"/>
      <c r="N77" s="110"/>
    </row>
    <row r="78" spans="1:16" s="302" customFormat="1" ht="18" customHeight="1" thickBot="1" x14ac:dyDescent="0.35">
      <c r="A78" s="258"/>
      <c r="B78" s="303"/>
      <c r="C78" s="260"/>
      <c r="D78" s="259"/>
      <c r="E78" s="257"/>
      <c r="F78" s="257"/>
      <c r="G78" s="256"/>
      <c r="H78" s="256"/>
      <c r="I78" s="256"/>
      <c r="J78" s="304"/>
      <c r="K78" s="256"/>
      <c r="L78" s="256"/>
      <c r="M78" s="305"/>
      <c r="N78" s="301"/>
    </row>
    <row r="79" spans="1:16" ht="29.4" thickBot="1" x14ac:dyDescent="0.35">
      <c r="A79" s="14" t="s">
        <v>1</v>
      </c>
      <c r="B79" s="14" t="s">
        <v>491</v>
      </c>
      <c r="C79" s="14" t="s">
        <v>5</v>
      </c>
      <c r="D79" s="14" t="s">
        <v>492</v>
      </c>
      <c r="E79" s="14" t="s">
        <v>493</v>
      </c>
      <c r="F79" s="15" t="s">
        <v>494</v>
      </c>
      <c r="G79" s="15" t="s">
        <v>484</v>
      </c>
      <c r="H79" s="34" t="s">
        <v>60</v>
      </c>
      <c r="I79" s="14" t="s">
        <v>61</v>
      </c>
      <c r="J79" s="306" t="s">
        <v>2</v>
      </c>
      <c r="K79" s="67" t="s">
        <v>1775</v>
      </c>
      <c r="L79" s="49" t="s">
        <v>1774</v>
      </c>
      <c r="M79" s="307" t="s">
        <v>1835</v>
      </c>
      <c r="N79" s="309" t="s">
        <v>1836</v>
      </c>
      <c r="P79" s="249"/>
    </row>
    <row r="80" spans="1:16" ht="18.600000000000001" thickBot="1" x14ac:dyDescent="0.35">
      <c r="A80" s="14"/>
      <c r="B80" s="389" t="s">
        <v>1870</v>
      </c>
      <c r="C80" s="390"/>
      <c r="D80" s="390"/>
      <c r="E80" s="391"/>
      <c r="F80" s="15"/>
      <c r="G80" s="15"/>
      <c r="H80" s="200"/>
      <c r="I80" s="200"/>
      <c r="J80" s="155"/>
      <c r="K80" s="250"/>
      <c r="L80" s="250"/>
      <c r="M80" s="251"/>
      <c r="N80" s="248"/>
      <c r="P80" s="249"/>
    </row>
    <row r="81" spans="1:32" ht="18" customHeight="1" thickBot="1" x14ac:dyDescent="0.35">
      <c r="A81" s="14">
        <v>13</v>
      </c>
      <c r="B81" s="159" t="s">
        <v>1847</v>
      </c>
      <c r="C81" s="147" t="s">
        <v>1248</v>
      </c>
      <c r="D81" s="200" t="s">
        <v>1099</v>
      </c>
      <c r="E81" s="155" t="s">
        <v>1099</v>
      </c>
      <c r="F81" s="155">
        <v>1</v>
      </c>
      <c r="G81" s="174">
        <v>0</v>
      </c>
      <c r="H81" s="174">
        <v>261250</v>
      </c>
      <c r="I81" s="174">
        <f t="shared" ref="I81:I82" si="61">J81-H81</f>
        <v>0</v>
      </c>
      <c r="J81" s="279">
        <v>261250</v>
      </c>
      <c r="K81" s="254">
        <v>807500</v>
      </c>
      <c r="L81" s="299">
        <v>0</v>
      </c>
      <c r="M81" s="308">
        <v>619052</v>
      </c>
      <c r="N81" s="311">
        <f>K81-M81</f>
        <v>188448</v>
      </c>
      <c r="O81" s="300"/>
    </row>
    <row r="82" spans="1:32" ht="18" customHeight="1" thickBot="1" x14ac:dyDescent="0.35">
      <c r="A82" s="14">
        <v>14</v>
      </c>
      <c r="B82" s="159" t="s">
        <v>1849</v>
      </c>
      <c r="C82" s="147" t="s">
        <v>1248</v>
      </c>
      <c r="D82" s="200" t="s">
        <v>1099</v>
      </c>
      <c r="E82" s="155" t="s">
        <v>1099</v>
      </c>
      <c r="F82" s="155">
        <v>1</v>
      </c>
      <c r="G82" s="174">
        <v>0</v>
      </c>
      <c r="H82" s="174">
        <v>70000</v>
      </c>
      <c r="I82" s="174">
        <f t="shared" si="61"/>
        <v>0</v>
      </c>
      <c r="J82" s="279">
        <v>70000</v>
      </c>
      <c r="K82" s="254">
        <v>70000</v>
      </c>
      <c r="L82" s="299">
        <v>0</v>
      </c>
      <c r="M82" s="308">
        <v>56928.75</v>
      </c>
      <c r="N82" s="311">
        <f>K82-M82</f>
        <v>13071.25</v>
      </c>
      <c r="O82" s="300"/>
    </row>
    <row r="83" spans="1:32" ht="18" customHeight="1" thickBot="1" x14ac:dyDescent="0.35">
      <c r="A83" s="341">
        <v>15</v>
      </c>
      <c r="B83" s="342" t="s">
        <v>1891</v>
      </c>
      <c r="C83" s="147" t="s">
        <v>1248</v>
      </c>
      <c r="D83" s="200" t="s">
        <v>1099</v>
      </c>
      <c r="E83" s="155" t="s">
        <v>1099</v>
      </c>
      <c r="F83" s="155">
        <v>10</v>
      </c>
      <c r="G83" s="174">
        <v>0</v>
      </c>
      <c r="H83" s="174">
        <v>44480</v>
      </c>
      <c r="I83" s="174">
        <f t="shared" si="55"/>
        <v>0</v>
      </c>
      <c r="J83" s="279">
        <v>44480</v>
      </c>
      <c r="K83" s="254">
        <v>10000</v>
      </c>
      <c r="L83" s="299">
        <v>0</v>
      </c>
      <c r="M83" s="308">
        <v>33309</v>
      </c>
      <c r="N83" s="311">
        <f>J83-M83</f>
        <v>11171</v>
      </c>
      <c r="O83" s="300"/>
    </row>
    <row r="84" spans="1:32" ht="18" customHeight="1" thickBot="1" x14ac:dyDescent="0.35">
      <c r="A84" s="341">
        <v>10</v>
      </c>
      <c r="B84" s="342" t="s">
        <v>1897</v>
      </c>
      <c r="C84" s="147" t="s">
        <v>1248</v>
      </c>
      <c r="D84" s="14" t="s">
        <v>1099</v>
      </c>
      <c r="E84" s="15" t="s">
        <v>1099</v>
      </c>
      <c r="F84" s="15">
        <v>10</v>
      </c>
      <c r="G84" s="16">
        <f t="shared" ref="G84" si="62">H84-M84</f>
        <v>1009140</v>
      </c>
      <c r="H84" s="16">
        <v>1009140</v>
      </c>
      <c r="I84" s="16">
        <f t="shared" si="55"/>
        <v>0</v>
      </c>
      <c r="J84" s="280">
        <f>950400+58740</f>
        <v>1009140</v>
      </c>
      <c r="K84" s="254">
        <v>800000</v>
      </c>
      <c r="L84" s="299">
        <v>0</v>
      </c>
      <c r="M84" s="308">
        <v>0</v>
      </c>
      <c r="N84" s="311">
        <f>J84-M84</f>
        <v>1009140</v>
      </c>
    </row>
    <row r="85" spans="1:32" ht="15" thickBot="1" x14ac:dyDescent="0.35">
      <c r="A85" s="14"/>
      <c r="B85" s="41"/>
      <c r="C85" s="221"/>
      <c r="D85" s="42"/>
      <c r="E85" s="41"/>
      <c r="F85" s="24"/>
      <c r="G85" s="43"/>
      <c r="H85" s="26"/>
      <c r="I85" s="26"/>
      <c r="J85" s="279"/>
      <c r="K85" s="222"/>
      <c r="L85" s="71"/>
      <c r="M85" s="308"/>
      <c r="N85" s="311"/>
    </row>
    <row r="86" spans="1:32" ht="15" thickBot="1" x14ac:dyDescent="0.35">
      <c r="A86" s="14"/>
      <c r="B86" s="41"/>
      <c r="C86" s="221"/>
      <c r="D86" s="42"/>
      <c r="E86" s="41"/>
      <c r="F86" s="24"/>
      <c r="G86" s="43"/>
      <c r="H86" s="26"/>
      <c r="I86" s="26"/>
      <c r="J86" s="279"/>
      <c r="K86" s="222"/>
      <c r="L86" s="71"/>
      <c r="M86" s="308"/>
      <c r="N86" s="311"/>
    </row>
    <row r="87" spans="1:32" ht="15" thickBot="1" x14ac:dyDescent="0.35">
      <c r="A87" s="27"/>
      <c r="B87" s="41"/>
      <c r="C87" s="221"/>
      <c r="D87" s="42"/>
      <c r="E87" s="41"/>
      <c r="F87" s="24"/>
      <c r="G87" s="43"/>
      <c r="H87" s="26"/>
      <c r="I87" s="26"/>
      <c r="J87" s="279"/>
      <c r="K87" s="222"/>
      <c r="L87" s="71"/>
      <c r="M87" s="308"/>
      <c r="N87" s="311"/>
    </row>
    <row r="88" spans="1:32" ht="15" thickBot="1" x14ac:dyDescent="0.35">
      <c r="A88" s="27"/>
      <c r="B88" s="41"/>
      <c r="C88" s="221"/>
      <c r="D88" s="42"/>
      <c r="E88" s="41"/>
      <c r="F88" s="24"/>
      <c r="G88" s="43"/>
      <c r="H88" s="26"/>
      <c r="I88" s="26"/>
      <c r="J88" s="279"/>
      <c r="K88" s="222"/>
      <c r="L88" s="71"/>
      <c r="M88" s="308"/>
      <c r="N88" s="311"/>
    </row>
    <row r="89" spans="1:32" ht="15" thickBot="1" x14ac:dyDescent="0.35">
      <c r="A89" s="27"/>
      <c r="B89" s="41"/>
      <c r="C89" s="41"/>
      <c r="D89" s="42"/>
      <c r="E89" s="41"/>
      <c r="F89" s="24"/>
      <c r="G89" s="43"/>
      <c r="H89" s="26"/>
      <c r="I89" s="26"/>
      <c r="J89" s="279"/>
      <c r="K89" s="70"/>
      <c r="L89" s="71"/>
      <c r="M89" s="308"/>
      <c r="N89" s="311"/>
    </row>
    <row r="90" spans="1:32" ht="15" thickBot="1" x14ac:dyDescent="0.35">
      <c r="A90" s="27"/>
      <c r="B90" s="41"/>
      <c r="C90" s="42"/>
      <c r="D90" s="42"/>
      <c r="E90" s="41"/>
      <c r="F90" s="24"/>
      <c r="G90" s="43"/>
      <c r="H90" s="26"/>
      <c r="I90" s="26"/>
      <c r="J90" s="279"/>
      <c r="K90" s="70"/>
      <c r="L90" s="71"/>
      <c r="M90" s="308"/>
      <c r="N90" s="311"/>
    </row>
    <row r="91" spans="1:32" ht="15" thickBot="1" x14ac:dyDescent="0.35">
      <c r="A91" s="354" t="s">
        <v>966</v>
      </c>
      <c r="B91" s="355"/>
      <c r="C91" s="355"/>
      <c r="D91" s="355"/>
      <c r="E91" s="355"/>
      <c r="F91" s="356"/>
      <c r="G91" s="35"/>
      <c r="H91" s="26">
        <f t="shared" ref="H91:M91" si="63">SUM(H10:H83)</f>
        <v>29696124.5</v>
      </c>
      <c r="I91" s="26">
        <f t="shared" si="63"/>
        <v>286685</v>
      </c>
      <c r="J91" s="32">
        <f t="shared" si="63"/>
        <v>29982809.5</v>
      </c>
      <c r="K91" s="70">
        <f t="shared" si="63"/>
        <v>3983360</v>
      </c>
      <c r="L91" s="71">
        <f t="shared" si="63"/>
        <v>16066592.5</v>
      </c>
      <c r="M91" s="109">
        <f t="shared" si="63"/>
        <v>765589.75</v>
      </c>
      <c r="N91" s="310"/>
    </row>
    <row r="92" spans="1:32" ht="14.4" x14ac:dyDescent="0.3">
      <c r="J92" s="415"/>
      <c r="K92" s="415"/>
      <c r="L92" s="415"/>
      <c r="M92" s="415"/>
      <c r="N92" s="416"/>
    </row>
    <row r="93" spans="1:32" s="176" customFormat="1" ht="51.6" customHeight="1" x14ac:dyDescent="0.3">
      <c r="A93" s="409" t="s">
        <v>1</v>
      </c>
      <c r="B93" s="409" t="s">
        <v>1581</v>
      </c>
      <c r="C93" s="410" t="s">
        <v>1582</v>
      </c>
      <c r="D93" s="409" t="s">
        <v>1583</v>
      </c>
      <c r="E93" s="409" t="s">
        <v>1584</v>
      </c>
      <c r="F93" s="410" t="s">
        <v>494</v>
      </c>
      <c r="G93" s="410" t="s">
        <v>1585</v>
      </c>
      <c r="H93" s="417" t="s">
        <v>60</v>
      </c>
      <c r="I93" s="410" t="s">
        <v>61</v>
      </c>
      <c r="J93" s="411" t="s">
        <v>2</v>
      </c>
      <c r="K93" s="412" t="s">
        <v>1586</v>
      </c>
      <c r="L93" s="412"/>
      <c r="M93" s="412"/>
      <c r="N93" s="413" t="s">
        <v>1587</v>
      </c>
      <c r="O93" s="413"/>
      <c r="P93" s="413"/>
      <c r="Q93" s="414" t="s">
        <v>1588</v>
      </c>
      <c r="R93" s="229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</row>
    <row r="94" spans="1:32" s="176" customFormat="1" ht="51.6" customHeight="1" x14ac:dyDescent="0.3">
      <c r="A94" s="409"/>
      <c r="B94" s="409"/>
      <c r="C94" s="410"/>
      <c r="D94" s="409"/>
      <c r="E94" s="409"/>
      <c r="F94" s="410"/>
      <c r="G94" s="410"/>
      <c r="H94" s="417"/>
      <c r="I94" s="410"/>
      <c r="J94" s="411"/>
      <c r="K94" s="236" t="s">
        <v>1589</v>
      </c>
      <c r="L94" s="236" t="s">
        <v>1590</v>
      </c>
      <c r="M94" s="236" t="s">
        <v>1591</v>
      </c>
      <c r="N94" s="237" t="s">
        <v>1589</v>
      </c>
      <c r="O94" s="237" t="s">
        <v>1590</v>
      </c>
      <c r="P94" s="237" t="s">
        <v>1591</v>
      </c>
      <c r="Q94" s="414"/>
      <c r="R94" s="229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</row>
    <row r="95" spans="1:32" s="176" customFormat="1" ht="57" customHeight="1" x14ac:dyDescent="0.3">
      <c r="A95" s="238">
        <v>1</v>
      </c>
      <c r="B95" s="336" t="s">
        <v>1593</v>
      </c>
      <c r="C95" s="238" t="s">
        <v>14</v>
      </c>
      <c r="D95" s="238" t="s">
        <v>14</v>
      </c>
      <c r="E95" s="238" t="s">
        <v>1654</v>
      </c>
      <c r="F95" s="240">
        <v>56</v>
      </c>
      <c r="G95" s="241">
        <f t="shared" ref="G95:G97" si="64">H95-Q95</f>
        <v>1355606.2</v>
      </c>
      <c r="H95" s="240">
        <v>1355606.2</v>
      </c>
      <c r="I95" s="241">
        <f t="shared" ref="I95:I97" si="65">J95-H95</f>
        <v>1950</v>
      </c>
      <c r="J95" s="242">
        <v>1357556.2</v>
      </c>
      <c r="K95" s="243">
        <v>1330526</v>
      </c>
      <c r="L95" s="243">
        <f t="shared" ref="L95:L97" si="66">M95-K95</f>
        <v>1950</v>
      </c>
      <c r="M95" s="244">
        <v>1332476</v>
      </c>
      <c r="N95" s="245">
        <v>25080.199999999953</v>
      </c>
      <c r="O95" s="245">
        <f t="shared" ref="O95:O97" si="67">P95-N95</f>
        <v>0</v>
      </c>
      <c r="P95" s="246">
        <f t="shared" ref="P95:P97" si="68">J95-M95</f>
        <v>25080.199999999953</v>
      </c>
      <c r="Q95" s="247">
        <v>0</v>
      </c>
      <c r="R95" s="231">
        <f t="shared" ref="R95:R97" si="69">I95-L95-O95</f>
        <v>0</v>
      </c>
      <c r="S95" s="262" t="s">
        <v>1783</v>
      </c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</row>
    <row r="96" spans="1:32" s="176" customFormat="1" ht="57" customHeight="1" x14ac:dyDescent="0.3">
      <c r="A96" s="238">
        <v>2</v>
      </c>
      <c r="B96" s="287" t="s">
        <v>1217</v>
      </c>
      <c r="C96" s="238" t="s">
        <v>14</v>
      </c>
      <c r="D96" s="238" t="s">
        <v>14</v>
      </c>
      <c r="E96" s="238" t="s">
        <v>1654</v>
      </c>
      <c r="F96" s="240">
        <v>36</v>
      </c>
      <c r="G96" s="241">
        <f t="shared" si="64"/>
        <v>271595</v>
      </c>
      <c r="H96" s="240">
        <v>271595</v>
      </c>
      <c r="I96" s="241">
        <f t="shared" si="65"/>
        <v>0</v>
      </c>
      <c r="J96" s="242">
        <v>271595</v>
      </c>
      <c r="K96" s="243">
        <v>271195</v>
      </c>
      <c r="L96" s="243">
        <f t="shared" si="66"/>
        <v>0</v>
      </c>
      <c r="M96" s="244">
        <v>271195</v>
      </c>
      <c r="N96" s="245">
        <v>400</v>
      </c>
      <c r="O96" s="245">
        <f t="shared" si="67"/>
        <v>0</v>
      </c>
      <c r="P96" s="246">
        <f>J96-M96</f>
        <v>400</v>
      </c>
      <c r="Q96" s="247">
        <v>0</v>
      </c>
      <c r="R96" s="231">
        <f t="shared" si="69"/>
        <v>0</v>
      </c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</row>
    <row r="97" spans="1:32" s="176" customFormat="1" ht="57" customHeight="1" thickBot="1" x14ac:dyDescent="0.35">
      <c r="A97" s="238">
        <v>3</v>
      </c>
      <c r="B97" s="239" t="s">
        <v>1655</v>
      </c>
      <c r="C97" s="238" t="s">
        <v>14</v>
      </c>
      <c r="D97" s="238" t="s">
        <v>14</v>
      </c>
      <c r="E97" s="238" t="s">
        <v>1654</v>
      </c>
      <c r="F97" s="240"/>
      <c r="G97" s="241">
        <f t="shared" si="64"/>
        <v>16600</v>
      </c>
      <c r="H97" s="240">
        <v>16600</v>
      </c>
      <c r="I97" s="241">
        <f t="shared" si="65"/>
        <v>0</v>
      </c>
      <c r="J97" s="242">
        <v>16600</v>
      </c>
      <c r="K97" s="243">
        <v>16600</v>
      </c>
      <c r="L97" s="243">
        <f t="shared" si="66"/>
        <v>0</v>
      </c>
      <c r="M97" s="244">
        <v>16600</v>
      </c>
      <c r="N97" s="245">
        <v>0</v>
      </c>
      <c r="O97" s="245">
        <f t="shared" si="67"/>
        <v>0</v>
      </c>
      <c r="P97" s="246">
        <f t="shared" si="68"/>
        <v>0</v>
      </c>
      <c r="Q97" s="247">
        <v>0</v>
      </c>
      <c r="R97" s="231">
        <f t="shared" si="69"/>
        <v>0</v>
      </c>
      <c r="S97" s="175" t="s">
        <v>1872</v>
      </c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</row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  <row r="1001" ht="15.6" x14ac:dyDescent="0.3"/>
    <row r="1002" ht="15.6" x14ac:dyDescent="0.3"/>
    <row r="1003" ht="15.6" x14ac:dyDescent="0.3"/>
    <row r="1004" ht="15.6" x14ac:dyDescent="0.3"/>
    <row r="1005" ht="15.6" x14ac:dyDescent="0.3"/>
    <row r="1006" ht="15.6" x14ac:dyDescent="0.3"/>
    <row r="1007" ht="15.6" x14ac:dyDescent="0.3"/>
    <row r="1008" ht="15.6" x14ac:dyDescent="0.3"/>
    <row r="1009" ht="15.6" x14ac:dyDescent="0.3"/>
    <row r="1010" ht="15.6" x14ac:dyDescent="0.3"/>
    <row r="1011" ht="15.6" x14ac:dyDescent="0.3"/>
    <row r="1012" ht="15.6" x14ac:dyDescent="0.3"/>
    <row r="1013" ht="15.6" x14ac:dyDescent="0.3"/>
    <row r="1014" ht="15.6" x14ac:dyDescent="0.3"/>
    <row r="1015" ht="15.6" x14ac:dyDescent="0.3"/>
    <row r="1016" ht="15.6" x14ac:dyDescent="0.3"/>
    <row r="1017" ht="15.6" x14ac:dyDescent="0.3"/>
    <row r="1018" ht="15.6" x14ac:dyDescent="0.3"/>
    <row r="1019" ht="15.6" x14ac:dyDescent="0.3"/>
    <row r="1020" ht="15.6" x14ac:dyDescent="0.3"/>
    <row r="1021" ht="15.6" x14ac:dyDescent="0.3"/>
    <row r="1022" ht="15.6" x14ac:dyDescent="0.3"/>
    <row r="1023" ht="15.6" x14ac:dyDescent="0.3"/>
    <row r="1024" ht="15.6" x14ac:dyDescent="0.3"/>
    <row r="1025" ht="15.6" x14ac:dyDescent="0.3"/>
    <row r="1026" ht="15.6" x14ac:dyDescent="0.3"/>
    <row r="1027" ht="15.6" x14ac:dyDescent="0.3"/>
    <row r="1028" ht="15.6" x14ac:dyDescent="0.3"/>
    <row r="1029" ht="15.6" x14ac:dyDescent="0.3"/>
    <row r="1030" ht="15.6" x14ac:dyDescent="0.3"/>
    <row r="1031" ht="15.6" x14ac:dyDescent="0.3"/>
    <row r="1032" ht="15.6" x14ac:dyDescent="0.3"/>
    <row r="1033" ht="15.6" x14ac:dyDescent="0.3"/>
    <row r="1034" ht="15.6" x14ac:dyDescent="0.3"/>
    <row r="1035" ht="15.6" x14ac:dyDescent="0.3"/>
    <row r="1036" ht="15.6" x14ac:dyDescent="0.3"/>
    <row r="1037" ht="15.6" x14ac:dyDescent="0.3"/>
    <row r="1038" ht="15.6" x14ac:dyDescent="0.3"/>
    <row r="1039" ht="15.6" x14ac:dyDescent="0.3"/>
    <row r="1040" ht="15.6" x14ac:dyDescent="0.3"/>
    <row r="1041" ht="15.6" x14ac:dyDescent="0.3"/>
    <row r="1042" ht="15.6" x14ac:dyDescent="0.3"/>
    <row r="1043" ht="15.6" x14ac:dyDescent="0.3"/>
    <row r="1044" ht="15.6" x14ac:dyDescent="0.3"/>
    <row r="1045" ht="15.6" x14ac:dyDescent="0.3"/>
    <row r="1046" ht="15.6" x14ac:dyDescent="0.3"/>
    <row r="1047" ht="15.6" x14ac:dyDescent="0.3"/>
    <row r="1048" ht="15.6" x14ac:dyDescent="0.3"/>
    <row r="1049" ht="15.6" x14ac:dyDescent="0.3"/>
    <row r="1050" ht="15.6" x14ac:dyDescent="0.3"/>
    <row r="1051" ht="15.6" x14ac:dyDescent="0.3"/>
    <row r="1052" ht="15.6" x14ac:dyDescent="0.3"/>
    <row r="1053" ht="15.6" x14ac:dyDescent="0.3"/>
    <row r="1054" ht="15.6" x14ac:dyDescent="0.3"/>
    <row r="1055" ht="15.6" x14ac:dyDescent="0.3"/>
    <row r="1056" ht="15.6" x14ac:dyDescent="0.3"/>
    <row r="1057" ht="15.6" x14ac:dyDescent="0.3"/>
    <row r="1058" ht="15.6" x14ac:dyDescent="0.3"/>
    <row r="1059" ht="15.6" x14ac:dyDescent="0.3"/>
    <row r="1060" ht="15.6" x14ac:dyDescent="0.3"/>
    <row r="1061" ht="15.6" x14ac:dyDescent="0.3"/>
    <row r="1062" ht="15.6" x14ac:dyDescent="0.3"/>
    <row r="1063" ht="15.6" x14ac:dyDescent="0.3"/>
    <row r="1064" ht="15.6" x14ac:dyDescent="0.3"/>
    <row r="1065" ht="15.6" x14ac:dyDescent="0.3"/>
    <row r="1066" ht="15.6" x14ac:dyDescent="0.3"/>
    <row r="1067" ht="15.6" x14ac:dyDescent="0.3"/>
    <row r="1068" ht="15.6" x14ac:dyDescent="0.3"/>
    <row r="1069" ht="15.6" x14ac:dyDescent="0.3"/>
    <row r="1070" ht="15.6" x14ac:dyDescent="0.3"/>
    <row r="1071" ht="15.6" x14ac:dyDescent="0.3"/>
    <row r="1072" ht="15.6" x14ac:dyDescent="0.3"/>
    <row r="1073" ht="15.6" x14ac:dyDescent="0.3"/>
    <row r="1074" ht="15.6" x14ac:dyDescent="0.3"/>
    <row r="1075" ht="15.6" x14ac:dyDescent="0.3"/>
    <row r="1076" ht="15.6" x14ac:dyDescent="0.3"/>
    <row r="1077" ht="15.6" x14ac:dyDescent="0.3"/>
    <row r="1078" ht="15.6" x14ac:dyDescent="0.3"/>
    <row r="1079" ht="15.6" x14ac:dyDescent="0.3"/>
    <row r="1080" ht="15.6" x14ac:dyDescent="0.3"/>
    <row r="1081" ht="15.6" x14ac:dyDescent="0.3"/>
    <row r="1082" ht="15.6" x14ac:dyDescent="0.3"/>
    <row r="1083" ht="15.6" x14ac:dyDescent="0.3"/>
    <row r="1084" ht="15.6" x14ac:dyDescent="0.3"/>
    <row r="1085" ht="15.6" x14ac:dyDescent="0.3"/>
    <row r="1086" ht="15.6" x14ac:dyDescent="0.3"/>
    <row r="1087" ht="15.6" x14ac:dyDescent="0.3"/>
    <row r="1088" ht="15.6" x14ac:dyDescent="0.3"/>
    <row r="1089" ht="15.6" x14ac:dyDescent="0.3"/>
    <row r="1090" ht="15.6" x14ac:dyDescent="0.3"/>
    <row r="1091" ht="15.6" x14ac:dyDescent="0.3"/>
    <row r="1092" ht="15.6" x14ac:dyDescent="0.3"/>
    <row r="1093" ht="15.6" x14ac:dyDescent="0.3"/>
    <row r="1094" ht="15.6" x14ac:dyDescent="0.3"/>
    <row r="1095" ht="15.6" x14ac:dyDescent="0.3"/>
    <row r="1096" ht="15.6" x14ac:dyDescent="0.3"/>
    <row r="1097" ht="15.6" x14ac:dyDescent="0.3"/>
    <row r="1098" ht="15.6" x14ac:dyDescent="0.3"/>
    <row r="1099" ht="15.6" x14ac:dyDescent="0.3"/>
    <row r="1100" ht="15.6" x14ac:dyDescent="0.3"/>
    <row r="1101" ht="15.6" x14ac:dyDescent="0.3"/>
    <row r="1102" ht="15.6" x14ac:dyDescent="0.3"/>
    <row r="1103" ht="15.6" x14ac:dyDescent="0.3"/>
    <row r="1104" ht="15.6" x14ac:dyDescent="0.3"/>
    <row r="1105" ht="15.6" x14ac:dyDescent="0.3"/>
    <row r="1106" ht="15.6" x14ac:dyDescent="0.3"/>
    <row r="1107" ht="15.6" x14ac:dyDescent="0.3"/>
    <row r="1108" ht="15.6" x14ac:dyDescent="0.3"/>
    <row r="1109" ht="15.6" x14ac:dyDescent="0.3"/>
    <row r="1110" ht="15.6" x14ac:dyDescent="0.3"/>
    <row r="1111" ht="15.6" x14ac:dyDescent="0.3"/>
    <row r="1112" ht="15.6" x14ac:dyDescent="0.3"/>
    <row r="1113" ht="15.6" x14ac:dyDescent="0.3"/>
    <row r="1114" ht="15.6" x14ac:dyDescent="0.3"/>
    <row r="1115" ht="15.6" x14ac:dyDescent="0.3"/>
    <row r="1116" ht="15.6" x14ac:dyDescent="0.3"/>
    <row r="1117" ht="15.6" x14ac:dyDescent="0.3"/>
    <row r="1118" ht="15.6" x14ac:dyDescent="0.3"/>
    <row r="1119" ht="15.6" x14ac:dyDescent="0.3"/>
    <row r="1120" ht="15.6" x14ac:dyDescent="0.3"/>
    <row r="1121" ht="15.6" x14ac:dyDescent="0.3"/>
    <row r="1122" ht="15.6" x14ac:dyDescent="0.3"/>
    <row r="1123" ht="15.6" x14ac:dyDescent="0.3"/>
    <row r="1124" ht="15.6" x14ac:dyDescent="0.3"/>
    <row r="1125" ht="15.6" x14ac:dyDescent="0.3"/>
    <row r="1126" ht="15.6" x14ac:dyDescent="0.3"/>
    <row r="1127" ht="15.6" x14ac:dyDescent="0.3"/>
    <row r="1128" ht="15.6" x14ac:dyDescent="0.3"/>
    <row r="1129" ht="15.6" x14ac:dyDescent="0.3"/>
    <row r="1130" ht="15.6" x14ac:dyDescent="0.3"/>
    <row r="1131" ht="15.6" x14ac:dyDescent="0.3"/>
    <row r="1132" ht="15.6" x14ac:dyDescent="0.3"/>
    <row r="1133" ht="15.6" x14ac:dyDescent="0.3"/>
    <row r="1134" ht="15.6" x14ac:dyDescent="0.3"/>
    <row r="1135" ht="15.6" x14ac:dyDescent="0.3"/>
    <row r="1136" ht="15.6" x14ac:dyDescent="0.3"/>
    <row r="1137" ht="15.6" x14ac:dyDescent="0.3"/>
    <row r="1138" ht="15.6" x14ac:dyDescent="0.3"/>
    <row r="1139" ht="15.6" x14ac:dyDescent="0.3"/>
    <row r="1140" ht="15.6" x14ac:dyDescent="0.3"/>
    <row r="1141" ht="15.6" x14ac:dyDescent="0.3"/>
    <row r="1142" ht="15.6" x14ac:dyDescent="0.3"/>
    <row r="1143" ht="15.6" x14ac:dyDescent="0.3"/>
    <row r="1144" ht="15.6" x14ac:dyDescent="0.3"/>
    <row r="1145" ht="15.6" x14ac:dyDescent="0.3"/>
    <row r="1146" ht="15.6" x14ac:dyDescent="0.3"/>
    <row r="1147" ht="15.6" x14ac:dyDescent="0.3"/>
    <row r="1148" ht="15.6" x14ac:dyDescent="0.3"/>
    <row r="1149" ht="15.6" x14ac:dyDescent="0.3"/>
    <row r="1150" ht="15.6" x14ac:dyDescent="0.3"/>
    <row r="1151" ht="15.6" x14ac:dyDescent="0.3"/>
    <row r="1152" ht="15.6" x14ac:dyDescent="0.3"/>
    <row r="1153" ht="15.6" x14ac:dyDescent="0.3"/>
    <row r="1154" ht="15.6" x14ac:dyDescent="0.3"/>
    <row r="1155" ht="15.6" x14ac:dyDescent="0.3"/>
    <row r="1156" ht="15.6" x14ac:dyDescent="0.3"/>
    <row r="1157" ht="15.6" x14ac:dyDescent="0.3"/>
    <row r="1158" ht="15.6" x14ac:dyDescent="0.3"/>
    <row r="1159" ht="15.6" x14ac:dyDescent="0.3"/>
    <row r="1160" ht="15.6" x14ac:dyDescent="0.3"/>
    <row r="1161" ht="15.6" x14ac:dyDescent="0.3"/>
    <row r="1162" ht="15.6" x14ac:dyDescent="0.3"/>
    <row r="1163" ht="15.6" x14ac:dyDescent="0.3"/>
    <row r="1164" ht="15.6" x14ac:dyDescent="0.3"/>
    <row r="1165" ht="15.6" x14ac:dyDescent="0.3"/>
    <row r="1166" ht="15.6" x14ac:dyDescent="0.3"/>
    <row r="1167" ht="15.6" x14ac:dyDescent="0.3"/>
    <row r="1168" ht="15.6" x14ac:dyDescent="0.3"/>
    <row r="1169" ht="15.6" x14ac:dyDescent="0.3"/>
    <row r="1170" ht="15.6" x14ac:dyDescent="0.3"/>
    <row r="1171" ht="15.6" x14ac:dyDescent="0.3"/>
    <row r="1172" ht="15.6" x14ac:dyDescent="0.3"/>
    <row r="1173" ht="15.6" x14ac:dyDescent="0.3"/>
    <row r="1174" ht="15.6" x14ac:dyDescent="0.3"/>
    <row r="1175" ht="15.6" x14ac:dyDescent="0.3"/>
    <row r="1176" ht="15.6" x14ac:dyDescent="0.3"/>
    <row r="1177" ht="15.6" x14ac:dyDescent="0.3"/>
    <row r="1178" ht="15.6" x14ac:dyDescent="0.3"/>
    <row r="1179" ht="15.6" x14ac:dyDescent="0.3"/>
    <row r="1180" ht="15.6" x14ac:dyDescent="0.3"/>
    <row r="1181" ht="15.6" x14ac:dyDescent="0.3"/>
    <row r="1182" ht="15.6" x14ac:dyDescent="0.3"/>
    <row r="1183" ht="15.6" x14ac:dyDescent="0.3"/>
    <row r="1184" ht="15.6" x14ac:dyDescent="0.3"/>
    <row r="1185" ht="15.6" x14ac:dyDescent="0.3"/>
    <row r="1186" ht="15.6" x14ac:dyDescent="0.3"/>
    <row r="1187" ht="15.6" x14ac:dyDescent="0.3"/>
    <row r="1188" ht="15.6" x14ac:dyDescent="0.3"/>
    <row r="1189" ht="15.6" x14ac:dyDescent="0.3"/>
    <row r="1190" ht="15.6" x14ac:dyDescent="0.3"/>
    <row r="1191" ht="15.6" x14ac:dyDescent="0.3"/>
    <row r="1192" ht="15.6" x14ac:dyDescent="0.3"/>
    <row r="1193" ht="15.6" x14ac:dyDescent="0.3"/>
    <row r="1194" ht="15.6" x14ac:dyDescent="0.3"/>
    <row r="1195" ht="15.6" x14ac:dyDescent="0.3"/>
    <row r="1196" ht="15.6" x14ac:dyDescent="0.3"/>
    <row r="1197" ht="15.6" x14ac:dyDescent="0.3"/>
    <row r="1198" ht="15.6" x14ac:dyDescent="0.3"/>
    <row r="1199" ht="15.6" x14ac:dyDescent="0.3"/>
    <row r="1200" ht="15.6" x14ac:dyDescent="0.3"/>
    <row r="1201" ht="15.6" x14ac:dyDescent="0.3"/>
    <row r="1202" ht="15.6" x14ac:dyDescent="0.3"/>
    <row r="1203" ht="15.6" x14ac:dyDescent="0.3"/>
    <row r="1204" ht="15.6" x14ac:dyDescent="0.3"/>
    <row r="1205" ht="15.6" x14ac:dyDescent="0.3"/>
    <row r="1206" ht="15.6" x14ac:dyDescent="0.3"/>
    <row r="1207" ht="15.6" x14ac:dyDescent="0.3"/>
    <row r="1208" ht="15.6" x14ac:dyDescent="0.3"/>
    <row r="1209" ht="15.6" x14ac:dyDescent="0.3"/>
    <row r="1210" ht="15.6" x14ac:dyDescent="0.3"/>
    <row r="1211" ht="15.6" x14ac:dyDescent="0.3"/>
    <row r="1212" ht="15.6" x14ac:dyDescent="0.3"/>
    <row r="1213" ht="15.6" x14ac:dyDescent="0.3"/>
    <row r="1214" ht="15.6" x14ac:dyDescent="0.3"/>
    <row r="1215" ht="15.6" x14ac:dyDescent="0.3"/>
    <row r="1216" ht="15.6" x14ac:dyDescent="0.3"/>
    <row r="1217" ht="15.6" x14ac:dyDescent="0.3"/>
    <row r="1218" ht="15.6" x14ac:dyDescent="0.3"/>
    <row r="1219" ht="15.6" x14ac:dyDescent="0.3"/>
    <row r="1220" ht="15.6" x14ac:dyDescent="0.3"/>
    <row r="1221" ht="15.6" x14ac:dyDescent="0.3"/>
    <row r="1222" ht="15.6" x14ac:dyDescent="0.3"/>
    <row r="1223" ht="15.6" x14ac:dyDescent="0.3"/>
    <row r="1224" ht="15.6" x14ac:dyDescent="0.3"/>
    <row r="1225" ht="15.6" x14ac:dyDescent="0.3"/>
    <row r="1226" ht="15.6" x14ac:dyDescent="0.3"/>
    <row r="1227" ht="15.6" x14ac:dyDescent="0.3"/>
    <row r="1228" ht="15.6" x14ac:dyDescent="0.3"/>
    <row r="1229" ht="15.6" x14ac:dyDescent="0.3"/>
    <row r="1230" ht="15.6" x14ac:dyDescent="0.3"/>
    <row r="1231" ht="15.6" x14ac:dyDescent="0.3"/>
    <row r="1232" ht="15.6" x14ac:dyDescent="0.3"/>
    <row r="1233" ht="15.6" x14ac:dyDescent="0.3"/>
    <row r="1234" ht="15.6" x14ac:dyDescent="0.3"/>
    <row r="1235" ht="15.6" x14ac:dyDescent="0.3"/>
    <row r="1236" ht="15.6" x14ac:dyDescent="0.3"/>
    <row r="1237" ht="15.6" x14ac:dyDescent="0.3"/>
    <row r="1238" ht="15.6" x14ac:dyDescent="0.3"/>
    <row r="1239" ht="15.6" x14ac:dyDescent="0.3"/>
    <row r="1240" ht="15.6" x14ac:dyDescent="0.3"/>
    <row r="1241" ht="15.6" x14ac:dyDescent="0.3"/>
    <row r="1242" ht="15.6" x14ac:dyDescent="0.3"/>
    <row r="1243" ht="15.6" x14ac:dyDescent="0.3"/>
    <row r="1244" ht="15.6" x14ac:dyDescent="0.3"/>
    <row r="1245" ht="15.6" x14ac:dyDescent="0.3"/>
    <row r="1246" ht="15.6" x14ac:dyDescent="0.3"/>
    <row r="1247" ht="15.6" x14ac:dyDescent="0.3"/>
    <row r="1248" ht="15.6" x14ac:dyDescent="0.3"/>
    <row r="1249" ht="15.6" x14ac:dyDescent="0.3"/>
    <row r="1250" ht="15.6" x14ac:dyDescent="0.3"/>
    <row r="1251" ht="15.6" x14ac:dyDescent="0.3"/>
    <row r="1252" ht="15.6" x14ac:dyDescent="0.3"/>
    <row r="1253" ht="15.6" x14ac:dyDescent="0.3"/>
    <row r="1254" ht="15.6" x14ac:dyDescent="0.3"/>
    <row r="1255" ht="15.6" x14ac:dyDescent="0.3"/>
    <row r="1256" ht="15.6" x14ac:dyDescent="0.3"/>
    <row r="1257" ht="15.6" x14ac:dyDescent="0.3"/>
    <row r="1258" ht="15.6" x14ac:dyDescent="0.3"/>
    <row r="1259" ht="15.6" x14ac:dyDescent="0.3"/>
    <row r="1260" ht="15.6" x14ac:dyDescent="0.3"/>
    <row r="1261" ht="15.6" x14ac:dyDescent="0.3"/>
    <row r="1262" ht="15.6" x14ac:dyDescent="0.3"/>
    <row r="1263" ht="15.6" x14ac:dyDescent="0.3"/>
    <row r="1264" ht="15.6" x14ac:dyDescent="0.3"/>
    <row r="1265" ht="15.6" x14ac:dyDescent="0.3"/>
    <row r="1266" ht="15.6" x14ac:dyDescent="0.3"/>
    <row r="1267" ht="15.6" x14ac:dyDescent="0.3"/>
    <row r="1268" ht="15.6" x14ac:dyDescent="0.3"/>
    <row r="1269" ht="15.6" x14ac:dyDescent="0.3"/>
    <row r="1270" ht="15.6" x14ac:dyDescent="0.3"/>
    <row r="1271" ht="15.6" x14ac:dyDescent="0.3"/>
    <row r="1272" ht="15.6" x14ac:dyDescent="0.3"/>
    <row r="1273" ht="15.6" x14ac:dyDescent="0.3"/>
    <row r="1274" ht="15.6" x14ac:dyDescent="0.3"/>
    <row r="1275" ht="15.6" x14ac:dyDescent="0.3"/>
    <row r="1276" ht="15.6" x14ac:dyDescent="0.3"/>
    <row r="1277" ht="15.6" x14ac:dyDescent="0.3"/>
    <row r="1278" ht="15.6" x14ac:dyDescent="0.3"/>
    <row r="1279" ht="15.6" x14ac:dyDescent="0.3"/>
    <row r="1280" ht="15.6" x14ac:dyDescent="0.3"/>
    <row r="1281" ht="15.6" x14ac:dyDescent="0.3"/>
    <row r="1282" ht="15.6" x14ac:dyDescent="0.3"/>
    <row r="1283" ht="15.6" x14ac:dyDescent="0.3"/>
    <row r="1284" ht="15.6" x14ac:dyDescent="0.3"/>
    <row r="1285" ht="15.6" x14ac:dyDescent="0.3"/>
    <row r="1286" ht="15.6" x14ac:dyDescent="0.3"/>
    <row r="1287" ht="15.6" x14ac:dyDescent="0.3"/>
    <row r="1288" ht="15.6" x14ac:dyDescent="0.3"/>
    <row r="1289" ht="15.6" x14ac:dyDescent="0.3"/>
    <row r="1290" ht="15.6" x14ac:dyDescent="0.3"/>
    <row r="1291" ht="15.6" x14ac:dyDescent="0.3"/>
    <row r="1292" ht="15.6" x14ac:dyDescent="0.3"/>
    <row r="1293" ht="15.6" x14ac:dyDescent="0.3"/>
    <row r="1294" ht="15.6" x14ac:dyDescent="0.3"/>
    <row r="1295" ht="15.6" x14ac:dyDescent="0.3"/>
    <row r="1296" ht="15.6" x14ac:dyDescent="0.3"/>
    <row r="1297" ht="15.6" x14ac:dyDescent="0.3"/>
    <row r="1298" ht="15.6" x14ac:dyDescent="0.3"/>
    <row r="1299" ht="15.6" x14ac:dyDescent="0.3"/>
    <row r="1300" ht="15.6" x14ac:dyDescent="0.3"/>
    <row r="1301" ht="15.6" x14ac:dyDescent="0.3"/>
    <row r="1302" ht="15.6" x14ac:dyDescent="0.3"/>
    <row r="1303" ht="15.6" x14ac:dyDescent="0.3"/>
    <row r="1304" ht="15.6" x14ac:dyDescent="0.3"/>
    <row r="1305" ht="15.6" x14ac:dyDescent="0.3"/>
    <row r="1306" ht="15.6" x14ac:dyDescent="0.3"/>
    <row r="1307" ht="15.6" x14ac:dyDescent="0.3"/>
    <row r="1308" ht="15.6" x14ac:dyDescent="0.3"/>
    <row r="1309" ht="15.6" x14ac:dyDescent="0.3"/>
    <row r="1310" ht="15.6" x14ac:dyDescent="0.3"/>
    <row r="1311" ht="15.6" x14ac:dyDescent="0.3"/>
    <row r="1312" ht="15.6" x14ac:dyDescent="0.3"/>
    <row r="1313" ht="15.6" x14ac:dyDescent="0.3"/>
    <row r="1314" ht="15.6" x14ac:dyDescent="0.3"/>
    <row r="1315" ht="15.6" x14ac:dyDescent="0.3"/>
    <row r="1316" ht="15.6" x14ac:dyDescent="0.3"/>
    <row r="1317" ht="15.6" x14ac:dyDescent="0.3"/>
    <row r="1318" ht="15.6" x14ac:dyDescent="0.3"/>
    <row r="1319" ht="15.6" x14ac:dyDescent="0.3"/>
    <row r="1320" ht="15.6" x14ac:dyDescent="0.3"/>
    <row r="1321" ht="15.6" x14ac:dyDescent="0.3"/>
    <row r="1322" ht="15.6" x14ac:dyDescent="0.3"/>
    <row r="1323" ht="15.6" x14ac:dyDescent="0.3"/>
    <row r="1324" ht="15.6" x14ac:dyDescent="0.3"/>
    <row r="1325" ht="15.6" x14ac:dyDescent="0.3"/>
    <row r="1326" ht="15.6" x14ac:dyDescent="0.3"/>
    <row r="1327" ht="15.6" x14ac:dyDescent="0.3"/>
    <row r="1328" ht="15.6" x14ac:dyDescent="0.3"/>
    <row r="1329" ht="15.6" x14ac:dyDescent="0.3"/>
    <row r="1330" ht="15.6" x14ac:dyDescent="0.3"/>
    <row r="1331" ht="15.6" x14ac:dyDescent="0.3"/>
    <row r="1332" ht="15.6" x14ac:dyDescent="0.3"/>
    <row r="1333" ht="15.6" x14ac:dyDescent="0.3"/>
    <row r="1334" ht="15.6" x14ac:dyDescent="0.3"/>
    <row r="1335" ht="15.6" x14ac:dyDescent="0.3"/>
    <row r="1336" ht="15.6" x14ac:dyDescent="0.3"/>
    <row r="1337" ht="15.6" x14ac:dyDescent="0.3"/>
    <row r="1338" ht="15.6" x14ac:dyDescent="0.3"/>
    <row r="1339" ht="15.6" x14ac:dyDescent="0.3"/>
    <row r="1340" ht="15.6" x14ac:dyDescent="0.3"/>
    <row r="1341" ht="15.6" x14ac:dyDescent="0.3"/>
    <row r="1342" ht="15.6" x14ac:dyDescent="0.3"/>
    <row r="1343" ht="15.6" x14ac:dyDescent="0.3"/>
    <row r="1344" ht="15.6" x14ac:dyDescent="0.3"/>
    <row r="1345" ht="15.6" x14ac:dyDescent="0.3"/>
    <row r="1346" ht="15.6" x14ac:dyDescent="0.3"/>
    <row r="1347" ht="15.6" x14ac:dyDescent="0.3"/>
    <row r="1348" ht="15.6" x14ac:dyDescent="0.3"/>
    <row r="1349" ht="15.6" x14ac:dyDescent="0.3"/>
    <row r="1350" ht="15.6" x14ac:dyDescent="0.3"/>
    <row r="1351" ht="15.6" x14ac:dyDescent="0.3"/>
    <row r="1352" ht="15.6" x14ac:dyDescent="0.3"/>
    <row r="1353" ht="15.6" x14ac:dyDescent="0.3"/>
    <row r="1354" ht="15.6" x14ac:dyDescent="0.3"/>
    <row r="1355" ht="15.6" x14ac:dyDescent="0.3"/>
    <row r="1356" ht="15.6" x14ac:dyDescent="0.3"/>
    <row r="1357" ht="15.6" x14ac:dyDescent="0.3"/>
    <row r="1358" ht="15.6" x14ac:dyDescent="0.3"/>
    <row r="1359" ht="15.6" x14ac:dyDescent="0.3"/>
    <row r="1360" ht="15.6" x14ac:dyDescent="0.3"/>
    <row r="1361" ht="15.6" x14ac:dyDescent="0.3"/>
    <row r="1362" ht="15.6" x14ac:dyDescent="0.3"/>
    <row r="1363" ht="15.6" x14ac:dyDescent="0.3"/>
    <row r="1364" ht="15.6" x14ac:dyDescent="0.3"/>
    <row r="1365" ht="15.6" x14ac:dyDescent="0.3"/>
    <row r="1366" ht="15.6" x14ac:dyDescent="0.3"/>
    <row r="1367" ht="15.6" x14ac:dyDescent="0.3"/>
    <row r="1368" ht="15.6" x14ac:dyDescent="0.3"/>
    <row r="1369" ht="15.6" x14ac:dyDescent="0.3"/>
    <row r="1370" ht="15.6" x14ac:dyDescent="0.3"/>
    <row r="1371" ht="15.6" x14ac:dyDescent="0.3"/>
    <row r="1372" ht="15.6" x14ac:dyDescent="0.3"/>
    <row r="1373" ht="15.6" x14ac:dyDescent="0.3"/>
    <row r="1374" ht="15.6" x14ac:dyDescent="0.3"/>
    <row r="1375" ht="15.6" x14ac:dyDescent="0.3"/>
    <row r="1376" ht="15.6" x14ac:dyDescent="0.3"/>
    <row r="1377" ht="15.6" x14ac:dyDescent="0.3"/>
    <row r="1378" ht="15.6" x14ac:dyDescent="0.3"/>
    <row r="1379" ht="15.6" x14ac:dyDescent="0.3"/>
    <row r="1380" ht="15.6" x14ac:dyDescent="0.3"/>
    <row r="1381" ht="15.6" x14ac:dyDescent="0.3"/>
    <row r="1382" ht="15.6" x14ac:dyDescent="0.3"/>
    <row r="1383" ht="15.6" x14ac:dyDescent="0.3"/>
    <row r="1384" ht="15.6" x14ac:dyDescent="0.3"/>
    <row r="1385" ht="15.6" x14ac:dyDescent="0.3"/>
    <row r="1386" ht="15.6" x14ac:dyDescent="0.3"/>
    <row r="1387" ht="15.6" x14ac:dyDescent="0.3"/>
    <row r="1388" ht="15.6" x14ac:dyDescent="0.3"/>
    <row r="1389" ht="15.6" x14ac:dyDescent="0.3"/>
    <row r="1390" ht="15.6" x14ac:dyDescent="0.3"/>
    <row r="1391" ht="15.6" x14ac:dyDescent="0.3"/>
    <row r="1392" ht="15.6" x14ac:dyDescent="0.3"/>
    <row r="1393" ht="15.6" x14ac:dyDescent="0.3"/>
    <row r="1394" ht="15.6" x14ac:dyDescent="0.3"/>
    <row r="1395" ht="15.6" x14ac:dyDescent="0.3"/>
    <row r="1396" ht="15.6" x14ac:dyDescent="0.3"/>
    <row r="1397" ht="15.6" x14ac:dyDescent="0.3"/>
    <row r="1398" ht="15.6" x14ac:dyDescent="0.3"/>
    <row r="1399" ht="15.6" x14ac:dyDescent="0.3"/>
    <row r="1400" ht="15.6" x14ac:dyDescent="0.3"/>
    <row r="1401" ht="15.6" x14ac:dyDescent="0.3"/>
    <row r="1402" ht="15.6" x14ac:dyDescent="0.3"/>
    <row r="1403" ht="15.6" x14ac:dyDescent="0.3"/>
    <row r="1404" ht="15.6" x14ac:dyDescent="0.3"/>
    <row r="1405" ht="15.6" x14ac:dyDescent="0.3"/>
    <row r="1406" ht="15.6" x14ac:dyDescent="0.3"/>
    <row r="1407" ht="15.6" x14ac:dyDescent="0.3"/>
    <row r="1408" ht="15.6" x14ac:dyDescent="0.3"/>
    <row r="1409" ht="15.6" x14ac:dyDescent="0.3"/>
    <row r="1410" ht="15.6" x14ac:dyDescent="0.3"/>
    <row r="1411" ht="15.6" x14ac:dyDescent="0.3"/>
    <row r="1412" ht="15.6" x14ac:dyDescent="0.3"/>
    <row r="1413" ht="15.6" x14ac:dyDescent="0.3"/>
    <row r="1414" ht="15.6" x14ac:dyDescent="0.3"/>
    <row r="1415" ht="15.6" x14ac:dyDescent="0.3"/>
    <row r="1416" ht="15.6" x14ac:dyDescent="0.3"/>
    <row r="1417" ht="15.6" x14ac:dyDescent="0.3"/>
    <row r="1418" ht="15.6" x14ac:dyDescent="0.3"/>
    <row r="1419" ht="15.6" x14ac:dyDescent="0.3"/>
    <row r="1420" ht="15.6" x14ac:dyDescent="0.3"/>
    <row r="1421" ht="15.6" x14ac:dyDescent="0.3"/>
    <row r="1422" ht="15.6" x14ac:dyDescent="0.3"/>
    <row r="1423" ht="15.6" x14ac:dyDescent="0.3"/>
    <row r="1424" ht="15.6" x14ac:dyDescent="0.3"/>
    <row r="1425" ht="15.6" x14ac:dyDescent="0.3"/>
    <row r="1426" ht="15.6" x14ac:dyDescent="0.3"/>
    <row r="1427" ht="15.6" x14ac:dyDescent="0.3"/>
    <row r="1428" ht="15.6" x14ac:dyDescent="0.3"/>
    <row r="1429" ht="15.6" x14ac:dyDescent="0.3"/>
    <row r="1430" ht="15.6" x14ac:dyDescent="0.3"/>
    <row r="1431" ht="15.6" x14ac:dyDescent="0.3"/>
    <row r="1432" ht="15.6" x14ac:dyDescent="0.3"/>
    <row r="1433" ht="15.6" x14ac:dyDescent="0.3"/>
    <row r="1434" ht="15.6" x14ac:dyDescent="0.3"/>
    <row r="1435" ht="15.6" x14ac:dyDescent="0.3"/>
    <row r="1436" ht="15.6" x14ac:dyDescent="0.3"/>
    <row r="1437" ht="15.6" x14ac:dyDescent="0.3"/>
    <row r="1438" ht="15.6" x14ac:dyDescent="0.3"/>
    <row r="1439" ht="15.6" x14ac:dyDescent="0.3"/>
    <row r="1440" ht="15.6" x14ac:dyDescent="0.3"/>
    <row r="1441" ht="15.6" x14ac:dyDescent="0.3"/>
    <row r="1442" ht="15.6" x14ac:dyDescent="0.3"/>
    <row r="1443" ht="15.6" x14ac:dyDescent="0.3"/>
    <row r="1444" ht="15.6" x14ac:dyDescent="0.3"/>
    <row r="1445" ht="15.6" x14ac:dyDescent="0.3"/>
    <row r="1446" ht="15.6" x14ac:dyDescent="0.3"/>
    <row r="1447" ht="15.6" x14ac:dyDescent="0.3"/>
    <row r="1448" ht="15.6" x14ac:dyDescent="0.3"/>
    <row r="1449" ht="15.6" x14ac:dyDescent="0.3"/>
    <row r="1450" ht="15.6" x14ac:dyDescent="0.3"/>
    <row r="1451" ht="15.6" x14ac:dyDescent="0.3"/>
    <row r="1452" ht="15.6" x14ac:dyDescent="0.3"/>
    <row r="1453" ht="15.6" x14ac:dyDescent="0.3"/>
    <row r="1454" ht="15.6" x14ac:dyDescent="0.3"/>
    <row r="1455" ht="15.6" x14ac:dyDescent="0.3"/>
    <row r="1456" ht="15.6" x14ac:dyDescent="0.3"/>
    <row r="1457" ht="15.6" x14ac:dyDescent="0.3"/>
    <row r="1458" ht="15.6" x14ac:dyDescent="0.3"/>
    <row r="1459" ht="15.6" x14ac:dyDescent="0.3"/>
    <row r="1460" ht="15.6" x14ac:dyDescent="0.3"/>
    <row r="1461" ht="15.6" x14ac:dyDescent="0.3"/>
    <row r="1462" ht="15.6" x14ac:dyDescent="0.3"/>
    <row r="1463" ht="15.6" x14ac:dyDescent="0.3"/>
    <row r="1464" ht="15.6" x14ac:dyDescent="0.3"/>
    <row r="1465" ht="15.6" x14ac:dyDescent="0.3"/>
    <row r="1466" ht="15.6" x14ac:dyDescent="0.3"/>
    <row r="1467" ht="15.6" x14ac:dyDescent="0.3"/>
    <row r="1468" ht="15.6" x14ac:dyDescent="0.3"/>
    <row r="1469" ht="15.6" x14ac:dyDescent="0.3"/>
    <row r="1470" ht="15.6" x14ac:dyDescent="0.3"/>
    <row r="1471" ht="15.6" x14ac:dyDescent="0.3"/>
    <row r="1472" ht="15.6" x14ac:dyDescent="0.3"/>
    <row r="1473" ht="15.6" x14ac:dyDescent="0.3"/>
    <row r="1474" ht="15.6" x14ac:dyDescent="0.3"/>
    <row r="1475" ht="15.6" x14ac:dyDescent="0.3"/>
    <row r="1476" ht="15.6" x14ac:dyDescent="0.3"/>
    <row r="1477" ht="15.6" x14ac:dyDescent="0.3"/>
    <row r="1478" ht="15.6" x14ac:dyDescent="0.3"/>
    <row r="1479" ht="15.6" x14ac:dyDescent="0.3"/>
    <row r="1480" ht="15.6" x14ac:dyDescent="0.3"/>
    <row r="1481" ht="15.6" x14ac:dyDescent="0.3"/>
    <row r="1482" ht="15.6" x14ac:dyDescent="0.3"/>
    <row r="1483" ht="15.6" x14ac:dyDescent="0.3"/>
    <row r="1484" ht="15.6" x14ac:dyDescent="0.3"/>
    <row r="1485" ht="15.6" x14ac:dyDescent="0.3"/>
    <row r="1486" ht="15.6" x14ac:dyDescent="0.3"/>
    <row r="1487" ht="15.6" x14ac:dyDescent="0.3"/>
    <row r="1488" ht="15.6" x14ac:dyDescent="0.3"/>
    <row r="1489" ht="15.6" x14ac:dyDescent="0.3"/>
    <row r="1490" ht="15.6" x14ac:dyDescent="0.3"/>
    <row r="1491" ht="15.6" x14ac:dyDescent="0.3"/>
    <row r="1492" ht="15.6" x14ac:dyDescent="0.3"/>
    <row r="1493" ht="15.6" x14ac:dyDescent="0.3"/>
    <row r="1494" ht="15.6" x14ac:dyDescent="0.3"/>
    <row r="1495" ht="15.6" x14ac:dyDescent="0.3"/>
    <row r="1496" ht="15.6" x14ac:dyDescent="0.3"/>
    <row r="1497" ht="15.6" x14ac:dyDescent="0.3"/>
    <row r="1498" ht="15.6" x14ac:dyDescent="0.3"/>
    <row r="1499" ht="15.6" x14ac:dyDescent="0.3"/>
    <row r="1500" ht="15.6" x14ac:dyDescent="0.3"/>
    <row r="1501" ht="15.6" x14ac:dyDescent="0.3"/>
    <row r="1502" ht="15.6" x14ac:dyDescent="0.3"/>
    <row r="1503" ht="15.6" x14ac:dyDescent="0.3"/>
    <row r="1504" ht="15.6" x14ac:dyDescent="0.3"/>
    <row r="1505" ht="15.6" x14ac:dyDescent="0.3"/>
    <row r="1506" ht="15.6" x14ac:dyDescent="0.3"/>
    <row r="1507" ht="15.6" x14ac:dyDescent="0.3"/>
    <row r="1508" ht="15.6" x14ac:dyDescent="0.3"/>
    <row r="1509" ht="15.6" x14ac:dyDescent="0.3"/>
    <row r="1510" ht="15.6" x14ac:dyDescent="0.3"/>
    <row r="1511" ht="15.6" x14ac:dyDescent="0.3"/>
    <row r="1512" ht="15.6" x14ac:dyDescent="0.3"/>
    <row r="1513" ht="15.6" x14ac:dyDescent="0.3"/>
    <row r="1514" ht="15.6" x14ac:dyDescent="0.3"/>
    <row r="1515" ht="15.6" x14ac:dyDescent="0.3"/>
    <row r="1516" ht="15.6" x14ac:dyDescent="0.3"/>
    <row r="1517" ht="15.6" x14ac:dyDescent="0.3"/>
    <row r="1518" ht="15.6" x14ac:dyDescent="0.3"/>
    <row r="1519" ht="15.6" x14ac:dyDescent="0.3"/>
    <row r="1520" ht="15.6" x14ac:dyDescent="0.3"/>
    <row r="1521" ht="15.6" x14ac:dyDescent="0.3"/>
    <row r="1522" ht="15.6" x14ac:dyDescent="0.3"/>
    <row r="1523" ht="15.6" x14ac:dyDescent="0.3"/>
    <row r="1524" ht="15.6" x14ac:dyDescent="0.3"/>
    <row r="1525" ht="15.6" x14ac:dyDescent="0.3"/>
    <row r="1526" ht="15.6" x14ac:dyDescent="0.3"/>
    <row r="1527" ht="15.6" x14ac:dyDescent="0.3"/>
    <row r="1528" ht="15.6" x14ac:dyDescent="0.3"/>
    <row r="1529" ht="15.6" x14ac:dyDescent="0.3"/>
    <row r="1530" ht="15.6" x14ac:dyDescent="0.3"/>
    <row r="1531" ht="15.6" x14ac:dyDescent="0.3"/>
    <row r="1532" ht="15.6" x14ac:dyDescent="0.3"/>
    <row r="1533" ht="15.6" x14ac:dyDescent="0.3"/>
    <row r="1534" ht="15.6" x14ac:dyDescent="0.3"/>
    <row r="1535" ht="15.6" x14ac:dyDescent="0.3"/>
    <row r="1536" ht="15.6" x14ac:dyDescent="0.3"/>
    <row r="1537" ht="15.6" x14ac:dyDescent="0.3"/>
    <row r="1538" ht="15.6" x14ac:dyDescent="0.3"/>
    <row r="1539" ht="15.6" x14ac:dyDescent="0.3"/>
    <row r="1540" ht="15.6" x14ac:dyDescent="0.3"/>
    <row r="1541" ht="15.6" x14ac:dyDescent="0.3"/>
    <row r="1542" ht="15.6" x14ac:dyDescent="0.3"/>
    <row r="1543" ht="15.6" x14ac:dyDescent="0.3"/>
    <row r="1544" ht="15.6" x14ac:dyDescent="0.3"/>
    <row r="1545" ht="15.6" x14ac:dyDescent="0.3"/>
    <row r="1546" ht="15.6" x14ac:dyDescent="0.3"/>
    <row r="1547" ht="15.6" x14ac:dyDescent="0.3"/>
    <row r="1548" ht="15.6" x14ac:dyDescent="0.3"/>
    <row r="1549" ht="15.6" x14ac:dyDescent="0.3"/>
    <row r="1550" ht="15.6" x14ac:dyDescent="0.3"/>
    <row r="1551" ht="15.6" x14ac:dyDescent="0.3"/>
    <row r="1552" ht="15.6" x14ac:dyDescent="0.3"/>
    <row r="1553" ht="15.6" x14ac:dyDescent="0.3"/>
    <row r="1554" ht="15.6" x14ac:dyDescent="0.3"/>
    <row r="1555" ht="15.6" x14ac:dyDescent="0.3"/>
    <row r="1556" ht="15.6" x14ac:dyDescent="0.3"/>
    <row r="1557" ht="15.6" x14ac:dyDescent="0.3"/>
    <row r="1558" ht="15.6" x14ac:dyDescent="0.3"/>
    <row r="1559" ht="15.6" x14ac:dyDescent="0.3"/>
    <row r="1560" ht="15.6" x14ac:dyDescent="0.3"/>
    <row r="1561" ht="15.6" x14ac:dyDescent="0.3"/>
    <row r="1562" ht="15.6" x14ac:dyDescent="0.3"/>
    <row r="1563" ht="15.6" x14ac:dyDescent="0.3"/>
    <row r="1564" ht="15.6" x14ac:dyDescent="0.3"/>
    <row r="1565" ht="15.6" x14ac:dyDescent="0.3"/>
    <row r="1566" ht="15.6" x14ac:dyDescent="0.3"/>
    <row r="1567" ht="15.6" x14ac:dyDescent="0.3"/>
    <row r="1568" ht="15.6" x14ac:dyDescent="0.3"/>
    <row r="1569" ht="15.6" x14ac:dyDescent="0.3"/>
    <row r="1570" ht="15.6" x14ac:dyDescent="0.3"/>
    <row r="1571" ht="15.6" x14ac:dyDescent="0.3"/>
    <row r="1572" ht="15.6" x14ac:dyDescent="0.3"/>
    <row r="1573" ht="15.6" x14ac:dyDescent="0.3"/>
    <row r="1574" ht="15.6" x14ac:dyDescent="0.3"/>
    <row r="1575" ht="15.6" x14ac:dyDescent="0.3"/>
    <row r="1576" ht="15.6" x14ac:dyDescent="0.3"/>
    <row r="1577" ht="15.6" x14ac:dyDescent="0.3"/>
    <row r="1578" ht="15.6" x14ac:dyDescent="0.3"/>
    <row r="1579" ht="15.6" x14ac:dyDescent="0.3"/>
    <row r="1580" ht="15.6" x14ac:dyDescent="0.3"/>
    <row r="1581" ht="15.6" x14ac:dyDescent="0.3"/>
    <row r="1582" ht="15.6" x14ac:dyDescent="0.3"/>
    <row r="1583" ht="15.6" x14ac:dyDescent="0.3"/>
    <row r="1584" ht="15.6" x14ac:dyDescent="0.3"/>
    <row r="1585" ht="15.6" x14ac:dyDescent="0.3"/>
    <row r="1586" ht="15.6" x14ac:dyDescent="0.3"/>
    <row r="1587" ht="15.6" x14ac:dyDescent="0.3"/>
    <row r="1588" ht="15.6" x14ac:dyDescent="0.3"/>
    <row r="1589" ht="15.6" x14ac:dyDescent="0.3"/>
    <row r="1590" ht="15.6" x14ac:dyDescent="0.3"/>
    <row r="1591" ht="15.6" x14ac:dyDescent="0.3"/>
    <row r="1592" ht="15.6" x14ac:dyDescent="0.3"/>
    <row r="1593" ht="15.6" x14ac:dyDescent="0.3"/>
    <row r="1594" ht="15.6" x14ac:dyDescent="0.3"/>
    <row r="1595" ht="15.6" x14ac:dyDescent="0.3"/>
    <row r="1596" ht="15.6" x14ac:dyDescent="0.3"/>
    <row r="1597" ht="15.6" x14ac:dyDescent="0.3"/>
    <row r="1598" ht="15.6" x14ac:dyDescent="0.3"/>
    <row r="1599" ht="15.6" x14ac:dyDescent="0.3"/>
    <row r="1600" ht="15.6" x14ac:dyDescent="0.3"/>
    <row r="1601" ht="15.6" x14ac:dyDescent="0.3"/>
    <row r="1602" ht="15.6" x14ac:dyDescent="0.3"/>
    <row r="1603" ht="15.6" x14ac:dyDescent="0.3"/>
    <row r="1604" ht="15.6" x14ac:dyDescent="0.3"/>
    <row r="1605" ht="15.6" x14ac:dyDescent="0.3"/>
    <row r="1606" ht="15.6" x14ac:dyDescent="0.3"/>
    <row r="1607" ht="15.6" x14ac:dyDescent="0.3"/>
    <row r="1608" ht="15.6" x14ac:dyDescent="0.3"/>
    <row r="1609" ht="15.6" x14ac:dyDescent="0.3"/>
    <row r="1610" ht="15.6" x14ac:dyDescent="0.3"/>
    <row r="1611" ht="15.6" x14ac:dyDescent="0.3"/>
    <row r="1612" ht="15.6" x14ac:dyDescent="0.3"/>
    <row r="1613" ht="15.6" x14ac:dyDescent="0.3"/>
    <row r="1614" ht="15.6" x14ac:dyDescent="0.3"/>
    <row r="1615" ht="15.6" x14ac:dyDescent="0.3"/>
    <row r="1616" ht="15.6" x14ac:dyDescent="0.3"/>
    <row r="1617" ht="15.6" x14ac:dyDescent="0.3"/>
    <row r="1618" ht="15.6" x14ac:dyDescent="0.3"/>
    <row r="1619" ht="15.6" x14ac:dyDescent="0.3"/>
    <row r="1620" ht="15.6" x14ac:dyDescent="0.3"/>
    <row r="1621" ht="15.6" x14ac:dyDescent="0.3"/>
    <row r="1622" ht="15.6" x14ac:dyDescent="0.3"/>
    <row r="1623" ht="15.6" x14ac:dyDescent="0.3"/>
    <row r="1624" ht="15.6" x14ac:dyDescent="0.3"/>
    <row r="1625" ht="15.6" x14ac:dyDescent="0.3"/>
    <row r="1626" ht="15.6" x14ac:dyDescent="0.3"/>
    <row r="1627" ht="15.6" x14ac:dyDescent="0.3"/>
    <row r="1628" ht="15.6" x14ac:dyDescent="0.3"/>
    <row r="1629" ht="15.6" x14ac:dyDescent="0.3"/>
    <row r="1630" ht="15.6" x14ac:dyDescent="0.3"/>
    <row r="1631" ht="15.6" x14ac:dyDescent="0.3"/>
    <row r="1632" ht="15.6" x14ac:dyDescent="0.3"/>
    <row r="1633" ht="15.6" x14ac:dyDescent="0.3"/>
    <row r="1634" ht="15.6" x14ac:dyDescent="0.3"/>
    <row r="1635" ht="15.6" x14ac:dyDescent="0.3"/>
    <row r="1636" ht="15.6" x14ac:dyDescent="0.3"/>
    <row r="1637" ht="15.6" x14ac:dyDescent="0.3"/>
    <row r="1638" ht="15.6" x14ac:dyDescent="0.3"/>
    <row r="1639" ht="15.6" x14ac:dyDescent="0.3"/>
    <row r="1640" ht="15.6" x14ac:dyDescent="0.3"/>
    <row r="1641" ht="15.6" x14ac:dyDescent="0.3"/>
    <row r="1642" ht="15.6" x14ac:dyDescent="0.3"/>
    <row r="1643" ht="15.6" x14ac:dyDescent="0.3"/>
    <row r="1644" ht="15.6" x14ac:dyDescent="0.3"/>
    <row r="1645" ht="15.6" x14ac:dyDescent="0.3"/>
    <row r="1646" ht="15.6" x14ac:dyDescent="0.3"/>
    <row r="1647" ht="15.6" x14ac:dyDescent="0.3"/>
    <row r="1648" ht="15.6" x14ac:dyDescent="0.3"/>
    <row r="1649" ht="15.6" x14ac:dyDescent="0.3"/>
    <row r="1650" ht="15.6" x14ac:dyDescent="0.3"/>
    <row r="1651" ht="15.6" x14ac:dyDescent="0.3"/>
    <row r="1652" ht="15.6" x14ac:dyDescent="0.3"/>
    <row r="1653" ht="15.6" x14ac:dyDescent="0.3"/>
    <row r="1654" ht="15.6" x14ac:dyDescent="0.3"/>
    <row r="1655" ht="15.6" x14ac:dyDescent="0.3"/>
    <row r="1656" ht="15.6" x14ac:dyDescent="0.3"/>
    <row r="1657" ht="15.6" x14ac:dyDescent="0.3"/>
    <row r="1658" ht="15.6" x14ac:dyDescent="0.3"/>
    <row r="1659" ht="15.6" x14ac:dyDescent="0.3"/>
    <row r="1660" ht="15.6" x14ac:dyDescent="0.3"/>
    <row r="1661" ht="15.6" x14ac:dyDescent="0.3"/>
    <row r="1662" ht="15.6" x14ac:dyDescent="0.3"/>
    <row r="1663" ht="15.6" x14ac:dyDescent="0.3"/>
    <row r="1664" ht="15.6" x14ac:dyDescent="0.3"/>
    <row r="1665" ht="15.6" x14ac:dyDescent="0.3"/>
    <row r="1666" ht="15.6" x14ac:dyDescent="0.3"/>
    <row r="1667" ht="15.6" x14ac:dyDescent="0.3"/>
    <row r="1668" ht="15.6" x14ac:dyDescent="0.3"/>
    <row r="1669" ht="15.6" x14ac:dyDescent="0.3"/>
    <row r="1670" ht="15.6" x14ac:dyDescent="0.3"/>
    <row r="1671" ht="15.6" x14ac:dyDescent="0.3"/>
    <row r="1672" ht="15.6" x14ac:dyDescent="0.3"/>
    <row r="1673" ht="15.6" x14ac:dyDescent="0.3"/>
    <row r="1674" ht="15.6" x14ac:dyDescent="0.3"/>
    <row r="1675" ht="15.6" x14ac:dyDescent="0.3"/>
    <row r="1676" ht="15.6" x14ac:dyDescent="0.3"/>
    <row r="1677" ht="15.6" x14ac:dyDescent="0.3"/>
    <row r="1678" ht="15.6" x14ac:dyDescent="0.3"/>
    <row r="1679" ht="15.6" x14ac:dyDescent="0.3"/>
    <row r="1680" ht="15.6" x14ac:dyDescent="0.3"/>
    <row r="1681" ht="15.6" x14ac:dyDescent="0.3"/>
    <row r="1682" ht="15.6" x14ac:dyDescent="0.3"/>
    <row r="1683" ht="15.6" x14ac:dyDescent="0.3"/>
    <row r="1684" ht="15.6" x14ac:dyDescent="0.3"/>
    <row r="1685" ht="15.6" x14ac:dyDescent="0.3"/>
    <row r="1686" ht="15.6" x14ac:dyDescent="0.3"/>
    <row r="1687" ht="15.6" x14ac:dyDescent="0.3"/>
    <row r="1688" ht="15.6" x14ac:dyDescent="0.3"/>
    <row r="1689" ht="15.6" x14ac:dyDescent="0.3"/>
    <row r="1690" ht="15.6" x14ac:dyDescent="0.3"/>
    <row r="1691" ht="15.6" x14ac:dyDescent="0.3"/>
    <row r="1692" ht="15.6" x14ac:dyDescent="0.3"/>
    <row r="1693" ht="15.6" x14ac:dyDescent="0.3"/>
    <row r="1694" ht="15.6" x14ac:dyDescent="0.3"/>
    <row r="1695" ht="15.6" x14ac:dyDescent="0.3"/>
    <row r="1696" ht="15.6" x14ac:dyDescent="0.3"/>
    <row r="1697" ht="15.6" x14ac:dyDescent="0.3"/>
    <row r="1698" ht="15.6" x14ac:dyDescent="0.3"/>
    <row r="1699" ht="15.6" x14ac:dyDescent="0.3"/>
    <row r="1700" ht="15.6" x14ac:dyDescent="0.3"/>
    <row r="1701" ht="15.6" x14ac:dyDescent="0.3"/>
    <row r="1702" ht="15.6" x14ac:dyDescent="0.3"/>
    <row r="1703" ht="15.6" x14ac:dyDescent="0.3"/>
    <row r="1704" ht="15.6" x14ac:dyDescent="0.3"/>
    <row r="1705" ht="15.6" x14ac:dyDescent="0.3"/>
    <row r="1706" ht="15.6" x14ac:dyDescent="0.3"/>
    <row r="1707" ht="15.6" x14ac:dyDescent="0.3"/>
    <row r="1708" ht="15.6" x14ac:dyDescent="0.3"/>
    <row r="1709" ht="15.6" x14ac:dyDescent="0.3"/>
    <row r="1710" ht="15.6" x14ac:dyDescent="0.3"/>
    <row r="1711" ht="15.6" x14ac:dyDescent="0.3"/>
    <row r="1712" ht="15.6" x14ac:dyDescent="0.3"/>
    <row r="1713" ht="15.6" x14ac:dyDescent="0.3"/>
    <row r="1714" ht="15.6" x14ac:dyDescent="0.3"/>
    <row r="1715" ht="15.6" x14ac:dyDescent="0.3"/>
    <row r="1716" ht="15.6" x14ac:dyDescent="0.3"/>
    <row r="1717" ht="15.6" x14ac:dyDescent="0.3"/>
    <row r="1718" ht="15.6" x14ac:dyDescent="0.3"/>
    <row r="1719" ht="15.6" x14ac:dyDescent="0.3"/>
    <row r="1720" ht="15.6" x14ac:dyDescent="0.3"/>
    <row r="1721" ht="15.6" x14ac:dyDescent="0.3"/>
    <row r="1722" ht="15.6" x14ac:dyDescent="0.3"/>
    <row r="1723" ht="15.6" x14ac:dyDescent="0.3"/>
    <row r="1724" ht="15.6" x14ac:dyDescent="0.3"/>
    <row r="1725" ht="15.6" x14ac:dyDescent="0.3"/>
    <row r="1726" ht="15.6" x14ac:dyDescent="0.3"/>
    <row r="1727" ht="15.6" x14ac:dyDescent="0.3"/>
    <row r="1728" ht="15.6" x14ac:dyDescent="0.3"/>
    <row r="1729" ht="15.6" x14ac:dyDescent="0.3"/>
    <row r="1730" ht="15.6" x14ac:dyDescent="0.3"/>
    <row r="1731" ht="15.6" x14ac:dyDescent="0.3"/>
    <row r="1732" ht="15.6" x14ac:dyDescent="0.3"/>
    <row r="1733" ht="15.6" x14ac:dyDescent="0.3"/>
    <row r="1734" ht="15.6" x14ac:dyDescent="0.3"/>
    <row r="1735" ht="15.6" x14ac:dyDescent="0.3"/>
    <row r="1736" ht="15.6" x14ac:dyDescent="0.3"/>
    <row r="1737" ht="15.6" x14ac:dyDescent="0.3"/>
    <row r="1738" ht="15.6" x14ac:dyDescent="0.3"/>
    <row r="1739" ht="15.6" x14ac:dyDescent="0.3"/>
    <row r="1740" ht="15.6" x14ac:dyDescent="0.3"/>
    <row r="1741" ht="15.6" x14ac:dyDescent="0.3"/>
    <row r="1742" ht="15.6" x14ac:dyDescent="0.3"/>
    <row r="1743" ht="15.6" x14ac:dyDescent="0.3"/>
    <row r="1744" ht="15.6" x14ac:dyDescent="0.3"/>
    <row r="1745" ht="15.6" x14ac:dyDescent="0.3"/>
    <row r="1746" ht="15.6" x14ac:dyDescent="0.3"/>
    <row r="1747" ht="15.6" x14ac:dyDescent="0.3"/>
    <row r="1748" ht="15.6" x14ac:dyDescent="0.3"/>
    <row r="1749" ht="15.6" x14ac:dyDescent="0.3"/>
    <row r="1750" ht="15.6" x14ac:dyDescent="0.3"/>
    <row r="1751" ht="15.6" x14ac:dyDescent="0.3"/>
    <row r="1752" ht="15.6" x14ac:dyDescent="0.3"/>
    <row r="1753" ht="15.6" x14ac:dyDescent="0.3"/>
    <row r="1754" ht="15.6" x14ac:dyDescent="0.3"/>
    <row r="1755" ht="15.6" x14ac:dyDescent="0.3"/>
    <row r="1756" ht="15.6" x14ac:dyDescent="0.3"/>
    <row r="1757" ht="15.6" x14ac:dyDescent="0.3"/>
    <row r="1758" ht="15.6" x14ac:dyDescent="0.3"/>
    <row r="1759" ht="15.6" x14ac:dyDescent="0.3"/>
    <row r="1760" ht="15.6" x14ac:dyDescent="0.3"/>
    <row r="1761" ht="15.6" x14ac:dyDescent="0.3"/>
    <row r="1762" ht="15.6" x14ac:dyDescent="0.3"/>
    <row r="1763" ht="15.6" x14ac:dyDescent="0.3"/>
    <row r="1764" ht="15.6" x14ac:dyDescent="0.3"/>
    <row r="1765" ht="15.6" x14ac:dyDescent="0.3"/>
    <row r="1766" ht="15.6" x14ac:dyDescent="0.3"/>
    <row r="1767" ht="15.6" x14ac:dyDescent="0.3"/>
    <row r="1768" ht="15.6" x14ac:dyDescent="0.3"/>
    <row r="1769" ht="15.6" x14ac:dyDescent="0.3"/>
    <row r="1770" ht="15.6" x14ac:dyDescent="0.3"/>
    <row r="1771" ht="15.6" x14ac:dyDescent="0.3"/>
    <row r="1772" ht="15.6" x14ac:dyDescent="0.3"/>
    <row r="1773" ht="15.6" x14ac:dyDescent="0.3"/>
    <row r="1774" ht="15.6" x14ac:dyDescent="0.3"/>
    <row r="1775" ht="15.6" x14ac:dyDescent="0.3"/>
    <row r="1776" ht="15.6" x14ac:dyDescent="0.3"/>
    <row r="1777" ht="15.6" x14ac:dyDescent="0.3"/>
    <row r="1778" ht="15.6" x14ac:dyDescent="0.3"/>
    <row r="1779" ht="15.6" x14ac:dyDescent="0.3"/>
    <row r="1780" ht="15.6" x14ac:dyDescent="0.3"/>
    <row r="1781" ht="15.6" x14ac:dyDescent="0.3"/>
    <row r="1782" ht="15.6" x14ac:dyDescent="0.3"/>
    <row r="1783" ht="15.6" x14ac:dyDescent="0.3"/>
    <row r="1784" ht="15.6" x14ac:dyDescent="0.3"/>
    <row r="1785" ht="15.6" x14ac:dyDescent="0.3"/>
    <row r="1786" ht="15.6" x14ac:dyDescent="0.3"/>
    <row r="1787" ht="15.6" x14ac:dyDescent="0.3"/>
    <row r="1788" ht="15.6" x14ac:dyDescent="0.3"/>
    <row r="1789" ht="15.6" x14ac:dyDescent="0.3"/>
    <row r="1790" ht="15.6" x14ac:dyDescent="0.3"/>
    <row r="1791" ht="15.6" x14ac:dyDescent="0.3"/>
    <row r="1792" ht="15.6" x14ac:dyDescent="0.3"/>
    <row r="1793" ht="15.6" x14ac:dyDescent="0.3"/>
    <row r="1794" ht="15.6" x14ac:dyDescent="0.3"/>
    <row r="1795" ht="15.6" x14ac:dyDescent="0.3"/>
    <row r="1796" ht="15.6" x14ac:dyDescent="0.3"/>
    <row r="1797" ht="15.6" x14ac:dyDescent="0.3"/>
    <row r="1798" ht="15.6" x14ac:dyDescent="0.3"/>
    <row r="1799" ht="15.6" x14ac:dyDescent="0.3"/>
    <row r="1800" ht="15.6" x14ac:dyDescent="0.3"/>
    <row r="1801" ht="15.6" x14ac:dyDescent="0.3"/>
    <row r="1802" ht="15.6" x14ac:dyDescent="0.3"/>
    <row r="1803" ht="15.6" x14ac:dyDescent="0.3"/>
    <row r="1804" ht="15.6" x14ac:dyDescent="0.3"/>
    <row r="1805" ht="15.6" x14ac:dyDescent="0.3"/>
    <row r="1806" ht="15.6" x14ac:dyDescent="0.3"/>
    <row r="1807" ht="15.6" x14ac:dyDescent="0.3"/>
    <row r="1808" ht="15.6" x14ac:dyDescent="0.3"/>
    <row r="1809" ht="15.6" x14ac:dyDescent="0.3"/>
    <row r="1810" ht="15.6" x14ac:dyDescent="0.3"/>
    <row r="1811" ht="15.6" x14ac:dyDescent="0.3"/>
    <row r="1812" ht="15.6" x14ac:dyDescent="0.3"/>
    <row r="1813" ht="15.6" x14ac:dyDescent="0.3"/>
    <row r="1814" ht="15.6" x14ac:dyDescent="0.3"/>
    <row r="1815" ht="15.6" x14ac:dyDescent="0.3"/>
    <row r="1816" ht="15.6" x14ac:dyDescent="0.3"/>
    <row r="1817" ht="15.6" x14ac:dyDescent="0.3"/>
    <row r="1818" ht="15.6" x14ac:dyDescent="0.3"/>
    <row r="1819" ht="15.6" x14ac:dyDescent="0.3"/>
    <row r="1820" ht="15.6" x14ac:dyDescent="0.3"/>
    <row r="1821" ht="15.6" x14ac:dyDescent="0.3"/>
    <row r="1822" ht="15.6" x14ac:dyDescent="0.3"/>
    <row r="1823" ht="15.6" x14ac:dyDescent="0.3"/>
    <row r="1824" ht="15.6" x14ac:dyDescent="0.3"/>
    <row r="1825" ht="15.6" x14ac:dyDescent="0.3"/>
    <row r="1826" ht="15.6" x14ac:dyDescent="0.3"/>
    <row r="1827" ht="15.6" x14ac:dyDescent="0.3"/>
    <row r="1828" ht="15.6" x14ac:dyDescent="0.3"/>
    <row r="1829" ht="15.6" x14ac:dyDescent="0.3"/>
    <row r="1830" ht="15.6" x14ac:dyDescent="0.3"/>
    <row r="1831" ht="15.6" x14ac:dyDescent="0.3"/>
    <row r="1832" ht="15.6" x14ac:dyDescent="0.3"/>
    <row r="1833" ht="15.6" x14ac:dyDescent="0.3"/>
    <row r="1834" ht="15.6" x14ac:dyDescent="0.3"/>
    <row r="1835" ht="15.6" x14ac:dyDescent="0.3"/>
    <row r="1836" ht="15.6" x14ac:dyDescent="0.3"/>
    <row r="1837" ht="15.6" x14ac:dyDescent="0.3"/>
    <row r="1838" ht="15.6" x14ac:dyDescent="0.3"/>
    <row r="1839" ht="15.6" x14ac:dyDescent="0.3"/>
    <row r="1840" ht="15.6" x14ac:dyDescent="0.3"/>
    <row r="1841" ht="15.6" x14ac:dyDescent="0.3"/>
    <row r="1842" ht="15.6" x14ac:dyDescent="0.3"/>
    <row r="1843" ht="15.6" x14ac:dyDescent="0.3"/>
    <row r="1844" ht="15.6" x14ac:dyDescent="0.3"/>
    <row r="1845" ht="15.6" x14ac:dyDescent="0.3"/>
    <row r="1846" ht="15.6" x14ac:dyDescent="0.3"/>
    <row r="1847" ht="15.6" x14ac:dyDescent="0.3"/>
    <row r="1848" ht="15.6" x14ac:dyDescent="0.3"/>
    <row r="1849" ht="15.6" x14ac:dyDescent="0.3"/>
    <row r="1850" ht="15.6" x14ac:dyDescent="0.3"/>
    <row r="1851" ht="15.6" x14ac:dyDescent="0.3"/>
    <row r="1852" ht="15.6" x14ac:dyDescent="0.3"/>
    <row r="1853" ht="15.6" x14ac:dyDescent="0.3"/>
    <row r="1854" ht="15.6" x14ac:dyDescent="0.3"/>
    <row r="1855" ht="15.6" x14ac:dyDescent="0.3"/>
    <row r="1856" ht="15.6" x14ac:dyDescent="0.3"/>
    <row r="1857" ht="15.6" x14ac:dyDescent="0.3"/>
    <row r="1858" ht="15.6" x14ac:dyDescent="0.3"/>
    <row r="1859" ht="15.6" x14ac:dyDescent="0.3"/>
    <row r="1860" ht="15.6" x14ac:dyDescent="0.3"/>
    <row r="1861" ht="15.6" x14ac:dyDescent="0.3"/>
    <row r="1862" ht="15.6" x14ac:dyDescent="0.3"/>
    <row r="1863" ht="15.6" x14ac:dyDescent="0.3"/>
    <row r="1864" ht="15.6" x14ac:dyDescent="0.3"/>
    <row r="1865" ht="15.6" x14ac:dyDescent="0.3"/>
    <row r="1866" ht="15.6" x14ac:dyDescent="0.3"/>
    <row r="1867" ht="15.6" x14ac:dyDescent="0.3"/>
    <row r="1868" ht="15.6" x14ac:dyDescent="0.3"/>
    <row r="1869" ht="15.6" x14ac:dyDescent="0.3"/>
    <row r="1870" ht="15.6" x14ac:dyDescent="0.3"/>
    <row r="1871" ht="15.6" x14ac:dyDescent="0.3"/>
    <row r="1872" ht="15.6" x14ac:dyDescent="0.3"/>
    <row r="1873" ht="15.6" x14ac:dyDescent="0.3"/>
    <row r="1874" ht="15.6" x14ac:dyDescent="0.3"/>
    <row r="1875" ht="15.6" x14ac:dyDescent="0.3"/>
    <row r="1876" ht="15.6" x14ac:dyDescent="0.3"/>
    <row r="1877" ht="15.6" x14ac:dyDescent="0.3"/>
    <row r="1878" ht="15.6" x14ac:dyDescent="0.3"/>
    <row r="1879" ht="15.6" x14ac:dyDescent="0.3"/>
    <row r="1880" ht="15.6" x14ac:dyDescent="0.3"/>
    <row r="1881" ht="15.6" x14ac:dyDescent="0.3"/>
    <row r="1882" ht="15.6" x14ac:dyDescent="0.3"/>
    <row r="1883" ht="15.6" x14ac:dyDescent="0.3"/>
    <row r="1884" ht="15.6" x14ac:dyDescent="0.3"/>
    <row r="1885" ht="15.6" x14ac:dyDescent="0.3"/>
    <row r="1886" ht="15.6" x14ac:dyDescent="0.3"/>
    <row r="1887" ht="15.6" x14ac:dyDescent="0.3"/>
    <row r="1888" ht="15.6" x14ac:dyDescent="0.3"/>
    <row r="1889" ht="15.6" x14ac:dyDescent="0.3"/>
    <row r="1890" ht="15.6" x14ac:dyDescent="0.3"/>
    <row r="1891" ht="15.6" x14ac:dyDescent="0.3"/>
    <row r="1892" ht="15.6" x14ac:dyDescent="0.3"/>
    <row r="1893" ht="15.6" x14ac:dyDescent="0.3"/>
    <row r="1894" ht="15.6" x14ac:dyDescent="0.3"/>
    <row r="1895" ht="15.6" x14ac:dyDescent="0.3"/>
    <row r="1896" ht="15.6" x14ac:dyDescent="0.3"/>
    <row r="1897" ht="15.6" x14ac:dyDescent="0.3"/>
    <row r="1898" ht="15.6" x14ac:dyDescent="0.3"/>
    <row r="1899" ht="15.6" x14ac:dyDescent="0.3"/>
    <row r="1900" ht="15.6" x14ac:dyDescent="0.3"/>
    <row r="1901" ht="15.6" x14ac:dyDescent="0.3"/>
    <row r="1902" ht="15.6" x14ac:dyDescent="0.3"/>
    <row r="1903" ht="15.6" x14ac:dyDescent="0.3"/>
    <row r="1904" ht="15.6" x14ac:dyDescent="0.3"/>
    <row r="1905" ht="15.6" x14ac:dyDescent="0.3"/>
    <row r="1906" ht="15.6" x14ac:dyDescent="0.3"/>
    <row r="1907" ht="15.6" x14ac:dyDescent="0.3"/>
    <row r="1908" ht="15.6" x14ac:dyDescent="0.3"/>
    <row r="1909" ht="15.6" x14ac:dyDescent="0.3"/>
    <row r="1910" ht="15.6" x14ac:dyDescent="0.3"/>
    <row r="1911" ht="15.6" x14ac:dyDescent="0.3"/>
    <row r="1912" ht="15.6" x14ac:dyDescent="0.3"/>
    <row r="1913" ht="15.6" x14ac:dyDescent="0.3"/>
    <row r="1914" ht="15.6" x14ac:dyDescent="0.3"/>
    <row r="1915" ht="15.6" x14ac:dyDescent="0.3"/>
    <row r="1916" ht="15.6" x14ac:dyDescent="0.3"/>
    <row r="1917" ht="15.6" x14ac:dyDescent="0.3"/>
    <row r="1918" ht="15.6" x14ac:dyDescent="0.3"/>
    <row r="1919" ht="15.6" x14ac:dyDescent="0.3"/>
    <row r="1920" ht="15.6" x14ac:dyDescent="0.3"/>
    <row r="1921" ht="15.6" x14ac:dyDescent="0.3"/>
    <row r="1922" ht="15.6" x14ac:dyDescent="0.3"/>
    <row r="1923" ht="15.6" x14ac:dyDescent="0.3"/>
    <row r="1924" ht="15.6" x14ac:dyDescent="0.3"/>
    <row r="1925" ht="15.6" x14ac:dyDescent="0.3"/>
    <row r="1926" ht="15.6" x14ac:dyDescent="0.3"/>
    <row r="1927" ht="15.6" x14ac:dyDescent="0.3"/>
    <row r="1928" ht="15.6" x14ac:dyDescent="0.3"/>
    <row r="1929" ht="15.6" x14ac:dyDescent="0.3"/>
    <row r="1930" ht="15.6" x14ac:dyDescent="0.3"/>
    <row r="1931" ht="15.6" x14ac:dyDescent="0.3"/>
    <row r="1932" ht="15.6" x14ac:dyDescent="0.3"/>
    <row r="1933" ht="15.6" x14ac:dyDescent="0.3"/>
    <row r="1934" ht="15.6" x14ac:dyDescent="0.3"/>
    <row r="1935" ht="15.6" x14ac:dyDescent="0.3"/>
    <row r="1936" ht="15.6" x14ac:dyDescent="0.3"/>
    <row r="1937" ht="15.6" x14ac:dyDescent="0.3"/>
    <row r="1938" ht="15.6" x14ac:dyDescent="0.3"/>
    <row r="1939" ht="15.6" x14ac:dyDescent="0.3"/>
    <row r="1940" ht="15.6" x14ac:dyDescent="0.3"/>
    <row r="1941" ht="15.6" x14ac:dyDescent="0.3"/>
    <row r="1942" ht="15.6" x14ac:dyDescent="0.3"/>
    <row r="1943" ht="15.6" x14ac:dyDescent="0.3"/>
    <row r="1944" ht="15.6" x14ac:dyDescent="0.3"/>
    <row r="1945" ht="15.6" x14ac:dyDescent="0.3"/>
    <row r="1946" ht="15.6" x14ac:dyDescent="0.3"/>
    <row r="1947" ht="15.6" x14ac:dyDescent="0.3"/>
    <row r="1948" ht="15.6" x14ac:dyDescent="0.3"/>
    <row r="1949" ht="15.6" x14ac:dyDescent="0.3"/>
    <row r="1950" ht="15.6" x14ac:dyDescent="0.3"/>
    <row r="1951" ht="15.6" x14ac:dyDescent="0.3"/>
    <row r="1952" ht="15.6" x14ac:dyDescent="0.3"/>
    <row r="1953" ht="15.6" x14ac:dyDescent="0.3"/>
    <row r="1954" ht="15.6" x14ac:dyDescent="0.3"/>
    <row r="1955" ht="15.6" x14ac:dyDescent="0.3"/>
    <row r="1956" ht="15.6" x14ac:dyDescent="0.3"/>
    <row r="1957" ht="15.6" x14ac:dyDescent="0.3"/>
    <row r="1958" ht="15.6" x14ac:dyDescent="0.3"/>
    <row r="1959" ht="15.6" x14ac:dyDescent="0.3"/>
    <row r="1960" ht="15.6" x14ac:dyDescent="0.3"/>
    <row r="1961" ht="15.6" x14ac:dyDescent="0.3"/>
    <row r="1962" ht="15.6" x14ac:dyDescent="0.3"/>
    <row r="1963" ht="15.6" x14ac:dyDescent="0.3"/>
    <row r="1964" ht="15.6" x14ac:dyDescent="0.3"/>
    <row r="1965" ht="15.6" x14ac:dyDescent="0.3"/>
    <row r="1966" ht="15.6" x14ac:dyDescent="0.3"/>
    <row r="1967" ht="15.6" x14ac:dyDescent="0.3"/>
    <row r="1968" ht="15.6" x14ac:dyDescent="0.3"/>
    <row r="1969" ht="15.6" x14ac:dyDescent="0.3"/>
    <row r="1970" ht="15.6" x14ac:dyDescent="0.3"/>
    <row r="1971" ht="15.6" x14ac:dyDescent="0.3"/>
    <row r="1972" ht="15.6" x14ac:dyDescent="0.3"/>
    <row r="1973" ht="15.6" x14ac:dyDescent="0.3"/>
    <row r="1974" ht="15.6" x14ac:dyDescent="0.3"/>
    <row r="1975" ht="15.6" x14ac:dyDescent="0.3"/>
    <row r="1976" ht="15.6" x14ac:dyDescent="0.3"/>
    <row r="1977" ht="15.6" x14ac:dyDescent="0.3"/>
    <row r="1978" ht="15.6" x14ac:dyDescent="0.3"/>
    <row r="1979" ht="15.6" x14ac:dyDescent="0.3"/>
    <row r="1980" ht="15.6" x14ac:dyDescent="0.3"/>
    <row r="1981" ht="15.6" x14ac:dyDescent="0.3"/>
    <row r="1982" ht="15.6" x14ac:dyDescent="0.3"/>
    <row r="1983" ht="15.6" x14ac:dyDescent="0.3"/>
    <row r="1984" ht="15.6" x14ac:dyDescent="0.3"/>
    <row r="1985" ht="15.6" x14ac:dyDescent="0.3"/>
    <row r="1986" ht="15.6" x14ac:dyDescent="0.3"/>
    <row r="1987" ht="15.6" x14ac:dyDescent="0.3"/>
    <row r="1988" ht="15.6" x14ac:dyDescent="0.3"/>
    <row r="1989" ht="15.6" x14ac:dyDescent="0.3"/>
    <row r="1990" ht="15.6" x14ac:dyDescent="0.3"/>
    <row r="1991" ht="15.6" x14ac:dyDescent="0.3"/>
    <row r="1992" ht="15.6" x14ac:dyDescent="0.3"/>
    <row r="1993" ht="15.6" x14ac:dyDescent="0.3"/>
    <row r="1994" ht="15.6" x14ac:dyDescent="0.3"/>
    <row r="1995" ht="15.6" x14ac:dyDescent="0.3"/>
    <row r="1996" ht="15.6" x14ac:dyDescent="0.3"/>
    <row r="1997" ht="15.6" x14ac:dyDescent="0.3"/>
    <row r="1998" ht="15.6" x14ac:dyDescent="0.3"/>
    <row r="1999" ht="15.6" x14ac:dyDescent="0.3"/>
    <row r="2000" ht="15.6" x14ac:dyDescent="0.3"/>
    <row r="2001" ht="15.6" x14ac:dyDescent="0.3"/>
    <row r="2002" ht="15.6" x14ac:dyDescent="0.3"/>
    <row r="2003" ht="15.6" x14ac:dyDescent="0.3"/>
    <row r="2004" ht="15.6" x14ac:dyDescent="0.3"/>
    <row r="2005" ht="15.6" x14ac:dyDescent="0.3"/>
    <row r="2006" ht="15.6" x14ac:dyDescent="0.3"/>
    <row r="2007" ht="15.6" x14ac:dyDescent="0.3"/>
    <row r="2008" ht="15.6" x14ac:dyDescent="0.3"/>
    <row r="2009" ht="15.6" x14ac:dyDescent="0.3"/>
    <row r="2010" ht="15.6" x14ac:dyDescent="0.3"/>
    <row r="2011" ht="15.6" x14ac:dyDescent="0.3"/>
    <row r="2012" ht="15.6" x14ac:dyDescent="0.3"/>
    <row r="2013" ht="15.6" x14ac:dyDescent="0.3"/>
    <row r="2014" ht="15.6" x14ac:dyDescent="0.3"/>
    <row r="2015" ht="15.6" x14ac:dyDescent="0.3"/>
    <row r="2016" ht="15.6" x14ac:dyDescent="0.3"/>
    <row r="2017" ht="15.6" x14ac:dyDescent="0.3"/>
    <row r="2018" ht="15.6" x14ac:dyDescent="0.3"/>
    <row r="2019" ht="15.6" x14ac:dyDescent="0.3"/>
    <row r="2020" ht="15.6" x14ac:dyDescent="0.3"/>
    <row r="2021" ht="15.6" x14ac:dyDescent="0.3"/>
    <row r="2022" ht="15.6" x14ac:dyDescent="0.3"/>
    <row r="2023" ht="15.6" x14ac:dyDescent="0.3"/>
    <row r="2024" ht="15.6" x14ac:dyDescent="0.3"/>
    <row r="2025" ht="15.6" x14ac:dyDescent="0.3"/>
    <row r="2026" ht="15.6" x14ac:dyDescent="0.3"/>
    <row r="2027" ht="15.6" x14ac:dyDescent="0.3"/>
    <row r="2028" ht="15.6" x14ac:dyDescent="0.3"/>
    <row r="2029" ht="15.6" x14ac:dyDescent="0.3"/>
    <row r="2030" ht="15.6" x14ac:dyDescent="0.3"/>
    <row r="2031" ht="15.6" x14ac:dyDescent="0.3"/>
    <row r="2032" ht="15.6" x14ac:dyDescent="0.3"/>
    <row r="2033" ht="15.6" x14ac:dyDescent="0.3"/>
    <row r="2034" ht="15.6" x14ac:dyDescent="0.3"/>
    <row r="2035" ht="15.6" x14ac:dyDescent="0.3"/>
    <row r="2036" ht="15.6" x14ac:dyDescent="0.3"/>
    <row r="2037" ht="15.6" x14ac:dyDescent="0.3"/>
    <row r="2038" ht="15.6" x14ac:dyDescent="0.3"/>
    <row r="2039" ht="15.6" x14ac:dyDescent="0.3"/>
    <row r="2040" ht="15.6" x14ac:dyDescent="0.3"/>
    <row r="2041" ht="15.6" x14ac:dyDescent="0.3"/>
    <row r="2042" ht="15.6" x14ac:dyDescent="0.3"/>
    <row r="2043" ht="15.6" x14ac:dyDescent="0.3"/>
    <row r="2044" ht="15.6" x14ac:dyDescent="0.3"/>
    <row r="2045" ht="15.6" x14ac:dyDescent="0.3"/>
    <row r="2046" ht="15.6" x14ac:dyDescent="0.3"/>
    <row r="2047" ht="15.6" x14ac:dyDescent="0.3"/>
    <row r="2048" ht="15.6" x14ac:dyDescent="0.3"/>
    <row r="2049" ht="15.6" x14ac:dyDescent="0.3"/>
    <row r="2050" ht="15.6" x14ac:dyDescent="0.3"/>
    <row r="2051" ht="15.6" x14ac:dyDescent="0.3"/>
    <row r="2052" ht="15.6" x14ac:dyDescent="0.3"/>
    <row r="2053" ht="15.6" x14ac:dyDescent="0.3"/>
    <row r="2054" ht="15.6" x14ac:dyDescent="0.3"/>
    <row r="2055" ht="15.6" x14ac:dyDescent="0.3"/>
    <row r="2056" ht="15.6" x14ac:dyDescent="0.3"/>
    <row r="2057" ht="15.6" x14ac:dyDescent="0.3"/>
    <row r="2058" ht="15.6" x14ac:dyDescent="0.3"/>
    <row r="2059" ht="15.6" x14ac:dyDescent="0.3"/>
    <row r="2060" ht="15.6" x14ac:dyDescent="0.3"/>
    <row r="2061" ht="15.6" x14ac:dyDescent="0.3"/>
    <row r="2062" ht="15.6" x14ac:dyDescent="0.3"/>
    <row r="2063" ht="15.6" x14ac:dyDescent="0.3"/>
    <row r="2064" ht="15.6" x14ac:dyDescent="0.3"/>
    <row r="2065" ht="15.6" x14ac:dyDescent="0.3"/>
    <row r="2066" ht="15.6" x14ac:dyDescent="0.3"/>
    <row r="2067" ht="15.6" x14ac:dyDescent="0.3"/>
    <row r="2068" ht="15.6" x14ac:dyDescent="0.3"/>
    <row r="2069" ht="15.6" x14ac:dyDescent="0.3"/>
    <row r="2070" ht="15.6" x14ac:dyDescent="0.3"/>
    <row r="2071" ht="15.6" x14ac:dyDescent="0.3"/>
    <row r="2072" ht="15.6" x14ac:dyDescent="0.3"/>
    <row r="2073" ht="15.6" x14ac:dyDescent="0.3"/>
    <row r="2074" ht="15.6" x14ac:dyDescent="0.3"/>
    <row r="2075" ht="15.6" x14ac:dyDescent="0.3"/>
    <row r="2076" ht="15.6" x14ac:dyDescent="0.3"/>
    <row r="2077" ht="15.6" x14ac:dyDescent="0.3"/>
    <row r="2078" ht="15.6" x14ac:dyDescent="0.3"/>
    <row r="2079" ht="15.6" x14ac:dyDescent="0.3"/>
    <row r="2080" ht="15.6" x14ac:dyDescent="0.3"/>
    <row r="2081" ht="15.6" x14ac:dyDescent="0.3"/>
    <row r="2082" ht="15.6" x14ac:dyDescent="0.3"/>
    <row r="2083" ht="15.6" x14ac:dyDescent="0.3"/>
    <row r="2084" ht="15.6" x14ac:dyDescent="0.3"/>
    <row r="2085" ht="15.6" x14ac:dyDescent="0.3"/>
    <row r="2086" ht="15.6" x14ac:dyDescent="0.3"/>
    <row r="2087" ht="15.6" x14ac:dyDescent="0.3"/>
    <row r="2088" ht="15.6" x14ac:dyDescent="0.3"/>
    <row r="2089" ht="15.6" x14ac:dyDescent="0.3"/>
    <row r="2090" ht="15.6" x14ac:dyDescent="0.3"/>
    <row r="2091" ht="15.6" x14ac:dyDescent="0.3"/>
    <row r="2092" ht="15.6" x14ac:dyDescent="0.3"/>
    <row r="2093" ht="15.6" x14ac:dyDescent="0.3"/>
    <row r="2094" ht="15.6" x14ac:dyDescent="0.3"/>
    <row r="2095" ht="15.6" x14ac:dyDescent="0.3"/>
    <row r="2096" ht="15.6" x14ac:dyDescent="0.3"/>
    <row r="2097" ht="15.6" x14ac:dyDescent="0.3"/>
    <row r="2098" ht="15.6" x14ac:dyDescent="0.3"/>
    <row r="2099" ht="15.6" x14ac:dyDescent="0.3"/>
    <row r="2100" ht="15.6" x14ac:dyDescent="0.3"/>
    <row r="2101" ht="15.6" x14ac:dyDescent="0.3"/>
    <row r="2102" ht="15.6" x14ac:dyDescent="0.3"/>
    <row r="2103" ht="15.6" x14ac:dyDescent="0.3"/>
    <row r="2104" ht="15.6" x14ac:dyDescent="0.3"/>
    <row r="2105" ht="15.6" x14ac:dyDescent="0.3"/>
    <row r="2106" ht="15.6" x14ac:dyDescent="0.3"/>
    <row r="2107" ht="15.6" x14ac:dyDescent="0.3"/>
    <row r="2108" ht="15.6" x14ac:dyDescent="0.3"/>
    <row r="2109" ht="15.6" x14ac:dyDescent="0.3"/>
    <row r="2110" ht="15.6" x14ac:dyDescent="0.3"/>
    <row r="2111" ht="15.6" x14ac:dyDescent="0.3"/>
    <row r="2112" ht="15.6" x14ac:dyDescent="0.3"/>
    <row r="2113" ht="15.6" x14ac:dyDescent="0.3"/>
    <row r="2114" ht="15.6" x14ac:dyDescent="0.3"/>
    <row r="2115" ht="15.6" x14ac:dyDescent="0.3"/>
    <row r="2116" ht="15.6" x14ac:dyDescent="0.3"/>
    <row r="2117" ht="15.6" x14ac:dyDescent="0.3"/>
    <row r="2118" ht="15.6" x14ac:dyDescent="0.3"/>
    <row r="2119" ht="15.6" x14ac:dyDescent="0.3"/>
    <row r="2120" ht="15.6" x14ac:dyDescent="0.3"/>
    <row r="2121" ht="15.6" x14ac:dyDescent="0.3"/>
    <row r="2122" ht="15.6" x14ac:dyDescent="0.3"/>
    <row r="2123" ht="15.6" x14ac:dyDescent="0.3"/>
    <row r="2124" ht="15.6" x14ac:dyDescent="0.3"/>
    <row r="2125" ht="15.6" x14ac:dyDescent="0.3"/>
    <row r="2126" ht="15.6" x14ac:dyDescent="0.3"/>
    <row r="2127" ht="15.6" x14ac:dyDescent="0.3"/>
    <row r="2128" ht="15.6" x14ac:dyDescent="0.3"/>
    <row r="2129" ht="15.6" x14ac:dyDescent="0.3"/>
    <row r="2130" ht="15.6" x14ac:dyDescent="0.3"/>
    <row r="2131" ht="15.6" x14ac:dyDescent="0.3"/>
    <row r="2132" ht="15.6" x14ac:dyDescent="0.3"/>
    <row r="2133" ht="15.6" x14ac:dyDescent="0.3"/>
    <row r="2134" ht="15.6" x14ac:dyDescent="0.3"/>
    <row r="2135" ht="15.6" x14ac:dyDescent="0.3"/>
    <row r="2136" ht="15.6" x14ac:dyDescent="0.3"/>
    <row r="2137" ht="15.6" x14ac:dyDescent="0.3"/>
    <row r="2138" ht="15.6" x14ac:dyDescent="0.3"/>
    <row r="2139" ht="15.6" x14ac:dyDescent="0.3"/>
    <row r="2140" ht="15.6" x14ac:dyDescent="0.3"/>
    <row r="2141" ht="15.6" x14ac:dyDescent="0.3"/>
    <row r="2142" ht="15.6" x14ac:dyDescent="0.3"/>
    <row r="2143" ht="15.6" x14ac:dyDescent="0.3"/>
    <row r="2144" ht="15.6" x14ac:dyDescent="0.3"/>
    <row r="2145" ht="15.6" x14ac:dyDescent="0.3"/>
    <row r="2146" ht="15.6" x14ac:dyDescent="0.3"/>
    <row r="2147" ht="15.6" x14ac:dyDescent="0.3"/>
    <row r="2148" ht="15.6" x14ac:dyDescent="0.3"/>
    <row r="2149" ht="15.6" x14ac:dyDescent="0.3"/>
    <row r="2150" ht="15.6" x14ac:dyDescent="0.3"/>
    <row r="2151" ht="15.6" x14ac:dyDescent="0.3"/>
    <row r="2152" ht="15.6" x14ac:dyDescent="0.3"/>
    <row r="2153" ht="15.6" x14ac:dyDescent="0.3"/>
    <row r="2154" ht="15.6" x14ac:dyDescent="0.3"/>
    <row r="2155" ht="15.6" x14ac:dyDescent="0.3"/>
    <row r="2156" ht="15.6" x14ac:dyDescent="0.3"/>
    <row r="2157" ht="15.6" x14ac:dyDescent="0.3"/>
    <row r="2158" ht="15.6" x14ac:dyDescent="0.3"/>
    <row r="2159" ht="15.6" x14ac:dyDescent="0.3"/>
    <row r="2160" ht="15.6" x14ac:dyDescent="0.3"/>
    <row r="2161" ht="15.6" x14ac:dyDescent="0.3"/>
    <row r="2162" ht="15.6" x14ac:dyDescent="0.3"/>
    <row r="2163" ht="15.6" x14ac:dyDescent="0.3"/>
    <row r="2164" ht="15.6" x14ac:dyDescent="0.3"/>
    <row r="2165" ht="15.6" x14ac:dyDescent="0.3"/>
    <row r="2166" ht="15.6" x14ac:dyDescent="0.3"/>
    <row r="2167" ht="15.6" x14ac:dyDescent="0.3"/>
    <row r="2168" ht="15.6" x14ac:dyDescent="0.3"/>
    <row r="2169" ht="15.6" x14ac:dyDescent="0.3"/>
    <row r="2170" ht="15.6" x14ac:dyDescent="0.3"/>
    <row r="2171" ht="15.6" x14ac:dyDescent="0.3"/>
    <row r="2172" ht="15.6" x14ac:dyDescent="0.3"/>
    <row r="2173" ht="15.6" x14ac:dyDescent="0.3"/>
    <row r="2174" ht="15.6" x14ac:dyDescent="0.3"/>
    <row r="2175" ht="15.6" x14ac:dyDescent="0.3"/>
    <row r="2176" ht="15.6" x14ac:dyDescent="0.3"/>
    <row r="2177" ht="15.6" x14ac:dyDescent="0.3"/>
    <row r="2178" ht="15.6" x14ac:dyDescent="0.3"/>
    <row r="2179" ht="15.6" x14ac:dyDescent="0.3"/>
    <row r="2180" ht="15.6" x14ac:dyDescent="0.3"/>
    <row r="2181" ht="15.6" x14ac:dyDescent="0.3"/>
    <row r="2182" ht="15.6" x14ac:dyDescent="0.3"/>
    <row r="2183" ht="15.6" x14ac:dyDescent="0.3"/>
    <row r="2184" ht="15.6" x14ac:dyDescent="0.3"/>
    <row r="2185" ht="15.6" x14ac:dyDescent="0.3"/>
    <row r="2186" ht="15.6" x14ac:dyDescent="0.3"/>
    <row r="2187" ht="15.6" x14ac:dyDescent="0.3"/>
    <row r="2188" ht="15.6" x14ac:dyDescent="0.3"/>
    <row r="2189" ht="15.6" x14ac:dyDescent="0.3"/>
    <row r="2190" ht="15.6" x14ac:dyDescent="0.3"/>
    <row r="2191" ht="15.6" x14ac:dyDescent="0.3"/>
    <row r="2192" ht="15.6" x14ac:dyDescent="0.3"/>
    <row r="2193" ht="15.6" x14ac:dyDescent="0.3"/>
    <row r="2194" ht="15.6" x14ac:dyDescent="0.3"/>
    <row r="2195" ht="15.6" x14ac:dyDescent="0.3"/>
    <row r="2196" ht="15.6" x14ac:dyDescent="0.3"/>
    <row r="2197" ht="15.6" x14ac:dyDescent="0.3"/>
    <row r="2198" ht="15.6" x14ac:dyDescent="0.3"/>
    <row r="2199" ht="15.6" x14ac:dyDescent="0.3"/>
    <row r="2200" ht="15.6" x14ac:dyDescent="0.3"/>
    <row r="2201" ht="15.6" x14ac:dyDescent="0.3"/>
    <row r="2202" ht="15.6" x14ac:dyDescent="0.3"/>
    <row r="2203" ht="15.6" x14ac:dyDescent="0.3"/>
    <row r="2204" ht="15.6" x14ac:dyDescent="0.3"/>
    <row r="2205" ht="15.6" x14ac:dyDescent="0.3"/>
    <row r="2206" ht="15.6" x14ac:dyDescent="0.3"/>
    <row r="2207" ht="15.6" x14ac:dyDescent="0.3"/>
    <row r="2208" ht="15.6" x14ac:dyDescent="0.3"/>
    <row r="2209" ht="15.6" x14ac:dyDescent="0.3"/>
    <row r="2210" ht="15.6" x14ac:dyDescent="0.3"/>
    <row r="2211" ht="15.6" x14ac:dyDescent="0.3"/>
    <row r="2212" ht="15.6" x14ac:dyDescent="0.3"/>
    <row r="2213" ht="15.6" x14ac:dyDescent="0.3"/>
    <row r="2214" ht="15.6" x14ac:dyDescent="0.3"/>
    <row r="2215" ht="15.6" x14ac:dyDescent="0.3"/>
    <row r="2216" ht="15.6" x14ac:dyDescent="0.3"/>
    <row r="2217" ht="15.6" x14ac:dyDescent="0.3"/>
    <row r="2218" ht="15.6" x14ac:dyDescent="0.3"/>
    <row r="2219" ht="15.6" x14ac:dyDescent="0.3"/>
    <row r="2220" ht="15.6" x14ac:dyDescent="0.3"/>
    <row r="2221" ht="15.6" x14ac:dyDescent="0.3"/>
    <row r="2222" ht="15.6" x14ac:dyDescent="0.3"/>
    <row r="2223" ht="15.6" x14ac:dyDescent="0.3"/>
    <row r="2224" ht="15.6" x14ac:dyDescent="0.3"/>
    <row r="2225" ht="15.6" x14ac:dyDescent="0.3"/>
    <row r="2226" ht="15.6" x14ac:dyDescent="0.3"/>
    <row r="2227" ht="15.6" x14ac:dyDescent="0.3"/>
    <row r="2228" ht="15.6" x14ac:dyDescent="0.3"/>
    <row r="2229" ht="15.6" x14ac:dyDescent="0.3"/>
    <row r="2230" ht="15.6" x14ac:dyDescent="0.3"/>
    <row r="2231" ht="15.6" x14ac:dyDescent="0.3"/>
    <row r="2232" ht="15.6" x14ac:dyDescent="0.3"/>
    <row r="2233" ht="15.6" x14ac:dyDescent="0.3"/>
    <row r="2234" ht="15.6" x14ac:dyDescent="0.3"/>
    <row r="2235" ht="15.6" x14ac:dyDescent="0.3"/>
    <row r="2236" ht="15.6" x14ac:dyDescent="0.3"/>
    <row r="2237" ht="15.6" x14ac:dyDescent="0.3"/>
    <row r="2238" ht="15.6" x14ac:dyDescent="0.3"/>
    <row r="2239" ht="15.6" x14ac:dyDescent="0.3"/>
    <row r="2240" ht="15.6" x14ac:dyDescent="0.3"/>
    <row r="2241" ht="15.6" x14ac:dyDescent="0.3"/>
    <row r="2242" ht="15.6" x14ac:dyDescent="0.3"/>
    <row r="2243" ht="15.6" x14ac:dyDescent="0.3"/>
    <row r="2244" ht="15.6" x14ac:dyDescent="0.3"/>
    <row r="2245" ht="15.6" x14ac:dyDescent="0.3"/>
    <row r="2246" ht="15.6" x14ac:dyDescent="0.3"/>
    <row r="2247" ht="15.6" x14ac:dyDescent="0.3"/>
    <row r="2248" ht="15.6" x14ac:dyDescent="0.3"/>
    <row r="2249" ht="15.6" x14ac:dyDescent="0.3"/>
    <row r="2250" ht="15.6" x14ac:dyDescent="0.3"/>
    <row r="2251" ht="15.6" x14ac:dyDescent="0.3"/>
    <row r="2252" ht="15.6" x14ac:dyDescent="0.3"/>
    <row r="2253" ht="15.6" x14ac:dyDescent="0.3"/>
    <row r="2254" ht="15.6" x14ac:dyDescent="0.3"/>
    <row r="2255" ht="15.6" x14ac:dyDescent="0.3"/>
    <row r="2256" ht="15.6" x14ac:dyDescent="0.3"/>
    <row r="2257" ht="15.6" x14ac:dyDescent="0.3"/>
    <row r="2258" ht="15.6" x14ac:dyDescent="0.3"/>
    <row r="2259" ht="15.6" x14ac:dyDescent="0.3"/>
    <row r="2260" ht="15.6" x14ac:dyDescent="0.3"/>
    <row r="2261" ht="15.6" x14ac:dyDescent="0.3"/>
    <row r="2262" ht="15.6" x14ac:dyDescent="0.3"/>
    <row r="2263" ht="15.6" x14ac:dyDescent="0.3"/>
    <row r="2264" ht="15.6" x14ac:dyDescent="0.3"/>
    <row r="2265" ht="15.6" x14ac:dyDescent="0.3"/>
    <row r="2266" ht="15.6" x14ac:dyDescent="0.3"/>
    <row r="2267" ht="15.6" x14ac:dyDescent="0.3"/>
    <row r="2268" ht="15.6" x14ac:dyDescent="0.3"/>
    <row r="2269" ht="15.6" x14ac:dyDescent="0.3"/>
    <row r="2270" ht="15.6" x14ac:dyDescent="0.3"/>
    <row r="2271" ht="15.6" x14ac:dyDescent="0.3"/>
    <row r="2272" ht="15.6" x14ac:dyDescent="0.3"/>
    <row r="2273" ht="15.6" x14ac:dyDescent="0.3"/>
    <row r="2274" ht="15.6" x14ac:dyDescent="0.3"/>
    <row r="2275" ht="15.6" x14ac:dyDescent="0.3"/>
    <row r="2276" ht="15.6" x14ac:dyDescent="0.3"/>
    <row r="2277" ht="15.6" x14ac:dyDescent="0.3"/>
    <row r="2278" ht="15.6" x14ac:dyDescent="0.3"/>
    <row r="2279" ht="15.6" x14ac:dyDescent="0.3"/>
    <row r="2280" ht="15.6" x14ac:dyDescent="0.3"/>
    <row r="2281" ht="15.6" x14ac:dyDescent="0.3"/>
    <row r="2282" ht="15.6" x14ac:dyDescent="0.3"/>
    <row r="2283" ht="15.6" x14ac:dyDescent="0.3"/>
    <row r="2284" ht="15.6" x14ac:dyDescent="0.3"/>
    <row r="2285" ht="15.6" x14ac:dyDescent="0.3"/>
    <row r="2286" ht="15.6" x14ac:dyDescent="0.3"/>
    <row r="2287" ht="15.6" x14ac:dyDescent="0.3"/>
  </sheetData>
  <autoFilter ref="A5:N77" xr:uid="{75D02502-0719-45A7-8320-6D34257D4AE2}"/>
  <mergeCells count="52">
    <mergeCell ref="Q93:Q94"/>
    <mergeCell ref="J92:N92"/>
    <mergeCell ref="B9:E9"/>
    <mergeCell ref="B41:E41"/>
    <mergeCell ref="B57:E57"/>
    <mergeCell ref="B65:E65"/>
    <mergeCell ref="G93:G94"/>
    <mergeCell ref="H93:H94"/>
    <mergeCell ref="O49:Q49"/>
    <mergeCell ref="O48:Q48"/>
    <mergeCell ref="O17:Q17"/>
    <mergeCell ref="O40:Q40"/>
    <mergeCell ref="O13:Q13"/>
    <mergeCell ref="O27:Q27"/>
    <mergeCell ref="O20:Q20"/>
    <mergeCell ref="O14:Q14"/>
    <mergeCell ref="I93:I94"/>
    <mergeCell ref="J93:J94"/>
    <mergeCell ref="K93:M93"/>
    <mergeCell ref="N93:P93"/>
    <mergeCell ref="F93:F94"/>
    <mergeCell ref="A93:A94"/>
    <mergeCell ref="B93:B94"/>
    <mergeCell ref="C93:C94"/>
    <mergeCell ref="D93:D94"/>
    <mergeCell ref="E93:E94"/>
    <mergeCell ref="O15:Q15"/>
    <mergeCell ref="O16:Q16"/>
    <mergeCell ref="A1:N4"/>
    <mergeCell ref="A10"/>
    <mergeCell ref="O10:Q10"/>
    <mergeCell ref="B6:E6"/>
    <mergeCell ref="O21:Q21"/>
    <mergeCell ref="O34:Q34"/>
    <mergeCell ref="O46:Q46"/>
    <mergeCell ref="O45:Q45"/>
    <mergeCell ref="O36:Q36"/>
    <mergeCell ref="O35:Q35"/>
    <mergeCell ref="O26:Q26"/>
    <mergeCell ref="O23:Q23"/>
    <mergeCell ref="O24:Q24"/>
    <mergeCell ref="O25:Q25"/>
    <mergeCell ref="O29:Q29"/>
    <mergeCell ref="O28:Q28"/>
    <mergeCell ref="O38:Q38"/>
    <mergeCell ref="O37:Q37"/>
    <mergeCell ref="O39:Q39"/>
    <mergeCell ref="A91:F91"/>
    <mergeCell ref="C46"/>
    <mergeCell ref="C45"/>
    <mergeCell ref="B80:E80"/>
    <mergeCell ref="O51:Q51"/>
  </mergeCells>
  <printOptions horizontalCentered="1"/>
  <pageMargins left="0" right="0" top="0" bottom="0" header="0" footer="0"/>
  <pageSetup paperSize="9" scale="47" orientation="landscape" r:id="rId1"/>
  <rowBreaks count="2" manualBreakCount="2">
    <brk id="63" max="16" man="1"/>
    <brk id="92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78F8-545A-446B-B418-3554E2333020}">
  <dimension ref="A1:S1610"/>
  <sheetViews>
    <sheetView rightToLeft="1" tabSelected="1" view="pageBreakPreview" zoomScale="30" zoomScaleNormal="40" zoomScaleSheetLayoutView="30" workbookViewId="0">
      <pane ySplit="5" topLeftCell="A1593" activePane="bottomLeft" state="frozen"/>
      <selection pane="bottomLeft" activeCell="S1609" sqref="S1609"/>
    </sheetView>
  </sheetViews>
  <sheetFormatPr defaultColWidth="8.88671875" defaultRowHeight="14.4" x14ac:dyDescent="0.3"/>
  <cols>
    <col min="1" max="1" width="10.109375" style="6" customWidth="1"/>
    <col min="2" max="2" width="134.109375" style="6" customWidth="1"/>
    <col min="3" max="3" width="48.33203125" style="6" hidden="1" customWidth="1"/>
    <col min="4" max="4" width="25.6640625" style="6" hidden="1" customWidth="1"/>
    <col min="5" max="5" width="27.5546875" style="6" hidden="1" customWidth="1"/>
    <col min="6" max="6" width="76.21875" style="6" customWidth="1"/>
    <col min="7" max="7" width="61.109375" style="6" customWidth="1"/>
    <col min="8" max="8" width="13.109375" style="6" customWidth="1"/>
    <col min="9" max="9" width="35.33203125" style="6" customWidth="1"/>
    <col min="10" max="10" width="32" style="6" customWidth="1"/>
    <col min="11" max="11" width="24.109375" style="6" customWidth="1"/>
    <col min="12" max="12" width="27.33203125" style="9" bestFit="1" customWidth="1"/>
    <col min="13" max="13" width="26.109375" style="94" bestFit="1" customWidth="1"/>
    <col min="14" max="14" width="29" style="3" bestFit="1" customWidth="1"/>
    <col min="15" max="15" width="35.77734375" style="100" customWidth="1"/>
    <col min="16" max="16" width="34.88671875" style="51" customWidth="1"/>
    <col min="17" max="17" width="33.109375" style="6" customWidth="1"/>
    <col min="18" max="18" width="40.33203125" style="6" customWidth="1"/>
    <col min="19" max="19" width="28.6640625" style="6" customWidth="1"/>
    <col min="20" max="16384" width="8.88671875" style="6"/>
  </cols>
  <sheetData>
    <row r="1" spans="1:18" ht="51.75" customHeight="1" x14ac:dyDescent="0.3">
      <c r="A1" s="433" t="s">
        <v>1205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</row>
    <row r="2" spans="1:18" ht="51.75" customHeight="1" thickBot="1" x14ac:dyDescent="0.35">
      <c r="A2" s="433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</row>
    <row r="3" spans="1:18" ht="63" customHeight="1" thickBot="1" x14ac:dyDescent="0.35">
      <c r="A3" s="435" t="s">
        <v>1206</v>
      </c>
      <c r="B3" s="436"/>
      <c r="C3" s="436"/>
      <c r="D3" s="436"/>
      <c r="E3" s="436"/>
      <c r="F3" s="436"/>
      <c r="G3" s="436"/>
      <c r="H3" s="437"/>
      <c r="I3" s="105">
        <f t="shared" ref="I3:O3" si="0">I1599</f>
        <v>319374061.69999999</v>
      </c>
      <c r="J3" s="105">
        <f t="shared" si="0"/>
        <v>496261317.05000001</v>
      </c>
      <c r="K3" s="28">
        <f t="shared" si="0"/>
        <v>17265</v>
      </c>
      <c r="L3" s="106">
        <f t="shared" si="0"/>
        <v>496317312.05000001</v>
      </c>
      <c r="M3" s="102">
        <f t="shared" si="0"/>
        <v>0</v>
      </c>
      <c r="N3" s="104">
        <f t="shared" si="0"/>
        <v>174253368.35000002</v>
      </c>
      <c r="O3" s="103">
        <f t="shared" si="0"/>
        <v>170693510.35000002</v>
      </c>
      <c r="P3" s="101"/>
    </row>
    <row r="4" spans="1:18" ht="63" customHeight="1" thickBot="1" x14ac:dyDescent="0.35">
      <c r="A4" s="444"/>
      <c r="B4" s="351"/>
      <c r="C4" s="445"/>
      <c r="D4" s="445"/>
      <c r="E4" s="445"/>
      <c r="F4" s="351"/>
      <c r="G4" s="445"/>
      <c r="H4" s="352"/>
      <c r="I4" s="446"/>
      <c r="J4" s="353"/>
      <c r="K4" s="446"/>
      <c r="L4" s="106"/>
      <c r="M4" s="102"/>
      <c r="N4" s="104"/>
      <c r="O4" s="103"/>
      <c r="P4" s="447"/>
    </row>
    <row r="5" spans="1:18" ht="72.75" customHeight="1" thickBot="1" x14ac:dyDescent="0.35">
      <c r="A5" s="88" t="s">
        <v>1</v>
      </c>
      <c r="B5" s="83" t="s">
        <v>481</v>
      </c>
      <c r="C5" s="82" t="s">
        <v>309</v>
      </c>
      <c r="D5" s="76" t="s">
        <v>284</v>
      </c>
      <c r="E5" s="87" t="s">
        <v>285</v>
      </c>
      <c r="F5" s="83" t="s">
        <v>5</v>
      </c>
      <c r="G5" s="73" t="s">
        <v>492</v>
      </c>
      <c r="H5" s="83" t="s">
        <v>1010</v>
      </c>
      <c r="I5" s="77" t="s">
        <v>484</v>
      </c>
      <c r="J5" s="84" t="s">
        <v>60</v>
      </c>
      <c r="K5" s="77" t="s">
        <v>61</v>
      </c>
      <c r="L5" s="30" t="s">
        <v>2</v>
      </c>
      <c r="M5" s="90" t="s">
        <v>1202</v>
      </c>
      <c r="N5" s="86" t="s">
        <v>1203</v>
      </c>
      <c r="O5" s="107" t="s">
        <v>1204</v>
      </c>
      <c r="P5" s="85" t="s">
        <v>1142</v>
      </c>
    </row>
    <row r="6" spans="1:18" ht="40.950000000000003" customHeight="1" x14ac:dyDescent="0.45">
      <c r="A6" s="57">
        <v>0</v>
      </c>
      <c r="B6" s="58" t="s">
        <v>1022</v>
      </c>
      <c r="C6" s="58"/>
      <c r="D6" s="58"/>
      <c r="E6" s="58"/>
      <c r="F6" s="58" t="s">
        <v>1022</v>
      </c>
      <c r="G6" s="57" t="s">
        <v>14</v>
      </c>
      <c r="H6" s="57">
        <v>103</v>
      </c>
      <c r="I6" s="57">
        <v>12231610</v>
      </c>
      <c r="J6" s="57">
        <v>10693607.9</v>
      </c>
      <c r="K6" s="57">
        <f>L6-J6</f>
        <v>20000</v>
      </c>
      <c r="L6" s="56">
        <v>10713607.9</v>
      </c>
      <c r="M6" s="91">
        <v>0</v>
      </c>
      <c r="N6" s="74">
        <v>0</v>
      </c>
      <c r="O6" s="343">
        <f>(I6-L6)-1202176.5-127090-178735.6</f>
        <v>9999.9999999996217</v>
      </c>
      <c r="P6" s="75"/>
      <c r="R6" s="153" t="s">
        <v>1242</v>
      </c>
    </row>
    <row r="7" spans="1:18" ht="40.950000000000003" customHeight="1" x14ac:dyDescent="0.4">
      <c r="A7" s="4">
        <v>0</v>
      </c>
      <c r="B7" s="10" t="s">
        <v>1023</v>
      </c>
      <c r="C7" s="10"/>
      <c r="D7" s="10"/>
      <c r="E7" s="10"/>
      <c r="F7" s="10" t="s">
        <v>1023</v>
      </c>
      <c r="G7" s="10" t="s">
        <v>1292</v>
      </c>
      <c r="H7" s="4">
        <v>81</v>
      </c>
      <c r="I7" s="4">
        <f>1361398-2000-1740</f>
        <v>1357658</v>
      </c>
      <c r="J7" s="4">
        <v>1357658</v>
      </c>
      <c r="K7" s="4">
        <f>L7-J7</f>
        <v>8900</v>
      </c>
      <c r="L7" s="1">
        <v>1366558</v>
      </c>
      <c r="M7" s="92"/>
      <c r="N7" s="45"/>
      <c r="O7" s="96"/>
      <c r="P7" s="52"/>
      <c r="R7" s="152"/>
    </row>
    <row r="8" spans="1:18" ht="40.950000000000003" customHeight="1" x14ac:dyDescent="0.3">
      <c r="A8" s="4">
        <v>1</v>
      </c>
      <c r="B8" s="10" t="s">
        <v>4</v>
      </c>
      <c r="C8" s="10" t="s">
        <v>316</v>
      </c>
      <c r="D8" s="10" t="s">
        <v>315</v>
      </c>
      <c r="E8" s="10">
        <v>28593</v>
      </c>
      <c r="F8" s="10" t="s">
        <v>6</v>
      </c>
      <c r="G8" s="4" t="s">
        <v>7</v>
      </c>
      <c r="H8" s="4"/>
      <c r="I8" s="4">
        <f>J8-O8</f>
        <v>1024225</v>
      </c>
      <c r="J8" s="4">
        <v>1026800</v>
      </c>
      <c r="K8" s="4">
        <f>L8-J8</f>
        <v>0</v>
      </c>
      <c r="L8" s="1">
        <v>1026800</v>
      </c>
      <c r="M8" s="93">
        <f>O8-N8</f>
        <v>0</v>
      </c>
      <c r="N8" s="2">
        <v>2575</v>
      </c>
      <c r="O8" s="97">
        <f>2575</f>
        <v>2575</v>
      </c>
      <c r="P8" s="52"/>
    </row>
    <row r="9" spans="1:18" ht="40.950000000000003" customHeight="1" x14ac:dyDescent="0.3">
      <c r="A9" s="4">
        <v>1</v>
      </c>
      <c r="B9" s="10" t="s">
        <v>4</v>
      </c>
      <c r="C9" s="10" t="s">
        <v>316</v>
      </c>
      <c r="D9" s="10" t="s">
        <v>315</v>
      </c>
      <c r="E9" s="10">
        <v>28593</v>
      </c>
      <c r="F9" s="10" t="s">
        <v>6</v>
      </c>
      <c r="G9" s="4" t="s">
        <v>8</v>
      </c>
      <c r="H9" s="4"/>
      <c r="I9" s="4">
        <f t="shared" ref="I9:I72" si="1">J9-O9</f>
        <v>987236</v>
      </c>
      <c r="J9" s="4">
        <v>989400</v>
      </c>
      <c r="K9" s="4">
        <f t="shared" ref="K9:K72" si="2">L9-J9</f>
        <v>0</v>
      </c>
      <c r="L9" s="1">
        <v>989400</v>
      </c>
      <c r="M9" s="93">
        <f t="shared" ref="M9:M72" si="3">O9-N9</f>
        <v>0</v>
      </c>
      <c r="N9" s="2">
        <v>2164</v>
      </c>
      <c r="O9" s="97">
        <f>2164</f>
        <v>2164</v>
      </c>
      <c r="P9" s="52"/>
    </row>
    <row r="10" spans="1:18" ht="40.950000000000003" customHeight="1" x14ac:dyDescent="0.3">
      <c r="A10" s="4">
        <v>1</v>
      </c>
      <c r="B10" s="10" t="s">
        <v>4</v>
      </c>
      <c r="C10" s="10" t="s">
        <v>316</v>
      </c>
      <c r="D10" s="10" t="s">
        <v>315</v>
      </c>
      <c r="E10" s="10">
        <v>28593</v>
      </c>
      <c r="F10" s="10" t="s">
        <v>6</v>
      </c>
      <c r="G10" s="4" t="s">
        <v>9</v>
      </c>
      <c r="H10" s="4"/>
      <c r="I10" s="4">
        <f t="shared" si="1"/>
        <v>27000</v>
      </c>
      <c r="J10" s="4">
        <v>27000</v>
      </c>
      <c r="K10" s="4">
        <f t="shared" si="2"/>
        <v>0</v>
      </c>
      <c r="L10" s="1">
        <v>27000</v>
      </c>
      <c r="M10" s="93">
        <f t="shared" si="3"/>
        <v>0</v>
      </c>
      <c r="N10" s="2"/>
      <c r="O10" s="97"/>
      <c r="P10" s="52"/>
    </row>
    <row r="11" spans="1:18" ht="40.950000000000003" customHeight="1" x14ac:dyDescent="0.3">
      <c r="A11" s="4">
        <v>1</v>
      </c>
      <c r="B11" s="10" t="s">
        <v>4</v>
      </c>
      <c r="C11" s="10" t="s">
        <v>316</v>
      </c>
      <c r="D11" s="10" t="s">
        <v>315</v>
      </c>
      <c r="E11" s="10">
        <v>28593</v>
      </c>
      <c r="F11" s="10" t="s">
        <v>6</v>
      </c>
      <c r="G11" s="4" t="s">
        <v>50</v>
      </c>
      <c r="H11" s="4"/>
      <c r="I11" s="4">
        <f t="shared" si="1"/>
        <v>792000</v>
      </c>
      <c r="J11" s="4">
        <v>792000</v>
      </c>
      <c r="K11" s="4">
        <f t="shared" si="2"/>
        <v>0</v>
      </c>
      <c r="L11" s="1">
        <v>792000</v>
      </c>
      <c r="M11" s="93">
        <f t="shared" si="3"/>
        <v>0</v>
      </c>
      <c r="N11" s="2"/>
      <c r="O11" s="97"/>
      <c r="P11" s="52"/>
    </row>
    <row r="12" spans="1:18" ht="40.950000000000003" customHeight="1" x14ac:dyDescent="0.3">
      <c r="A12" s="4">
        <v>1</v>
      </c>
      <c r="B12" s="10" t="s">
        <v>4</v>
      </c>
      <c r="C12" s="10" t="s">
        <v>316</v>
      </c>
      <c r="D12" s="10" t="s">
        <v>315</v>
      </c>
      <c r="E12" s="10">
        <v>28593</v>
      </c>
      <c r="F12" s="10" t="s">
        <v>6</v>
      </c>
      <c r="G12" s="4" t="s">
        <v>114</v>
      </c>
      <c r="H12" s="4"/>
      <c r="I12" s="4">
        <f t="shared" si="1"/>
        <v>164640</v>
      </c>
      <c r="J12" s="4">
        <v>164640</v>
      </c>
      <c r="K12" s="4">
        <f t="shared" si="2"/>
        <v>0</v>
      </c>
      <c r="L12" s="1">
        <v>164640</v>
      </c>
      <c r="M12" s="93">
        <f t="shared" si="3"/>
        <v>0</v>
      </c>
      <c r="N12" s="2"/>
      <c r="O12" s="97"/>
      <c r="P12" s="52"/>
    </row>
    <row r="13" spans="1:18" ht="40.950000000000003" customHeight="1" x14ac:dyDescent="0.3">
      <c r="A13" s="4">
        <v>1</v>
      </c>
      <c r="B13" s="10" t="s">
        <v>4</v>
      </c>
      <c r="C13" s="10" t="s">
        <v>316</v>
      </c>
      <c r="D13" s="10" t="s">
        <v>315</v>
      </c>
      <c r="E13" s="10">
        <v>28593</v>
      </c>
      <c r="F13" s="10" t="s">
        <v>6</v>
      </c>
      <c r="G13" s="4" t="s">
        <v>85</v>
      </c>
      <c r="H13" s="4"/>
      <c r="I13" s="4">
        <f t="shared" si="1"/>
        <v>92160</v>
      </c>
      <c r="J13" s="4">
        <v>92400</v>
      </c>
      <c r="K13" s="4">
        <f t="shared" si="2"/>
        <v>0</v>
      </c>
      <c r="L13" s="1">
        <v>92400</v>
      </c>
      <c r="M13" s="93">
        <f t="shared" si="3"/>
        <v>0</v>
      </c>
      <c r="N13" s="2">
        <v>240</v>
      </c>
      <c r="O13" s="97">
        <v>240</v>
      </c>
      <c r="P13" s="52"/>
    </row>
    <row r="14" spans="1:18" ht="40.950000000000003" customHeight="1" x14ac:dyDescent="0.3">
      <c r="A14" s="4">
        <v>1</v>
      </c>
      <c r="B14" s="10" t="s">
        <v>4</v>
      </c>
      <c r="C14" s="10" t="s">
        <v>316</v>
      </c>
      <c r="D14" s="10" t="s">
        <v>315</v>
      </c>
      <c r="E14" s="10">
        <v>28593</v>
      </c>
      <c r="F14" s="10" t="s">
        <v>6</v>
      </c>
      <c r="G14" s="4" t="s">
        <v>51</v>
      </c>
      <c r="H14" s="4"/>
      <c r="I14" s="4">
        <f t="shared" si="1"/>
        <v>976800</v>
      </c>
      <c r="J14" s="4">
        <v>976800</v>
      </c>
      <c r="K14" s="4">
        <f t="shared" si="2"/>
        <v>0</v>
      </c>
      <c r="L14" s="1">
        <v>976800</v>
      </c>
      <c r="M14" s="93">
        <f t="shared" si="3"/>
        <v>0</v>
      </c>
      <c r="N14" s="2"/>
      <c r="O14" s="97"/>
      <c r="P14" s="52"/>
    </row>
    <row r="15" spans="1:18" ht="40.950000000000003" customHeight="1" x14ac:dyDescent="0.3">
      <c r="A15" s="4">
        <v>2</v>
      </c>
      <c r="B15" s="10" t="s">
        <v>27</v>
      </c>
      <c r="C15" s="10"/>
      <c r="D15" s="10"/>
      <c r="E15" s="10"/>
      <c r="F15" s="10" t="s">
        <v>6</v>
      </c>
      <c r="G15" s="4" t="s">
        <v>85</v>
      </c>
      <c r="H15" s="4"/>
      <c r="I15" s="4">
        <f t="shared" si="1"/>
        <v>325000</v>
      </c>
      <c r="J15" s="4">
        <v>325920</v>
      </c>
      <c r="K15" s="4">
        <f t="shared" si="2"/>
        <v>0</v>
      </c>
      <c r="L15" s="1">
        <v>325920</v>
      </c>
      <c r="M15" s="93">
        <f t="shared" si="3"/>
        <v>0</v>
      </c>
      <c r="N15" s="2">
        <v>920</v>
      </c>
      <c r="O15" s="97">
        <v>920</v>
      </c>
      <c r="P15" s="52"/>
    </row>
    <row r="16" spans="1:18" ht="40.950000000000003" customHeight="1" x14ac:dyDescent="0.3">
      <c r="A16" s="4">
        <v>2</v>
      </c>
      <c r="B16" s="10" t="s">
        <v>27</v>
      </c>
      <c r="C16" s="10"/>
      <c r="D16" s="10"/>
      <c r="E16" s="10"/>
      <c r="F16" s="10" t="s">
        <v>6</v>
      </c>
      <c r="G16" s="4" t="s">
        <v>9</v>
      </c>
      <c r="H16" s="4"/>
      <c r="I16" s="4">
        <f t="shared" si="1"/>
        <v>859816</v>
      </c>
      <c r="J16" s="4">
        <v>870000</v>
      </c>
      <c r="K16" s="4">
        <f t="shared" si="2"/>
        <v>0</v>
      </c>
      <c r="L16" s="1">
        <v>870000</v>
      </c>
      <c r="M16" s="93">
        <f t="shared" si="3"/>
        <v>0</v>
      </c>
      <c r="N16" s="2">
        <v>10184</v>
      </c>
      <c r="O16" s="97">
        <f>2605+7579</f>
        <v>10184</v>
      </c>
      <c r="P16" s="52"/>
    </row>
    <row r="17" spans="1:16" ht="40.950000000000003" customHeight="1" x14ac:dyDescent="0.3">
      <c r="A17" s="4">
        <v>3</v>
      </c>
      <c r="B17" s="10" t="s">
        <v>10</v>
      </c>
      <c r="C17" s="10"/>
      <c r="D17" s="10"/>
      <c r="E17" s="10"/>
      <c r="F17" s="10" t="s">
        <v>6</v>
      </c>
      <c r="G17" s="4" t="s">
        <v>9</v>
      </c>
      <c r="H17" s="4"/>
      <c r="I17" s="4">
        <f t="shared" si="1"/>
        <v>3000</v>
      </c>
      <c r="J17" s="4">
        <v>3000</v>
      </c>
      <c r="K17" s="4">
        <f t="shared" si="2"/>
        <v>0</v>
      </c>
      <c r="L17" s="1">
        <v>3000</v>
      </c>
      <c r="M17" s="93">
        <f t="shared" si="3"/>
        <v>0</v>
      </c>
      <c r="N17" s="2"/>
      <c r="O17" s="97"/>
      <c r="P17" s="52"/>
    </row>
    <row r="18" spans="1:16" ht="40.950000000000003" customHeight="1" x14ac:dyDescent="0.3">
      <c r="A18" s="4">
        <v>3</v>
      </c>
      <c r="B18" s="10" t="s">
        <v>10</v>
      </c>
      <c r="C18" s="10"/>
      <c r="D18" s="10"/>
      <c r="E18" s="10"/>
      <c r="F18" s="10" t="s">
        <v>6</v>
      </c>
      <c r="G18" s="4" t="s">
        <v>64</v>
      </c>
      <c r="H18" s="4"/>
      <c r="I18" s="4">
        <f t="shared" si="1"/>
        <v>765600</v>
      </c>
      <c r="J18" s="4">
        <v>765600</v>
      </c>
      <c r="K18" s="4">
        <f t="shared" si="2"/>
        <v>0</v>
      </c>
      <c r="L18" s="1">
        <v>765600</v>
      </c>
      <c r="M18" s="93">
        <f t="shared" si="3"/>
        <v>0</v>
      </c>
      <c r="N18" s="2"/>
      <c r="O18" s="97"/>
      <c r="P18" s="52"/>
    </row>
    <row r="19" spans="1:16" ht="40.950000000000003" customHeight="1" x14ac:dyDescent="0.3">
      <c r="A19" s="4">
        <v>3</v>
      </c>
      <c r="B19" s="10" t="s">
        <v>10</v>
      </c>
      <c r="C19" s="10"/>
      <c r="D19" s="10"/>
      <c r="E19" s="10"/>
      <c r="F19" s="10" t="s">
        <v>6</v>
      </c>
      <c r="G19" s="4" t="s">
        <v>11</v>
      </c>
      <c r="H19" s="4"/>
      <c r="I19" s="4">
        <f t="shared" si="1"/>
        <v>896677</v>
      </c>
      <c r="J19" s="4">
        <v>901000</v>
      </c>
      <c r="K19" s="4">
        <f t="shared" si="2"/>
        <v>0</v>
      </c>
      <c r="L19" s="1">
        <v>901000</v>
      </c>
      <c r="M19" s="93">
        <f t="shared" si="3"/>
        <v>0</v>
      </c>
      <c r="N19" s="2">
        <v>4323</v>
      </c>
      <c r="O19" s="97">
        <v>4323</v>
      </c>
      <c r="P19" s="52"/>
    </row>
    <row r="20" spans="1:16" ht="40.950000000000003" customHeight="1" x14ac:dyDescent="0.3">
      <c r="A20" s="4">
        <v>4</v>
      </c>
      <c r="B20" s="10" t="s">
        <v>21</v>
      </c>
      <c r="C20" s="10"/>
      <c r="D20" s="10"/>
      <c r="E20" s="10"/>
      <c r="F20" s="10" t="s">
        <v>6</v>
      </c>
      <c r="G20" s="4" t="s">
        <v>128</v>
      </c>
      <c r="H20" s="4"/>
      <c r="I20" s="4">
        <f t="shared" si="1"/>
        <v>408840</v>
      </c>
      <c r="J20" s="4">
        <v>411840</v>
      </c>
      <c r="K20" s="4">
        <f t="shared" si="2"/>
        <v>0</v>
      </c>
      <c r="L20" s="1">
        <v>411840</v>
      </c>
      <c r="M20" s="93">
        <f t="shared" si="3"/>
        <v>0</v>
      </c>
      <c r="N20" s="2">
        <v>3000</v>
      </c>
      <c r="O20" s="97">
        <v>3000</v>
      </c>
      <c r="P20" s="52"/>
    </row>
    <row r="21" spans="1:16" ht="40.950000000000003" customHeight="1" x14ac:dyDescent="0.3">
      <c r="A21" s="4">
        <v>4</v>
      </c>
      <c r="B21" s="10" t="s">
        <v>21</v>
      </c>
      <c r="C21" s="10"/>
      <c r="D21" s="10"/>
      <c r="E21" s="10"/>
      <c r="F21" s="10" t="s">
        <v>6</v>
      </c>
      <c r="G21" s="4" t="s">
        <v>11</v>
      </c>
      <c r="H21" s="4"/>
      <c r="I21" s="4">
        <f t="shared" si="1"/>
        <v>105400</v>
      </c>
      <c r="J21" s="4">
        <v>105400</v>
      </c>
      <c r="K21" s="4">
        <f t="shared" si="2"/>
        <v>0</v>
      </c>
      <c r="L21" s="1">
        <v>105400</v>
      </c>
      <c r="M21" s="93">
        <f t="shared" si="3"/>
        <v>0</v>
      </c>
      <c r="N21" s="2"/>
      <c r="O21" s="97"/>
      <c r="P21" s="52"/>
    </row>
    <row r="22" spans="1:16" ht="40.950000000000003" customHeight="1" x14ac:dyDescent="0.3">
      <c r="A22" s="4">
        <v>4</v>
      </c>
      <c r="B22" s="10" t="s">
        <v>21</v>
      </c>
      <c r="C22" s="10"/>
      <c r="D22" s="10"/>
      <c r="E22" s="10"/>
      <c r="F22" s="10" t="s">
        <v>6</v>
      </c>
      <c r="G22" s="4" t="s">
        <v>85</v>
      </c>
      <c r="H22" s="4"/>
      <c r="I22" s="4">
        <f t="shared" si="1"/>
        <v>25200</v>
      </c>
      <c r="J22" s="4">
        <v>25200</v>
      </c>
      <c r="K22" s="4">
        <f t="shared" si="2"/>
        <v>0</v>
      </c>
      <c r="L22" s="1">
        <v>25200</v>
      </c>
      <c r="M22" s="93">
        <f t="shared" si="3"/>
        <v>0</v>
      </c>
      <c r="N22" s="2"/>
      <c r="O22" s="97"/>
      <c r="P22" s="52"/>
    </row>
    <row r="23" spans="1:16" ht="40.950000000000003" customHeight="1" x14ac:dyDescent="0.3">
      <c r="A23" s="4">
        <v>4</v>
      </c>
      <c r="B23" s="10" t="s">
        <v>21</v>
      </c>
      <c r="C23" s="10"/>
      <c r="D23" s="10"/>
      <c r="E23" s="10"/>
      <c r="F23" s="10" t="s">
        <v>6</v>
      </c>
      <c r="G23" s="4" t="s">
        <v>22</v>
      </c>
      <c r="H23" s="4"/>
      <c r="I23" s="4">
        <f t="shared" si="1"/>
        <v>964358</v>
      </c>
      <c r="J23" s="4">
        <v>994000</v>
      </c>
      <c r="K23" s="4">
        <f t="shared" si="2"/>
        <v>0</v>
      </c>
      <c r="L23" s="1">
        <v>994000</v>
      </c>
      <c r="M23" s="93">
        <f t="shared" si="3"/>
        <v>0</v>
      </c>
      <c r="N23" s="2">
        <v>29642</v>
      </c>
      <c r="O23" s="97">
        <f>1375+24381+3886</f>
        <v>29642</v>
      </c>
      <c r="P23" s="52"/>
    </row>
    <row r="24" spans="1:16" ht="40.950000000000003" customHeight="1" x14ac:dyDescent="0.3">
      <c r="A24" s="4">
        <v>5</v>
      </c>
      <c r="B24" s="10" t="s">
        <v>23</v>
      </c>
      <c r="C24" s="10"/>
      <c r="D24" s="10"/>
      <c r="E24" s="10"/>
      <c r="F24" s="10" t="s">
        <v>6</v>
      </c>
      <c r="G24" s="4" t="s">
        <v>48</v>
      </c>
      <c r="H24" s="4"/>
      <c r="I24" s="4">
        <f t="shared" si="1"/>
        <v>897360</v>
      </c>
      <c r="J24" s="4">
        <v>897600</v>
      </c>
      <c r="K24" s="4">
        <f t="shared" si="2"/>
        <v>0</v>
      </c>
      <c r="L24" s="1">
        <v>897600</v>
      </c>
      <c r="M24" s="93">
        <f t="shared" si="3"/>
        <v>0</v>
      </c>
      <c r="N24" s="2">
        <v>240</v>
      </c>
      <c r="O24" s="97">
        <v>240</v>
      </c>
      <c r="P24" s="52"/>
    </row>
    <row r="25" spans="1:16" ht="40.950000000000003" customHeight="1" x14ac:dyDescent="0.3">
      <c r="A25" s="4">
        <v>5</v>
      </c>
      <c r="B25" s="10" t="s">
        <v>23</v>
      </c>
      <c r="C25" s="10"/>
      <c r="D25" s="10"/>
      <c r="E25" s="10"/>
      <c r="F25" s="10" t="s">
        <v>6</v>
      </c>
      <c r="G25" s="4" t="s">
        <v>49</v>
      </c>
      <c r="H25" s="4"/>
      <c r="I25" s="4">
        <f t="shared" si="1"/>
        <v>762100</v>
      </c>
      <c r="J25" s="4">
        <v>765600</v>
      </c>
      <c r="K25" s="4">
        <f t="shared" si="2"/>
        <v>0</v>
      </c>
      <c r="L25" s="1">
        <v>765600</v>
      </c>
      <c r="M25" s="93">
        <f t="shared" si="3"/>
        <v>0</v>
      </c>
      <c r="N25" s="2">
        <v>3500</v>
      </c>
      <c r="O25" s="97">
        <v>3500</v>
      </c>
      <c r="P25" s="52"/>
    </row>
    <row r="26" spans="1:16" ht="40.950000000000003" customHeight="1" x14ac:dyDescent="0.3">
      <c r="A26" s="4">
        <v>5</v>
      </c>
      <c r="B26" s="10" t="s">
        <v>23</v>
      </c>
      <c r="C26" s="10"/>
      <c r="D26" s="10"/>
      <c r="E26" s="10"/>
      <c r="F26" s="10" t="s">
        <v>6</v>
      </c>
      <c r="G26" s="4" t="s">
        <v>24</v>
      </c>
      <c r="H26" s="4"/>
      <c r="I26" s="4">
        <f t="shared" si="1"/>
        <v>482613</v>
      </c>
      <c r="J26" s="4">
        <v>484380</v>
      </c>
      <c r="K26" s="4">
        <f t="shared" si="2"/>
        <v>0</v>
      </c>
      <c r="L26" s="1">
        <v>484380</v>
      </c>
      <c r="M26" s="93">
        <f t="shared" si="3"/>
        <v>0</v>
      </c>
      <c r="N26" s="2">
        <v>1767</v>
      </c>
      <c r="O26" s="97">
        <f>810+957</f>
        <v>1767</v>
      </c>
      <c r="P26" s="52"/>
    </row>
    <row r="27" spans="1:16" ht="40.950000000000003" customHeight="1" x14ac:dyDescent="0.3">
      <c r="A27" s="4">
        <v>5</v>
      </c>
      <c r="B27" s="10" t="s">
        <v>23</v>
      </c>
      <c r="C27" s="10"/>
      <c r="D27" s="10"/>
      <c r="E27" s="10"/>
      <c r="F27" s="10" t="s">
        <v>6</v>
      </c>
      <c r="G27" s="4" t="s">
        <v>163</v>
      </c>
      <c r="H27" s="4"/>
      <c r="I27" s="4">
        <f t="shared" si="1"/>
        <v>64800</v>
      </c>
      <c r="J27" s="4">
        <v>64800</v>
      </c>
      <c r="K27" s="4">
        <f t="shared" si="2"/>
        <v>0</v>
      </c>
      <c r="L27" s="1">
        <v>64800</v>
      </c>
      <c r="M27" s="93">
        <f t="shared" si="3"/>
        <v>0</v>
      </c>
      <c r="N27" s="2"/>
      <c r="O27" s="97"/>
      <c r="P27" s="52"/>
    </row>
    <row r="28" spans="1:16" ht="40.950000000000003" customHeight="1" x14ac:dyDescent="0.3">
      <c r="A28" s="4">
        <v>6</v>
      </c>
      <c r="B28" s="10" t="s">
        <v>28</v>
      </c>
      <c r="C28" s="10"/>
      <c r="D28" s="10"/>
      <c r="E28" s="10"/>
      <c r="F28" s="10" t="s">
        <v>6</v>
      </c>
      <c r="G28" s="4" t="s">
        <v>29</v>
      </c>
      <c r="H28" s="4"/>
      <c r="I28" s="4">
        <f t="shared" si="1"/>
        <v>330840</v>
      </c>
      <c r="J28" s="4">
        <v>332800</v>
      </c>
      <c r="K28" s="4">
        <f t="shared" si="2"/>
        <v>0</v>
      </c>
      <c r="L28" s="1">
        <v>332800</v>
      </c>
      <c r="M28" s="93">
        <f t="shared" si="3"/>
        <v>0</v>
      </c>
      <c r="N28" s="2">
        <v>1960</v>
      </c>
      <c r="O28" s="97">
        <f>540+1420</f>
        <v>1960</v>
      </c>
      <c r="P28" s="52"/>
    </row>
    <row r="29" spans="1:16" ht="40.950000000000003" customHeight="1" x14ac:dyDescent="0.3">
      <c r="A29" s="4">
        <v>7</v>
      </c>
      <c r="B29" s="10" t="s">
        <v>38</v>
      </c>
      <c r="C29" s="10" t="s">
        <v>325</v>
      </c>
      <c r="D29" s="10"/>
      <c r="E29" s="10">
        <v>7125</v>
      </c>
      <c r="F29" s="10" t="s">
        <v>6</v>
      </c>
      <c r="G29" s="4" t="s">
        <v>70</v>
      </c>
      <c r="H29" s="4"/>
      <c r="I29" s="4">
        <f t="shared" si="1"/>
        <v>795776</v>
      </c>
      <c r="J29" s="4">
        <v>810000</v>
      </c>
      <c r="K29" s="4">
        <f t="shared" si="2"/>
        <v>0</v>
      </c>
      <c r="L29" s="1">
        <v>810000</v>
      </c>
      <c r="M29" s="93">
        <f t="shared" si="3"/>
        <v>0</v>
      </c>
      <c r="N29" s="2">
        <v>14224</v>
      </c>
      <c r="O29" s="97">
        <f>13224+90+910</f>
        <v>14224</v>
      </c>
      <c r="P29" s="52"/>
    </row>
    <row r="30" spans="1:16" ht="40.950000000000003" customHeight="1" x14ac:dyDescent="0.3">
      <c r="A30" s="4">
        <v>7</v>
      </c>
      <c r="B30" s="10" t="s">
        <v>38</v>
      </c>
      <c r="C30" s="10" t="s">
        <v>325</v>
      </c>
      <c r="D30" s="10"/>
      <c r="E30" s="10">
        <v>7125</v>
      </c>
      <c r="F30" s="10" t="s">
        <v>6</v>
      </c>
      <c r="G30" s="4" t="s">
        <v>143</v>
      </c>
      <c r="H30" s="4"/>
      <c r="I30" s="4">
        <f t="shared" si="1"/>
        <v>787400</v>
      </c>
      <c r="J30" s="4">
        <v>787400</v>
      </c>
      <c r="K30" s="4">
        <f t="shared" si="2"/>
        <v>0</v>
      </c>
      <c r="L30" s="1">
        <v>787400</v>
      </c>
      <c r="M30" s="93">
        <f t="shared" si="3"/>
        <v>0</v>
      </c>
      <c r="N30" s="2">
        <v>0</v>
      </c>
      <c r="O30" s="97">
        <v>0</v>
      </c>
      <c r="P30" s="52"/>
    </row>
    <row r="31" spans="1:16" ht="40.950000000000003" customHeight="1" x14ac:dyDescent="0.3">
      <c r="A31" s="4">
        <v>7</v>
      </c>
      <c r="B31" s="10" t="s">
        <v>38</v>
      </c>
      <c r="C31" s="10" t="s">
        <v>325</v>
      </c>
      <c r="D31" s="10"/>
      <c r="E31" s="10">
        <v>7125</v>
      </c>
      <c r="F31" s="10" t="s">
        <v>6</v>
      </c>
      <c r="G31" s="4" t="s">
        <v>114</v>
      </c>
      <c r="H31" s="4"/>
      <c r="I31" s="4">
        <f t="shared" si="1"/>
        <v>6720</v>
      </c>
      <c r="J31" s="4">
        <v>6720</v>
      </c>
      <c r="K31" s="4">
        <f t="shared" si="2"/>
        <v>0</v>
      </c>
      <c r="L31" s="1">
        <v>6720</v>
      </c>
      <c r="M31" s="93">
        <f t="shared" si="3"/>
        <v>0</v>
      </c>
      <c r="N31" s="2"/>
      <c r="O31" s="97"/>
      <c r="P31" s="52"/>
    </row>
    <row r="32" spans="1:16" ht="40.950000000000003" customHeight="1" x14ac:dyDescent="0.3">
      <c r="A32" s="4">
        <v>7</v>
      </c>
      <c r="B32" s="10" t="s">
        <v>38</v>
      </c>
      <c r="C32" s="10" t="s">
        <v>325</v>
      </c>
      <c r="D32" s="10"/>
      <c r="E32" s="10">
        <v>7125</v>
      </c>
      <c r="F32" s="10" t="s">
        <v>6</v>
      </c>
      <c r="G32" s="4" t="s">
        <v>122</v>
      </c>
      <c r="H32" s="4"/>
      <c r="I32" s="4">
        <f t="shared" si="1"/>
        <v>90000</v>
      </c>
      <c r="J32" s="4">
        <v>90000</v>
      </c>
      <c r="K32" s="4">
        <f t="shared" si="2"/>
        <v>0</v>
      </c>
      <c r="L32" s="1">
        <v>90000</v>
      </c>
      <c r="M32" s="93">
        <f t="shared" si="3"/>
        <v>0</v>
      </c>
      <c r="N32" s="2"/>
      <c r="O32" s="97"/>
      <c r="P32" s="52"/>
    </row>
    <row r="33" spans="1:16" ht="40.950000000000003" customHeight="1" x14ac:dyDescent="0.3">
      <c r="A33" s="4">
        <v>7</v>
      </c>
      <c r="B33" s="10" t="s">
        <v>38</v>
      </c>
      <c r="C33" s="10" t="s">
        <v>325</v>
      </c>
      <c r="D33" s="10"/>
      <c r="E33" s="10">
        <v>7125</v>
      </c>
      <c r="F33" s="10" t="s">
        <v>6</v>
      </c>
      <c r="G33" s="4" t="s">
        <v>39</v>
      </c>
      <c r="H33" s="4"/>
      <c r="I33" s="4">
        <f t="shared" si="1"/>
        <v>844700</v>
      </c>
      <c r="J33" s="4">
        <v>844800</v>
      </c>
      <c r="K33" s="4">
        <f t="shared" si="2"/>
        <v>0</v>
      </c>
      <c r="L33" s="1">
        <v>844800</v>
      </c>
      <c r="M33" s="93">
        <f t="shared" si="3"/>
        <v>0</v>
      </c>
      <c r="N33" s="2">
        <v>100</v>
      </c>
      <c r="O33" s="97">
        <v>100</v>
      </c>
      <c r="P33" s="52"/>
    </row>
    <row r="34" spans="1:16" ht="40.950000000000003" customHeight="1" x14ac:dyDescent="0.3">
      <c r="A34" s="4">
        <v>8</v>
      </c>
      <c r="B34" s="10" t="s">
        <v>44</v>
      </c>
      <c r="C34" s="10" t="s">
        <v>318</v>
      </c>
      <c r="D34" s="10" t="s">
        <v>317</v>
      </c>
      <c r="E34" s="10">
        <v>422498</v>
      </c>
      <c r="F34" s="10" t="s">
        <v>6</v>
      </c>
      <c r="G34" s="4" t="s">
        <v>22</v>
      </c>
      <c r="H34" s="4"/>
      <c r="I34" s="4">
        <f t="shared" si="1"/>
        <v>3500</v>
      </c>
      <c r="J34" s="4">
        <v>3500</v>
      </c>
      <c r="K34" s="4">
        <f t="shared" si="2"/>
        <v>0</v>
      </c>
      <c r="L34" s="1">
        <v>3500</v>
      </c>
      <c r="M34" s="93">
        <f t="shared" si="3"/>
        <v>0</v>
      </c>
      <c r="N34" s="2"/>
      <c r="O34" s="97"/>
      <c r="P34" s="52"/>
    </row>
    <row r="35" spans="1:16" ht="40.950000000000003" customHeight="1" x14ac:dyDescent="0.3">
      <c r="A35" s="4">
        <v>8</v>
      </c>
      <c r="B35" s="10" t="s">
        <v>44</v>
      </c>
      <c r="C35" s="10" t="s">
        <v>318</v>
      </c>
      <c r="D35" s="10" t="s">
        <v>317</v>
      </c>
      <c r="E35" s="10">
        <v>422498</v>
      </c>
      <c r="F35" s="10" t="s">
        <v>6</v>
      </c>
      <c r="G35" s="4" t="s">
        <v>122</v>
      </c>
      <c r="H35" s="4"/>
      <c r="I35" s="4">
        <f t="shared" si="1"/>
        <v>702000</v>
      </c>
      <c r="J35" s="4">
        <v>702000</v>
      </c>
      <c r="K35" s="4">
        <f t="shared" si="2"/>
        <v>0</v>
      </c>
      <c r="L35" s="1">
        <v>702000</v>
      </c>
      <c r="M35" s="93">
        <f t="shared" si="3"/>
        <v>0</v>
      </c>
      <c r="N35" s="2">
        <v>0</v>
      </c>
      <c r="O35" s="97">
        <v>0</v>
      </c>
      <c r="P35" s="52"/>
    </row>
    <row r="36" spans="1:16" ht="40.950000000000003" customHeight="1" x14ac:dyDescent="0.3">
      <c r="A36" s="4">
        <v>8</v>
      </c>
      <c r="B36" s="10" t="s">
        <v>44</v>
      </c>
      <c r="C36" s="10" t="s">
        <v>318</v>
      </c>
      <c r="D36" s="10" t="s">
        <v>317</v>
      </c>
      <c r="E36" s="10">
        <v>422498</v>
      </c>
      <c r="F36" s="10" t="s">
        <v>6</v>
      </c>
      <c r="G36" s="4" t="s">
        <v>143</v>
      </c>
      <c r="H36" s="4"/>
      <c r="I36" s="4">
        <f t="shared" si="1"/>
        <v>31000</v>
      </c>
      <c r="J36" s="4">
        <v>31000</v>
      </c>
      <c r="K36" s="4">
        <f t="shared" si="2"/>
        <v>0</v>
      </c>
      <c r="L36" s="1">
        <v>31000</v>
      </c>
      <c r="M36" s="93">
        <f t="shared" si="3"/>
        <v>0</v>
      </c>
      <c r="N36" s="2"/>
      <c r="O36" s="97"/>
      <c r="P36" s="52"/>
    </row>
    <row r="37" spans="1:16" ht="40.950000000000003" customHeight="1" x14ac:dyDescent="0.3">
      <c r="A37" s="4">
        <v>8</v>
      </c>
      <c r="B37" s="10" t="s">
        <v>44</v>
      </c>
      <c r="C37" s="10" t="s">
        <v>318</v>
      </c>
      <c r="D37" s="10" t="s">
        <v>317</v>
      </c>
      <c r="E37" s="10">
        <v>422498</v>
      </c>
      <c r="F37" s="10" t="s">
        <v>6</v>
      </c>
      <c r="G37" s="4" t="s">
        <v>90</v>
      </c>
      <c r="H37" s="4"/>
      <c r="I37" s="4">
        <f t="shared" si="1"/>
        <v>427580</v>
      </c>
      <c r="J37" s="4">
        <v>427680</v>
      </c>
      <c r="K37" s="4">
        <f t="shared" si="2"/>
        <v>0</v>
      </c>
      <c r="L37" s="1">
        <v>427680</v>
      </c>
      <c r="M37" s="93">
        <f t="shared" si="3"/>
        <v>0</v>
      </c>
      <c r="N37" s="2">
        <v>100</v>
      </c>
      <c r="O37" s="97">
        <v>100</v>
      </c>
      <c r="P37" s="52"/>
    </row>
    <row r="38" spans="1:16" ht="40.950000000000003" customHeight="1" x14ac:dyDescent="0.3">
      <c r="A38" s="4">
        <v>9</v>
      </c>
      <c r="B38" s="10" t="s">
        <v>92</v>
      </c>
      <c r="C38" s="10"/>
      <c r="D38" s="10"/>
      <c r="E38" s="10"/>
      <c r="F38" s="10" t="s">
        <v>6</v>
      </c>
      <c r="G38" s="4" t="s">
        <v>93</v>
      </c>
      <c r="H38" s="4"/>
      <c r="I38" s="4">
        <f t="shared" si="1"/>
        <v>1009539</v>
      </c>
      <c r="J38" s="4">
        <v>1073977</v>
      </c>
      <c r="K38" s="4">
        <f t="shared" si="2"/>
        <v>0</v>
      </c>
      <c r="L38" s="1">
        <v>1073977</v>
      </c>
      <c r="M38" s="93">
        <f t="shared" si="3"/>
        <v>0</v>
      </c>
      <c r="N38" s="2">
        <v>64438</v>
      </c>
      <c r="O38" s="97">
        <v>64438</v>
      </c>
      <c r="P38" s="52"/>
    </row>
    <row r="39" spans="1:16" ht="40.950000000000003" customHeight="1" x14ac:dyDescent="0.3">
      <c r="A39" s="4">
        <v>10</v>
      </c>
      <c r="B39" s="10" t="s">
        <v>52</v>
      </c>
      <c r="C39" s="10"/>
      <c r="D39" s="10" t="s">
        <v>277</v>
      </c>
      <c r="E39" s="10"/>
      <c r="F39" s="10" t="s">
        <v>6</v>
      </c>
      <c r="G39" s="4" t="s">
        <v>114</v>
      </c>
      <c r="H39" s="4"/>
      <c r="I39" s="4">
        <f t="shared" si="1"/>
        <v>251056</v>
      </c>
      <c r="J39" s="4">
        <v>272160</v>
      </c>
      <c r="K39" s="4">
        <f t="shared" si="2"/>
        <v>0</v>
      </c>
      <c r="L39" s="1">
        <v>272160</v>
      </c>
      <c r="M39" s="93">
        <f t="shared" si="3"/>
        <v>0</v>
      </c>
      <c r="N39" s="2">
        <v>21104</v>
      </c>
      <c r="O39" s="97">
        <f>4800+4304+12000</f>
        <v>21104</v>
      </c>
      <c r="P39" s="52"/>
    </row>
    <row r="40" spans="1:16" ht="40.950000000000003" customHeight="1" x14ac:dyDescent="0.3">
      <c r="A40" s="4">
        <v>11</v>
      </c>
      <c r="B40" s="10" t="s">
        <v>53</v>
      </c>
      <c r="C40" s="10" t="s">
        <v>320</v>
      </c>
      <c r="D40" s="10" t="s">
        <v>319</v>
      </c>
      <c r="E40" s="10">
        <v>23881</v>
      </c>
      <c r="F40" s="10" t="s">
        <v>54</v>
      </c>
      <c r="G40" s="4" t="s">
        <v>14</v>
      </c>
      <c r="H40" s="4"/>
      <c r="I40" s="4">
        <f t="shared" si="1"/>
        <v>593950</v>
      </c>
      <c r="J40" s="4">
        <v>618450</v>
      </c>
      <c r="K40" s="4">
        <f t="shared" si="2"/>
        <v>0</v>
      </c>
      <c r="L40" s="1">
        <v>618450</v>
      </c>
      <c r="M40" s="93">
        <f t="shared" si="3"/>
        <v>0</v>
      </c>
      <c r="N40" s="2">
        <v>24500</v>
      </c>
      <c r="O40" s="97">
        <v>24500</v>
      </c>
      <c r="P40" s="52"/>
    </row>
    <row r="41" spans="1:16" ht="40.950000000000003" customHeight="1" x14ac:dyDescent="0.3">
      <c r="A41" s="4">
        <v>12</v>
      </c>
      <c r="B41" s="10" t="s">
        <v>55</v>
      </c>
      <c r="C41" s="10"/>
      <c r="D41" s="10"/>
      <c r="E41" s="10"/>
      <c r="F41" s="10" t="s">
        <v>56</v>
      </c>
      <c r="G41" s="4" t="s">
        <v>14</v>
      </c>
      <c r="H41" s="4"/>
      <c r="I41" s="4">
        <f t="shared" si="1"/>
        <v>322800</v>
      </c>
      <c r="J41" s="4">
        <v>322800</v>
      </c>
      <c r="K41" s="4">
        <f t="shared" si="2"/>
        <v>0</v>
      </c>
      <c r="L41" s="1">
        <v>322800</v>
      </c>
      <c r="M41" s="93">
        <f t="shared" si="3"/>
        <v>0</v>
      </c>
      <c r="N41" s="2"/>
      <c r="O41" s="97"/>
      <c r="P41" s="52"/>
    </row>
    <row r="42" spans="1:16" ht="40.950000000000003" customHeight="1" x14ac:dyDescent="0.3">
      <c r="A42" s="4">
        <v>12</v>
      </c>
      <c r="B42" s="10" t="s">
        <v>55</v>
      </c>
      <c r="C42" s="10"/>
      <c r="D42" s="10"/>
      <c r="E42" s="10"/>
      <c r="F42" s="10" t="s">
        <v>56</v>
      </c>
      <c r="G42" s="4" t="s">
        <v>405</v>
      </c>
      <c r="H42" s="4"/>
      <c r="I42" s="4">
        <f t="shared" si="1"/>
        <v>380900</v>
      </c>
      <c r="J42" s="4">
        <v>380900</v>
      </c>
      <c r="K42" s="4">
        <f t="shared" si="2"/>
        <v>0</v>
      </c>
      <c r="L42" s="1">
        <v>380900</v>
      </c>
      <c r="M42" s="93">
        <f t="shared" si="3"/>
        <v>0</v>
      </c>
      <c r="N42" s="2"/>
      <c r="O42" s="97"/>
      <c r="P42" s="52"/>
    </row>
    <row r="43" spans="1:16" ht="40.950000000000003" customHeight="1" x14ac:dyDescent="0.3">
      <c r="A43" s="4">
        <v>12</v>
      </c>
      <c r="B43" s="10" t="s">
        <v>55</v>
      </c>
      <c r="C43" s="10"/>
      <c r="D43" s="10"/>
      <c r="E43" s="10"/>
      <c r="F43" s="10" t="s">
        <v>56</v>
      </c>
      <c r="G43" s="4" t="s">
        <v>203</v>
      </c>
      <c r="H43" s="4"/>
      <c r="I43" s="4">
        <f t="shared" si="1"/>
        <v>27510</v>
      </c>
      <c r="J43" s="4">
        <v>27510</v>
      </c>
      <c r="K43" s="4">
        <f t="shared" si="2"/>
        <v>0</v>
      </c>
      <c r="L43" s="1">
        <v>27510</v>
      </c>
      <c r="M43" s="93">
        <f t="shared" si="3"/>
        <v>0</v>
      </c>
      <c r="N43" s="2"/>
      <c r="O43" s="97"/>
      <c r="P43" s="52"/>
    </row>
    <row r="44" spans="1:16" ht="40.950000000000003" customHeight="1" x14ac:dyDescent="0.3">
      <c r="A44" s="4">
        <v>13</v>
      </c>
      <c r="B44" s="10" t="s">
        <v>204</v>
      </c>
      <c r="C44" s="10"/>
      <c r="D44" s="10"/>
      <c r="E44" s="10"/>
      <c r="F44" s="10" t="s">
        <v>56</v>
      </c>
      <c r="G44" s="4" t="s">
        <v>14</v>
      </c>
      <c r="H44" s="4"/>
      <c r="I44" s="4">
        <f t="shared" si="1"/>
        <v>96000</v>
      </c>
      <c r="J44" s="4">
        <v>96000</v>
      </c>
      <c r="K44" s="4">
        <f t="shared" si="2"/>
        <v>0</v>
      </c>
      <c r="L44" s="1">
        <v>96000</v>
      </c>
      <c r="M44" s="93">
        <f t="shared" si="3"/>
        <v>0</v>
      </c>
      <c r="N44" s="2">
        <v>0</v>
      </c>
      <c r="O44" s="97">
        <v>0</v>
      </c>
      <c r="P44" s="52"/>
    </row>
    <row r="45" spans="1:16" ht="40.950000000000003" customHeight="1" x14ac:dyDescent="0.3">
      <c r="A45" s="4">
        <v>14</v>
      </c>
      <c r="B45" s="10" t="s">
        <v>59</v>
      </c>
      <c r="C45" s="10"/>
      <c r="D45" s="10"/>
      <c r="E45" s="10"/>
      <c r="F45" s="10" t="s">
        <v>58</v>
      </c>
      <c r="G45" s="4" t="s">
        <v>14</v>
      </c>
      <c r="H45" s="4"/>
      <c r="I45" s="4">
        <f t="shared" si="1"/>
        <v>157288</v>
      </c>
      <c r="J45" s="4">
        <v>159828</v>
      </c>
      <c r="K45" s="4">
        <f t="shared" si="2"/>
        <v>0</v>
      </c>
      <c r="L45" s="1">
        <v>159828</v>
      </c>
      <c r="M45" s="93">
        <f t="shared" si="3"/>
        <v>0</v>
      </c>
      <c r="N45" s="2">
        <v>2540</v>
      </c>
      <c r="O45" s="97">
        <f>2420+120</f>
        <v>2540</v>
      </c>
      <c r="P45" s="52"/>
    </row>
    <row r="46" spans="1:16" ht="40.950000000000003" customHeight="1" x14ac:dyDescent="0.3">
      <c r="A46" s="4">
        <v>15</v>
      </c>
      <c r="B46" s="10" t="s">
        <v>91</v>
      </c>
      <c r="C46" s="10"/>
      <c r="D46" s="10"/>
      <c r="E46" s="10"/>
      <c r="F46" s="10" t="s">
        <v>58</v>
      </c>
      <c r="G46" s="4" t="s">
        <v>14</v>
      </c>
      <c r="H46" s="4"/>
      <c r="I46" s="4">
        <f t="shared" si="1"/>
        <v>126881</v>
      </c>
      <c r="J46" s="4">
        <v>128421</v>
      </c>
      <c r="K46" s="4">
        <f t="shared" si="2"/>
        <v>0</v>
      </c>
      <c r="L46" s="1">
        <v>128421</v>
      </c>
      <c r="M46" s="93">
        <f t="shared" si="3"/>
        <v>0</v>
      </c>
      <c r="N46" s="2">
        <v>1540</v>
      </c>
      <c r="O46" s="97">
        <f>320+840+380</f>
        <v>1540</v>
      </c>
      <c r="P46" s="52"/>
    </row>
    <row r="47" spans="1:16" ht="40.950000000000003" customHeight="1" x14ac:dyDescent="0.3">
      <c r="A47" s="4">
        <v>16</v>
      </c>
      <c r="B47" s="10" t="s">
        <v>57</v>
      </c>
      <c r="C47" s="10"/>
      <c r="D47" s="10"/>
      <c r="E47" s="10"/>
      <c r="F47" s="10" t="s">
        <v>58</v>
      </c>
      <c r="G47" s="4" t="s">
        <v>14</v>
      </c>
      <c r="H47" s="4"/>
      <c r="I47" s="4">
        <f t="shared" si="1"/>
        <v>2090</v>
      </c>
      <c r="J47" s="4">
        <v>2090</v>
      </c>
      <c r="K47" s="4">
        <f t="shared" si="2"/>
        <v>0</v>
      </c>
      <c r="L47" s="1">
        <v>2090</v>
      </c>
      <c r="M47" s="93">
        <f t="shared" si="3"/>
        <v>0</v>
      </c>
      <c r="N47" s="2"/>
      <c r="O47" s="97"/>
      <c r="P47" s="52"/>
    </row>
    <row r="48" spans="1:16" ht="40.950000000000003" customHeight="1" x14ac:dyDescent="0.3">
      <c r="A48" s="4">
        <v>17</v>
      </c>
      <c r="B48" s="10" t="s">
        <v>65</v>
      </c>
      <c r="C48" s="10"/>
      <c r="D48" s="10"/>
      <c r="E48" s="10"/>
      <c r="F48" s="10" t="s">
        <v>66</v>
      </c>
      <c r="G48" s="4" t="s">
        <v>14</v>
      </c>
      <c r="H48" s="4"/>
      <c r="I48" s="4">
        <f t="shared" si="1"/>
        <v>28134</v>
      </c>
      <c r="J48" s="4">
        <v>28134</v>
      </c>
      <c r="K48" s="4">
        <f t="shared" si="2"/>
        <v>0</v>
      </c>
      <c r="L48" s="1">
        <v>28134</v>
      </c>
      <c r="M48" s="93">
        <f t="shared" si="3"/>
        <v>0</v>
      </c>
      <c r="N48" s="2">
        <v>0</v>
      </c>
      <c r="O48" s="97">
        <v>0</v>
      </c>
      <c r="P48" s="52"/>
    </row>
    <row r="49" spans="1:16" ht="40.950000000000003" customHeight="1" x14ac:dyDescent="0.3">
      <c r="A49" s="4">
        <v>18</v>
      </c>
      <c r="B49" s="10" t="s">
        <v>162</v>
      </c>
      <c r="C49" s="10"/>
      <c r="D49" s="10"/>
      <c r="E49" s="10"/>
      <c r="F49" s="10" t="s">
        <v>66</v>
      </c>
      <c r="G49" s="4" t="s">
        <v>90</v>
      </c>
      <c r="H49" s="4"/>
      <c r="I49" s="4">
        <f t="shared" si="1"/>
        <v>218314</v>
      </c>
      <c r="J49" s="4">
        <v>232714</v>
      </c>
      <c r="K49" s="4">
        <f t="shared" si="2"/>
        <v>0</v>
      </c>
      <c r="L49" s="1">
        <v>232714</v>
      </c>
      <c r="M49" s="93">
        <f t="shared" si="3"/>
        <v>0</v>
      </c>
      <c r="N49" s="2">
        <v>14400</v>
      </c>
      <c r="O49" s="97">
        <f>6150+11250-3000</f>
        <v>14400</v>
      </c>
      <c r="P49" s="52"/>
    </row>
    <row r="50" spans="1:16" ht="40.950000000000003" customHeight="1" x14ac:dyDescent="0.3">
      <c r="A50" s="4">
        <v>18</v>
      </c>
      <c r="B50" s="10" t="s">
        <v>162</v>
      </c>
      <c r="C50" s="10"/>
      <c r="D50" s="10"/>
      <c r="E50" s="10"/>
      <c r="F50" s="10" t="s">
        <v>229</v>
      </c>
      <c r="G50" s="4" t="s">
        <v>90</v>
      </c>
      <c r="H50" s="4"/>
      <c r="I50" s="4">
        <f t="shared" si="1"/>
        <v>2400</v>
      </c>
      <c r="J50" s="4">
        <v>2500</v>
      </c>
      <c r="K50" s="4">
        <f t="shared" si="2"/>
        <v>0</v>
      </c>
      <c r="L50" s="1">
        <v>2500</v>
      </c>
      <c r="M50" s="93">
        <f t="shared" si="3"/>
        <v>0</v>
      </c>
      <c r="N50" s="2">
        <v>100</v>
      </c>
      <c r="O50" s="97">
        <v>100</v>
      </c>
      <c r="P50" s="52"/>
    </row>
    <row r="51" spans="1:16" ht="40.950000000000003" customHeight="1" x14ac:dyDescent="0.3">
      <c r="A51" s="4">
        <v>18</v>
      </c>
      <c r="B51" s="10" t="s">
        <v>162</v>
      </c>
      <c r="C51" s="10"/>
      <c r="D51" s="10"/>
      <c r="E51" s="10"/>
      <c r="F51" s="10" t="s">
        <v>229</v>
      </c>
      <c r="G51" s="4" t="s">
        <v>48</v>
      </c>
      <c r="H51" s="4"/>
      <c r="I51" s="4">
        <f t="shared" si="1"/>
        <v>2400</v>
      </c>
      <c r="J51" s="4">
        <v>2500</v>
      </c>
      <c r="K51" s="4">
        <f t="shared" si="2"/>
        <v>0</v>
      </c>
      <c r="L51" s="1">
        <v>2500</v>
      </c>
      <c r="M51" s="93">
        <f t="shared" si="3"/>
        <v>0</v>
      </c>
      <c r="N51" s="2">
        <v>100</v>
      </c>
      <c r="O51" s="97">
        <v>100</v>
      </c>
      <c r="P51" s="52"/>
    </row>
    <row r="52" spans="1:16" ht="40.950000000000003" customHeight="1" x14ac:dyDescent="0.3">
      <c r="A52" s="4">
        <v>18</v>
      </c>
      <c r="B52" s="10" t="s">
        <v>162</v>
      </c>
      <c r="C52" s="10"/>
      <c r="D52" s="10"/>
      <c r="E52" s="10"/>
      <c r="F52" s="10" t="s">
        <v>229</v>
      </c>
      <c r="G52" s="4" t="s">
        <v>49</v>
      </c>
      <c r="H52" s="4"/>
      <c r="I52" s="4">
        <f t="shared" si="1"/>
        <v>2400</v>
      </c>
      <c r="J52" s="4">
        <v>2500</v>
      </c>
      <c r="K52" s="4">
        <f t="shared" si="2"/>
        <v>0</v>
      </c>
      <c r="L52" s="1">
        <v>2500</v>
      </c>
      <c r="M52" s="93">
        <f t="shared" si="3"/>
        <v>0</v>
      </c>
      <c r="N52" s="2">
        <v>100</v>
      </c>
      <c r="O52" s="97">
        <v>100</v>
      </c>
      <c r="P52" s="52"/>
    </row>
    <row r="53" spans="1:16" ht="40.950000000000003" customHeight="1" x14ac:dyDescent="0.3">
      <c r="A53" s="4">
        <v>18</v>
      </c>
      <c r="B53" s="10" t="s">
        <v>162</v>
      </c>
      <c r="C53" s="10"/>
      <c r="D53" s="10"/>
      <c r="E53" s="10"/>
      <c r="F53" s="10" t="s">
        <v>229</v>
      </c>
      <c r="G53" s="4" t="s">
        <v>50</v>
      </c>
      <c r="H53" s="4"/>
      <c r="I53" s="4">
        <f t="shared" si="1"/>
        <v>2400</v>
      </c>
      <c r="J53" s="4">
        <v>2500</v>
      </c>
      <c r="K53" s="4">
        <f t="shared" si="2"/>
        <v>0</v>
      </c>
      <c r="L53" s="1">
        <v>2500</v>
      </c>
      <c r="M53" s="93">
        <f t="shared" si="3"/>
        <v>0</v>
      </c>
      <c r="N53" s="2">
        <v>100</v>
      </c>
      <c r="O53" s="97">
        <v>100</v>
      </c>
      <c r="P53" s="52"/>
    </row>
    <row r="54" spans="1:16" ht="40.950000000000003" customHeight="1" x14ac:dyDescent="0.3">
      <c r="A54" s="4">
        <v>18</v>
      </c>
      <c r="B54" s="10" t="s">
        <v>162</v>
      </c>
      <c r="C54" s="10"/>
      <c r="D54" s="10"/>
      <c r="E54" s="10"/>
      <c r="F54" s="10" t="s">
        <v>229</v>
      </c>
      <c r="G54" s="4" t="s">
        <v>51</v>
      </c>
      <c r="H54" s="4"/>
      <c r="I54" s="4">
        <f t="shared" si="1"/>
        <v>2400</v>
      </c>
      <c r="J54" s="4">
        <v>2500</v>
      </c>
      <c r="K54" s="4">
        <f t="shared" si="2"/>
        <v>0</v>
      </c>
      <c r="L54" s="1">
        <v>2500</v>
      </c>
      <c r="M54" s="93">
        <f t="shared" si="3"/>
        <v>0</v>
      </c>
      <c r="N54" s="2">
        <v>100</v>
      </c>
      <c r="O54" s="97">
        <v>100</v>
      </c>
      <c r="P54" s="52"/>
    </row>
    <row r="55" spans="1:16" ht="40.950000000000003" customHeight="1" x14ac:dyDescent="0.3">
      <c r="A55" s="4">
        <v>18</v>
      </c>
      <c r="B55" s="10" t="s">
        <v>162</v>
      </c>
      <c r="C55" s="10"/>
      <c r="D55" s="10"/>
      <c r="E55" s="10"/>
      <c r="F55" s="10" t="s">
        <v>229</v>
      </c>
      <c r="G55" s="4" t="s">
        <v>39</v>
      </c>
      <c r="H55" s="4"/>
      <c r="I55" s="4">
        <f t="shared" si="1"/>
        <v>2200</v>
      </c>
      <c r="J55" s="4">
        <v>2500</v>
      </c>
      <c r="K55" s="4">
        <f t="shared" si="2"/>
        <v>0</v>
      </c>
      <c r="L55" s="1">
        <v>2500</v>
      </c>
      <c r="M55" s="93">
        <f t="shared" si="3"/>
        <v>0</v>
      </c>
      <c r="N55" s="2">
        <v>300</v>
      </c>
      <c r="O55" s="97">
        <v>300</v>
      </c>
      <c r="P55" s="52"/>
    </row>
    <row r="56" spans="1:16" ht="40.950000000000003" customHeight="1" x14ac:dyDescent="0.3">
      <c r="A56" s="4">
        <v>18</v>
      </c>
      <c r="B56" s="10" t="s">
        <v>162</v>
      </c>
      <c r="C56" s="10"/>
      <c r="D56" s="10"/>
      <c r="E56" s="10"/>
      <c r="F56" s="10" t="s">
        <v>229</v>
      </c>
      <c r="G56" s="4" t="s">
        <v>114</v>
      </c>
      <c r="H56" s="4"/>
      <c r="I56" s="4">
        <f t="shared" si="1"/>
        <v>2280</v>
      </c>
      <c r="J56" s="4">
        <v>2500</v>
      </c>
      <c r="K56" s="4">
        <f t="shared" si="2"/>
        <v>0</v>
      </c>
      <c r="L56" s="1">
        <v>2500</v>
      </c>
      <c r="M56" s="93">
        <f t="shared" si="3"/>
        <v>0</v>
      </c>
      <c r="N56" s="2">
        <v>220</v>
      </c>
      <c r="O56" s="97">
        <f>120+100</f>
        <v>220</v>
      </c>
      <c r="P56" s="52"/>
    </row>
    <row r="57" spans="1:16" ht="40.950000000000003" customHeight="1" x14ac:dyDescent="0.3">
      <c r="A57" s="4">
        <v>18</v>
      </c>
      <c r="B57" s="10" t="s">
        <v>162</v>
      </c>
      <c r="C57" s="10"/>
      <c r="D57" s="10"/>
      <c r="E57" s="10"/>
      <c r="F57" s="10" t="s">
        <v>229</v>
      </c>
      <c r="G57" s="4" t="s">
        <v>85</v>
      </c>
      <c r="H57" s="4"/>
      <c r="I57" s="4">
        <f t="shared" si="1"/>
        <v>2500</v>
      </c>
      <c r="J57" s="4">
        <v>2500</v>
      </c>
      <c r="K57" s="4">
        <f t="shared" si="2"/>
        <v>0</v>
      </c>
      <c r="L57" s="1">
        <v>2500</v>
      </c>
      <c r="M57" s="93">
        <f t="shared" si="3"/>
        <v>0</v>
      </c>
      <c r="N57" s="2"/>
      <c r="O57" s="97"/>
      <c r="P57" s="52"/>
    </row>
    <row r="58" spans="1:16" ht="40.950000000000003" customHeight="1" x14ac:dyDescent="0.3">
      <c r="A58" s="4">
        <v>18</v>
      </c>
      <c r="B58" s="10" t="s">
        <v>162</v>
      </c>
      <c r="C58" s="10"/>
      <c r="D58" s="10"/>
      <c r="E58" s="10"/>
      <c r="F58" s="10" t="s">
        <v>229</v>
      </c>
      <c r="G58" s="4" t="s">
        <v>128</v>
      </c>
      <c r="H58" s="4"/>
      <c r="I58" s="4">
        <f t="shared" si="1"/>
        <v>2400</v>
      </c>
      <c r="J58" s="4">
        <v>2500</v>
      </c>
      <c r="K58" s="4">
        <f t="shared" si="2"/>
        <v>0</v>
      </c>
      <c r="L58" s="1">
        <v>2500</v>
      </c>
      <c r="M58" s="93">
        <f t="shared" si="3"/>
        <v>0</v>
      </c>
      <c r="N58" s="2">
        <v>100</v>
      </c>
      <c r="O58" s="97">
        <v>100</v>
      </c>
      <c r="P58" s="52"/>
    </row>
    <row r="59" spans="1:16" ht="40.950000000000003" customHeight="1" x14ac:dyDescent="0.3">
      <c r="A59" s="4">
        <v>18</v>
      </c>
      <c r="B59" s="10" t="s">
        <v>162</v>
      </c>
      <c r="C59" s="10"/>
      <c r="D59" s="10"/>
      <c r="E59" s="10"/>
      <c r="F59" s="10" t="s">
        <v>229</v>
      </c>
      <c r="G59" s="4" t="s">
        <v>64</v>
      </c>
      <c r="H59" s="4"/>
      <c r="I59" s="4">
        <f t="shared" si="1"/>
        <v>2500</v>
      </c>
      <c r="J59" s="4">
        <v>2500</v>
      </c>
      <c r="K59" s="4">
        <f t="shared" si="2"/>
        <v>0</v>
      </c>
      <c r="L59" s="1">
        <v>2500</v>
      </c>
      <c r="M59" s="93">
        <f t="shared" si="3"/>
        <v>0</v>
      </c>
      <c r="N59" s="2"/>
      <c r="O59" s="97"/>
      <c r="P59" s="52"/>
    </row>
    <row r="60" spans="1:16" ht="40.950000000000003" customHeight="1" x14ac:dyDescent="0.3">
      <c r="A60" s="4">
        <v>18</v>
      </c>
      <c r="B60" s="10" t="s">
        <v>162</v>
      </c>
      <c r="C60" s="10"/>
      <c r="D60" s="10"/>
      <c r="E60" s="10"/>
      <c r="F60" s="10" t="s">
        <v>229</v>
      </c>
      <c r="G60" s="4" t="s">
        <v>122</v>
      </c>
      <c r="H60" s="4"/>
      <c r="I60" s="4">
        <f t="shared" si="1"/>
        <v>2400</v>
      </c>
      <c r="J60" s="4">
        <v>2500</v>
      </c>
      <c r="K60" s="4">
        <f t="shared" si="2"/>
        <v>0</v>
      </c>
      <c r="L60" s="1">
        <v>2500</v>
      </c>
      <c r="M60" s="93">
        <f t="shared" si="3"/>
        <v>0</v>
      </c>
      <c r="N60" s="2">
        <v>100</v>
      </c>
      <c r="O60" s="97">
        <v>100</v>
      </c>
      <c r="P60" s="52"/>
    </row>
    <row r="61" spans="1:16" ht="40.950000000000003" customHeight="1" x14ac:dyDescent="0.3">
      <c r="A61" s="4">
        <v>18</v>
      </c>
      <c r="B61" s="10" t="s">
        <v>162</v>
      </c>
      <c r="C61" s="10"/>
      <c r="D61" s="10"/>
      <c r="E61" s="10"/>
      <c r="F61" s="10" t="s">
        <v>229</v>
      </c>
      <c r="G61" s="4" t="s">
        <v>143</v>
      </c>
      <c r="H61" s="4"/>
      <c r="I61" s="4">
        <f t="shared" si="1"/>
        <v>2400</v>
      </c>
      <c r="J61" s="4">
        <v>2500</v>
      </c>
      <c r="K61" s="4">
        <f t="shared" si="2"/>
        <v>0</v>
      </c>
      <c r="L61" s="1">
        <v>2500</v>
      </c>
      <c r="M61" s="93">
        <f t="shared" si="3"/>
        <v>0</v>
      </c>
      <c r="N61" s="2">
        <v>100</v>
      </c>
      <c r="O61" s="97">
        <v>100</v>
      </c>
      <c r="P61" s="52"/>
    </row>
    <row r="62" spans="1:16" ht="40.950000000000003" customHeight="1" x14ac:dyDescent="0.3">
      <c r="A62" s="4">
        <v>19</v>
      </c>
      <c r="B62" s="10" t="s">
        <v>67</v>
      </c>
      <c r="C62" s="10"/>
      <c r="D62" s="10"/>
      <c r="E62" s="10"/>
      <c r="F62" s="10" t="s">
        <v>68</v>
      </c>
      <c r="G62" s="4" t="s">
        <v>8</v>
      </c>
      <c r="H62" s="4">
        <v>15</v>
      </c>
      <c r="I62" s="4">
        <f t="shared" si="1"/>
        <v>1133404</v>
      </c>
      <c r="J62" s="4">
        <v>1402644</v>
      </c>
      <c r="K62" s="4">
        <f t="shared" si="2"/>
        <v>0</v>
      </c>
      <c r="L62" s="1">
        <v>1402644</v>
      </c>
      <c r="M62" s="93">
        <f t="shared" si="3"/>
        <v>0</v>
      </c>
      <c r="N62" s="2">
        <v>269240</v>
      </c>
      <c r="O62" s="97">
        <v>269240</v>
      </c>
      <c r="P62" s="52">
        <v>0.98299999999999998</v>
      </c>
    </row>
    <row r="63" spans="1:16" ht="40.950000000000003" customHeight="1" x14ac:dyDescent="0.3">
      <c r="A63" s="4">
        <v>19</v>
      </c>
      <c r="B63" s="10" t="s">
        <v>67</v>
      </c>
      <c r="C63" s="10"/>
      <c r="D63" s="10"/>
      <c r="E63" s="10"/>
      <c r="F63" s="10" t="s">
        <v>68</v>
      </c>
      <c r="G63" s="4" t="s">
        <v>9</v>
      </c>
      <c r="H63" s="4">
        <v>5</v>
      </c>
      <c r="I63" s="4">
        <f t="shared" si="1"/>
        <v>130658.20000000001</v>
      </c>
      <c r="J63" s="4">
        <v>151596.20000000001</v>
      </c>
      <c r="K63" s="4">
        <f t="shared" si="2"/>
        <v>0</v>
      </c>
      <c r="L63" s="1">
        <v>151596.20000000001</v>
      </c>
      <c r="M63" s="93">
        <f t="shared" si="3"/>
        <v>0</v>
      </c>
      <c r="N63" s="2">
        <v>20938</v>
      </c>
      <c r="O63" s="97">
        <f>9770+10388+780</f>
        <v>20938</v>
      </c>
      <c r="P63" s="52"/>
    </row>
    <row r="64" spans="1:16" ht="40.950000000000003" customHeight="1" x14ac:dyDescent="0.3">
      <c r="A64" s="4">
        <v>19</v>
      </c>
      <c r="B64" s="10" t="s">
        <v>193</v>
      </c>
      <c r="C64" s="10"/>
      <c r="D64" s="10"/>
      <c r="E64" s="10"/>
      <c r="F64" s="10" t="s">
        <v>66</v>
      </c>
      <c r="G64" s="4" t="s">
        <v>8</v>
      </c>
      <c r="H64" s="4"/>
      <c r="I64" s="4">
        <f t="shared" si="1"/>
        <v>48000</v>
      </c>
      <c r="J64" s="4">
        <v>48000</v>
      </c>
      <c r="K64" s="4">
        <f t="shared" si="2"/>
        <v>0</v>
      </c>
      <c r="L64" s="1">
        <v>48000</v>
      </c>
      <c r="M64" s="93">
        <f t="shared" si="3"/>
        <v>0</v>
      </c>
      <c r="N64" s="2"/>
      <c r="O64" s="97"/>
      <c r="P64" s="52"/>
    </row>
    <row r="65" spans="1:16" ht="40.950000000000003" customHeight="1" x14ac:dyDescent="0.3">
      <c r="A65" s="4">
        <v>19</v>
      </c>
      <c r="B65" s="10" t="s">
        <v>194</v>
      </c>
      <c r="C65" s="10"/>
      <c r="D65" s="10"/>
      <c r="E65" s="10"/>
      <c r="F65" s="10" t="s">
        <v>66</v>
      </c>
      <c r="G65" s="4" t="s">
        <v>8</v>
      </c>
      <c r="H65" s="4"/>
      <c r="I65" s="4">
        <f t="shared" si="1"/>
        <v>81700</v>
      </c>
      <c r="J65" s="4">
        <v>81700</v>
      </c>
      <c r="K65" s="4">
        <f t="shared" si="2"/>
        <v>0</v>
      </c>
      <c r="L65" s="1">
        <v>81700</v>
      </c>
      <c r="M65" s="93">
        <f t="shared" si="3"/>
        <v>0</v>
      </c>
      <c r="N65" s="2"/>
      <c r="O65" s="97"/>
      <c r="P65" s="52"/>
    </row>
    <row r="66" spans="1:16" ht="40.950000000000003" customHeight="1" x14ac:dyDescent="0.3">
      <c r="A66" s="4">
        <v>20</v>
      </c>
      <c r="B66" s="10" t="s">
        <v>202</v>
      </c>
      <c r="C66" s="10"/>
      <c r="D66" s="10"/>
      <c r="E66" s="10"/>
      <c r="F66" s="10" t="s">
        <v>66</v>
      </c>
      <c r="G66" s="4" t="s">
        <v>7</v>
      </c>
      <c r="H66" s="4"/>
      <c r="I66" s="4">
        <f t="shared" si="1"/>
        <v>1935</v>
      </c>
      <c r="J66" s="4">
        <v>1935</v>
      </c>
      <c r="K66" s="4">
        <f t="shared" si="2"/>
        <v>0</v>
      </c>
      <c r="L66" s="1">
        <v>1935</v>
      </c>
      <c r="M66" s="93">
        <f t="shared" si="3"/>
        <v>0</v>
      </c>
      <c r="N66" s="2"/>
      <c r="O66" s="97"/>
      <c r="P66" s="52"/>
    </row>
    <row r="67" spans="1:16" ht="40.950000000000003" customHeight="1" x14ac:dyDescent="0.3">
      <c r="A67" s="4">
        <v>20</v>
      </c>
      <c r="B67" s="10" t="s">
        <v>202</v>
      </c>
      <c r="C67" s="10"/>
      <c r="D67" s="10"/>
      <c r="E67" s="10"/>
      <c r="F67" s="10" t="s">
        <v>66</v>
      </c>
      <c r="G67" s="4" t="s">
        <v>8</v>
      </c>
      <c r="H67" s="4"/>
      <c r="I67" s="4">
        <f t="shared" si="1"/>
        <v>2400</v>
      </c>
      <c r="J67" s="4">
        <v>2500</v>
      </c>
      <c r="K67" s="4">
        <f t="shared" si="2"/>
        <v>0</v>
      </c>
      <c r="L67" s="1">
        <v>2500</v>
      </c>
      <c r="M67" s="93">
        <f t="shared" si="3"/>
        <v>0</v>
      </c>
      <c r="N67" s="2">
        <v>100</v>
      </c>
      <c r="O67" s="97">
        <v>100</v>
      </c>
      <c r="P67" s="52"/>
    </row>
    <row r="68" spans="1:16" ht="40.950000000000003" customHeight="1" x14ac:dyDescent="0.3">
      <c r="A68" s="4">
        <v>20</v>
      </c>
      <c r="B68" s="10" t="s">
        <v>202</v>
      </c>
      <c r="C68" s="10"/>
      <c r="D68" s="10"/>
      <c r="E68" s="10"/>
      <c r="F68" s="10" t="s">
        <v>66</v>
      </c>
      <c r="G68" s="4" t="s">
        <v>9</v>
      </c>
      <c r="H68" s="4"/>
      <c r="I68" s="4">
        <f t="shared" si="1"/>
        <v>2150</v>
      </c>
      <c r="J68" s="4">
        <v>2250</v>
      </c>
      <c r="K68" s="4">
        <f t="shared" si="2"/>
        <v>0</v>
      </c>
      <c r="L68" s="1">
        <v>2250</v>
      </c>
      <c r="M68" s="93">
        <f t="shared" si="3"/>
        <v>0</v>
      </c>
      <c r="N68" s="2">
        <v>100</v>
      </c>
      <c r="O68" s="97">
        <v>100</v>
      </c>
      <c r="P68" s="52"/>
    </row>
    <row r="69" spans="1:16" ht="40.950000000000003" customHeight="1" x14ac:dyDescent="0.3">
      <c r="A69" s="4">
        <v>20</v>
      </c>
      <c r="B69" s="10" t="s">
        <v>202</v>
      </c>
      <c r="C69" s="10"/>
      <c r="D69" s="10"/>
      <c r="E69" s="10"/>
      <c r="F69" s="10" t="s">
        <v>66</v>
      </c>
      <c r="G69" s="4" t="s">
        <v>11</v>
      </c>
      <c r="H69" s="4">
        <v>2</v>
      </c>
      <c r="I69" s="4">
        <f t="shared" si="1"/>
        <v>2251</v>
      </c>
      <c r="J69" s="4">
        <v>2351</v>
      </c>
      <c r="K69" s="4">
        <f t="shared" si="2"/>
        <v>0</v>
      </c>
      <c r="L69" s="1">
        <v>2351</v>
      </c>
      <c r="M69" s="93">
        <f t="shared" si="3"/>
        <v>0</v>
      </c>
      <c r="N69" s="2">
        <v>100</v>
      </c>
      <c r="O69" s="97">
        <f>100</f>
        <v>100</v>
      </c>
      <c r="P69" s="52">
        <v>0.94</v>
      </c>
    </row>
    <row r="70" spans="1:16" ht="40.950000000000003" customHeight="1" x14ac:dyDescent="0.3">
      <c r="A70" s="4">
        <v>20</v>
      </c>
      <c r="B70" s="10" t="s">
        <v>202</v>
      </c>
      <c r="C70" s="10"/>
      <c r="D70" s="10"/>
      <c r="E70" s="10"/>
      <c r="F70" s="10" t="s">
        <v>66</v>
      </c>
      <c r="G70" s="4" t="s">
        <v>70</v>
      </c>
      <c r="H70" s="4">
        <v>2</v>
      </c>
      <c r="I70" s="4">
        <f t="shared" si="1"/>
        <v>2251</v>
      </c>
      <c r="J70" s="4">
        <v>2351</v>
      </c>
      <c r="K70" s="4">
        <f t="shared" si="2"/>
        <v>0</v>
      </c>
      <c r="L70" s="1">
        <v>2351</v>
      </c>
      <c r="M70" s="93">
        <f t="shared" si="3"/>
        <v>0</v>
      </c>
      <c r="N70" s="2">
        <v>100</v>
      </c>
      <c r="O70" s="97">
        <f>100</f>
        <v>100</v>
      </c>
      <c r="P70" s="52">
        <v>0.94</v>
      </c>
    </row>
    <row r="71" spans="1:16" ht="40.950000000000003" customHeight="1" x14ac:dyDescent="0.3">
      <c r="A71" s="4">
        <v>20</v>
      </c>
      <c r="B71" s="10" t="s">
        <v>202</v>
      </c>
      <c r="C71" s="10"/>
      <c r="D71" s="10"/>
      <c r="E71" s="10"/>
      <c r="F71" s="10" t="s">
        <v>66</v>
      </c>
      <c r="G71" s="4" t="s">
        <v>22</v>
      </c>
      <c r="H71" s="4"/>
      <c r="I71" s="4">
        <f t="shared" si="1"/>
        <v>2250</v>
      </c>
      <c r="J71" s="4">
        <v>2250</v>
      </c>
      <c r="K71" s="4">
        <f t="shared" si="2"/>
        <v>0</v>
      </c>
      <c r="L71" s="1">
        <v>2250</v>
      </c>
      <c r="M71" s="93">
        <f t="shared" si="3"/>
        <v>0</v>
      </c>
      <c r="N71" s="2"/>
      <c r="O71" s="97"/>
      <c r="P71" s="52"/>
    </row>
    <row r="72" spans="1:16" ht="40.950000000000003" customHeight="1" x14ac:dyDescent="0.3">
      <c r="A72" s="4">
        <v>21</v>
      </c>
      <c r="B72" s="10" t="s">
        <v>69</v>
      </c>
      <c r="C72" s="10"/>
      <c r="D72" s="10"/>
      <c r="E72" s="10"/>
      <c r="F72" s="10" t="s">
        <v>68</v>
      </c>
      <c r="G72" s="4" t="s">
        <v>11</v>
      </c>
      <c r="H72" s="4">
        <v>17</v>
      </c>
      <c r="I72" s="4">
        <f t="shared" si="1"/>
        <v>1291514</v>
      </c>
      <c r="J72" s="4">
        <v>1395538</v>
      </c>
      <c r="K72" s="4">
        <f t="shared" si="2"/>
        <v>0</v>
      </c>
      <c r="L72" s="1">
        <v>1395538</v>
      </c>
      <c r="M72" s="93">
        <f t="shared" si="3"/>
        <v>0</v>
      </c>
      <c r="N72" s="2">
        <v>104024</v>
      </c>
      <c r="O72" s="97">
        <v>104024</v>
      </c>
      <c r="P72" s="52">
        <v>0.98199999999999998</v>
      </c>
    </row>
    <row r="73" spans="1:16" ht="40.950000000000003" customHeight="1" x14ac:dyDescent="0.3">
      <c r="A73" s="4">
        <v>21</v>
      </c>
      <c r="B73" s="10" t="s">
        <v>69</v>
      </c>
      <c r="C73" s="10"/>
      <c r="D73" s="10"/>
      <c r="E73" s="10"/>
      <c r="F73" s="10" t="s">
        <v>68</v>
      </c>
      <c r="G73" s="4" t="s">
        <v>198</v>
      </c>
      <c r="H73" s="4"/>
      <c r="I73" s="4">
        <f t="shared" ref="I73:I136" si="4">J73-O73</f>
        <v>113402</v>
      </c>
      <c r="J73" s="4">
        <v>119961</v>
      </c>
      <c r="K73" s="4">
        <f t="shared" ref="K73:K136" si="5">L73-J73</f>
        <v>0</v>
      </c>
      <c r="L73" s="1">
        <v>119961</v>
      </c>
      <c r="M73" s="93">
        <f t="shared" ref="M73:M136" si="6">O73-N73</f>
        <v>0</v>
      </c>
      <c r="N73" s="2">
        <v>6559</v>
      </c>
      <c r="O73" s="97">
        <f>4022+270+1700+120+447</f>
        <v>6559</v>
      </c>
      <c r="P73" s="52"/>
    </row>
    <row r="74" spans="1:16" ht="40.950000000000003" customHeight="1" x14ac:dyDescent="0.3">
      <c r="A74" s="4">
        <v>21</v>
      </c>
      <c r="B74" s="10" t="s">
        <v>69</v>
      </c>
      <c r="C74" s="10"/>
      <c r="D74" s="10"/>
      <c r="E74" s="10"/>
      <c r="F74" s="10" t="s">
        <v>68</v>
      </c>
      <c r="G74" s="4" t="s">
        <v>199</v>
      </c>
      <c r="H74" s="4"/>
      <c r="I74" s="4">
        <f t="shared" si="4"/>
        <v>43770</v>
      </c>
      <c r="J74" s="4">
        <v>45440</v>
      </c>
      <c r="K74" s="4">
        <f t="shared" si="5"/>
        <v>0</v>
      </c>
      <c r="L74" s="1">
        <v>45440</v>
      </c>
      <c r="M74" s="93">
        <f t="shared" si="6"/>
        <v>0</v>
      </c>
      <c r="N74" s="2">
        <v>1670</v>
      </c>
      <c r="O74" s="97">
        <f>60+960+650</f>
        <v>1670</v>
      </c>
      <c r="P74" s="52"/>
    </row>
    <row r="75" spans="1:16" ht="40.950000000000003" customHeight="1" x14ac:dyDescent="0.3">
      <c r="A75" s="4">
        <v>21</v>
      </c>
      <c r="B75" s="10" t="s">
        <v>69</v>
      </c>
      <c r="C75" s="10"/>
      <c r="D75" s="10"/>
      <c r="E75" s="10"/>
      <c r="F75" s="10" t="s">
        <v>68</v>
      </c>
      <c r="G75" s="4" t="s">
        <v>238</v>
      </c>
      <c r="H75" s="4">
        <v>8</v>
      </c>
      <c r="I75" s="4">
        <f t="shared" si="4"/>
        <v>116923</v>
      </c>
      <c r="J75" s="4">
        <v>123333</v>
      </c>
      <c r="K75" s="4">
        <f t="shared" si="5"/>
        <v>0</v>
      </c>
      <c r="L75" s="1">
        <v>123333</v>
      </c>
      <c r="M75" s="93">
        <f t="shared" si="6"/>
        <v>0</v>
      </c>
      <c r="N75" s="2">
        <v>6410</v>
      </c>
      <c r="O75" s="97">
        <f>6010+400</f>
        <v>6410</v>
      </c>
      <c r="P75" s="52"/>
    </row>
    <row r="76" spans="1:16" ht="40.950000000000003" customHeight="1" x14ac:dyDescent="0.3">
      <c r="A76" s="4">
        <v>21</v>
      </c>
      <c r="B76" s="10" t="s">
        <v>69</v>
      </c>
      <c r="C76" s="10"/>
      <c r="D76" s="10"/>
      <c r="E76" s="10"/>
      <c r="F76" s="10" t="s">
        <v>68</v>
      </c>
      <c r="G76" s="4" t="s">
        <v>367</v>
      </c>
      <c r="H76" s="4"/>
      <c r="I76" s="4">
        <f t="shared" si="4"/>
        <v>16119</v>
      </c>
      <c r="J76" s="4">
        <v>16372</v>
      </c>
      <c r="K76" s="4">
        <f t="shared" si="5"/>
        <v>0</v>
      </c>
      <c r="L76" s="1">
        <v>16372</v>
      </c>
      <c r="M76" s="93">
        <f t="shared" si="6"/>
        <v>0</v>
      </c>
      <c r="N76" s="2">
        <v>253</v>
      </c>
      <c r="O76" s="97">
        <v>253</v>
      </c>
      <c r="P76" s="52"/>
    </row>
    <row r="77" spans="1:16" ht="40.950000000000003" customHeight="1" x14ac:dyDescent="0.3">
      <c r="A77" s="4">
        <v>21</v>
      </c>
      <c r="B77" s="10" t="s">
        <v>69</v>
      </c>
      <c r="C77" s="10"/>
      <c r="D77" s="10"/>
      <c r="E77" s="10"/>
      <c r="F77" s="10" t="s">
        <v>68</v>
      </c>
      <c r="G77" s="4" t="s">
        <v>391</v>
      </c>
      <c r="H77" s="4"/>
      <c r="I77" s="4">
        <f t="shared" si="4"/>
        <v>28527</v>
      </c>
      <c r="J77" s="4">
        <v>29143</v>
      </c>
      <c r="K77" s="4">
        <f t="shared" si="5"/>
        <v>0</v>
      </c>
      <c r="L77" s="1">
        <v>29143</v>
      </c>
      <c r="M77" s="93">
        <f t="shared" si="6"/>
        <v>0</v>
      </c>
      <c r="N77" s="2">
        <v>616</v>
      </c>
      <c r="O77" s="97">
        <v>616</v>
      </c>
      <c r="P77" s="52"/>
    </row>
    <row r="78" spans="1:16" ht="40.950000000000003" customHeight="1" x14ac:dyDescent="0.3">
      <c r="A78" s="4">
        <v>21</v>
      </c>
      <c r="B78" s="10" t="s">
        <v>69</v>
      </c>
      <c r="C78" s="10"/>
      <c r="D78" s="10"/>
      <c r="E78" s="10"/>
      <c r="F78" s="10" t="s">
        <v>68</v>
      </c>
      <c r="G78" s="4" t="s">
        <v>368</v>
      </c>
      <c r="H78" s="4"/>
      <c r="I78" s="4">
        <f t="shared" si="4"/>
        <v>41691</v>
      </c>
      <c r="J78" s="4">
        <v>42262</v>
      </c>
      <c r="K78" s="4">
        <f t="shared" si="5"/>
        <v>0</v>
      </c>
      <c r="L78" s="1">
        <v>42262</v>
      </c>
      <c r="M78" s="93">
        <f t="shared" si="6"/>
        <v>0</v>
      </c>
      <c r="N78" s="2">
        <v>571</v>
      </c>
      <c r="O78" s="97">
        <v>571</v>
      </c>
      <c r="P78" s="52"/>
    </row>
    <row r="79" spans="1:16" ht="40.950000000000003" customHeight="1" x14ac:dyDescent="0.3">
      <c r="A79" s="4">
        <v>21</v>
      </c>
      <c r="B79" s="10" t="s">
        <v>69</v>
      </c>
      <c r="C79" s="10"/>
      <c r="D79" s="10"/>
      <c r="E79" s="10"/>
      <c r="F79" s="10" t="s">
        <v>68</v>
      </c>
      <c r="G79" s="4" t="s">
        <v>200</v>
      </c>
      <c r="H79" s="4">
        <v>9</v>
      </c>
      <c r="I79" s="4">
        <f t="shared" si="4"/>
        <v>151871</v>
      </c>
      <c r="J79" s="4">
        <v>157678</v>
      </c>
      <c r="K79" s="4">
        <f t="shared" si="5"/>
        <v>0</v>
      </c>
      <c r="L79" s="1">
        <v>157678</v>
      </c>
      <c r="M79" s="93">
        <f t="shared" si="6"/>
        <v>0</v>
      </c>
      <c r="N79" s="2">
        <v>5807</v>
      </c>
      <c r="O79" s="97">
        <f>60+2350+240+210+2707+240</f>
        <v>5807</v>
      </c>
      <c r="P79" s="52"/>
    </row>
    <row r="80" spans="1:16" ht="40.950000000000003" customHeight="1" x14ac:dyDescent="0.3">
      <c r="A80" s="4">
        <v>21</v>
      </c>
      <c r="B80" s="10" t="s">
        <v>69</v>
      </c>
      <c r="C80" s="10"/>
      <c r="D80" s="10"/>
      <c r="E80" s="10"/>
      <c r="F80" s="10" t="s">
        <v>68</v>
      </c>
      <c r="G80" s="4" t="s">
        <v>90</v>
      </c>
      <c r="H80" s="4">
        <v>13</v>
      </c>
      <c r="I80" s="4">
        <f t="shared" si="4"/>
        <v>525173</v>
      </c>
      <c r="J80" s="4">
        <v>586349</v>
      </c>
      <c r="K80" s="4">
        <f t="shared" si="5"/>
        <v>0</v>
      </c>
      <c r="L80" s="1">
        <v>586349</v>
      </c>
      <c r="M80" s="93">
        <f t="shared" si="6"/>
        <v>0</v>
      </c>
      <c r="N80" s="2">
        <v>61176</v>
      </c>
      <c r="O80" s="97">
        <v>61176</v>
      </c>
      <c r="P80" s="52"/>
    </row>
    <row r="81" spans="1:16" ht="40.950000000000003" customHeight="1" x14ac:dyDescent="0.3">
      <c r="A81" s="4">
        <v>22</v>
      </c>
      <c r="B81" s="10" t="s">
        <v>1822</v>
      </c>
      <c r="C81" s="10"/>
      <c r="D81" s="10"/>
      <c r="E81" s="10"/>
      <c r="F81" s="10" t="s">
        <v>68</v>
      </c>
      <c r="G81" s="4" t="s">
        <v>22</v>
      </c>
      <c r="H81" s="4" t="s">
        <v>1823</v>
      </c>
      <c r="I81" s="4">
        <f t="shared" si="4"/>
        <v>1321552</v>
      </c>
      <c r="J81" s="4">
        <v>1386727</v>
      </c>
      <c r="K81" s="4">
        <f t="shared" si="5"/>
        <v>0</v>
      </c>
      <c r="L81" s="1">
        <v>1386727</v>
      </c>
      <c r="M81" s="93">
        <f t="shared" si="6"/>
        <v>0</v>
      </c>
      <c r="N81" s="2">
        <v>65175</v>
      </c>
      <c r="O81" s="97">
        <v>65175</v>
      </c>
      <c r="P81" s="52"/>
    </row>
    <row r="82" spans="1:16" ht="40.950000000000003" customHeight="1" x14ac:dyDescent="0.3">
      <c r="A82" s="4">
        <v>22</v>
      </c>
      <c r="B82" s="10" t="s">
        <v>1822</v>
      </c>
      <c r="C82" s="10"/>
      <c r="D82" s="10"/>
      <c r="E82" s="10"/>
      <c r="F82" s="10" t="s">
        <v>68</v>
      </c>
      <c r="G82" s="4" t="s">
        <v>114</v>
      </c>
      <c r="H82" s="4">
        <v>12</v>
      </c>
      <c r="I82" s="4">
        <f t="shared" si="4"/>
        <v>1313506</v>
      </c>
      <c r="J82" s="4">
        <v>1355906</v>
      </c>
      <c r="K82" s="4">
        <f t="shared" si="5"/>
        <v>0</v>
      </c>
      <c r="L82" s="1">
        <v>1355906</v>
      </c>
      <c r="M82" s="93">
        <f t="shared" si="6"/>
        <v>0</v>
      </c>
      <c r="N82" s="2">
        <v>42400</v>
      </c>
      <c r="O82" s="97">
        <f>5760+240+18300+300+360+1190+16070+180</f>
        <v>42400</v>
      </c>
      <c r="P82" s="52"/>
    </row>
    <row r="83" spans="1:16" ht="40.950000000000003" customHeight="1" x14ac:dyDescent="0.3">
      <c r="A83" s="4">
        <v>23</v>
      </c>
      <c r="B83" s="10" t="s">
        <v>80</v>
      </c>
      <c r="C83" s="10"/>
      <c r="D83" s="10"/>
      <c r="E83" s="10"/>
      <c r="F83" s="10" t="s">
        <v>68</v>
      </c>
      <c r="G83" s="4" t="s">
        <v>70</v>
      </c>
      <c r="H83" s="4" t="s">
        <v>650</v>
      </c>
      <c r="I83" s="4">
        <f t="shared" si="4"/>
        <v>736653</v>
      </c>
      <c r="J83" s="4">
        <v>1413103</v>
      </c>
      <c r="K83" s="4">
        <f t="shared" si="5"/>
        <v>0</v>
      </c>
      <c r="L83" s="1">
        <v>1413103</v>
      </c>
      <c r="M83" s="93">
        <f t="shared" si="6"/>
        <v>0</v>
      </c>
      <c r="N83" s="2">
        <v>676450</v>
      </c>
      <c r="O83" s="97">
        <v>676450</v>
      </c>
      <c r="P83" s="52"/>
    </row>
    <row r="84" spans="1:16" ht="40.950000000000003" customHeight="1" x14ac:dyDescent="0.3">
      <c r="A84" s="4">
        <v>24</v>
      </c>
      <c r="B84" s="10" t="s">
        <v>138</v>
      </c>
      <c r="C84" s="10"/>
      <c r="D84" s="10"/>
      <c r="E84" s="10"/>
      <c r="F84" s="10" t="s">
        <v>66</v>
      </c>
      <c r="G84" s="4" t="s">
        <v>70</v>
      </c>
      <c r="H84" s="4">
        <v>8</v>
      </c>
      <c r="I84" s="4">
        <f t="shared" si="4"/>
        <v>214722</v>
      </c>
      <c r="J84" s="4">
        <v>225752</v>
      </c>
      <c r="K84" s="4">
        <f t="shared" si="5"/>
        <v>0</v>
      </c>
      <c r="L84" s="1">
        <v>225752</v>
      </c>
      <c r="M84" s="93">
        <f t="shared" si="6"/>
        <v>0</v>
      </c>
      <c r="N84" s="2">
        <v>11030</v>
      </c>
      <c r="O84" s="97">
        <v>11030</v>
      </c>
      <c r="P84" s="52">
        <v>1</v>
      </c>
    </row>
    <row r="85" spans="1:16" ht="40.950000000000003" customHeight="1" x14ac:dyDescent="0.3">
      <c r="A85" s="4">
        <v>25</v>
      </c>
      <c r="B85" s="10" t="s">
        <v>147</v>
      </c>
      <c r="C85" s="10"/>
      <c r="D85" s="10"/>
      <c r="E85" s="10"/>
      <c r="F85" s="10" t="s">
        <v>66</v>
      </c>
      <c r="G85" s="4" t="s">
        <v>70</v>
      </c>
      <c r="H85" s="4"/>
      <c r="I85" s="4">
        <f t="shared" si="4"/>
        <v>270000</v>
      </c>
      <c r="J85" s="4">
        <v>270000</v>
      </c>
      <c r="K85" s="4">
        <f t="shared" si="5"/>
        <v>0</v>
      </c>
      <c r="L85" s="1">
        <v>270000</v>
      </c>
      <c r="M85" s="93">
        <f t="shared" si="6"/>
        <v>0</v>
      </c>
      <c r="N85" s="2"/>
      <c r="O85" s="97"/>
      <c r="P85" s="52"/>
    </row>
    <row r="86" spans="1:16" ht="40.950000000000003" customHeight="1" x14ac:dyDescent="0.3">
      <c r="A86" s="4">
        <v>25</v>
      </c>
      <c r="B86" s="10" t="s">
        <v>147</v>
      </c>
      <c r="C86" s="10"/>
      <c r="D86" s="10"/>
      <c r="E86" s="10"/>
      <c r="F86" s="10" t="s">
        <v>66</v>
      </c>
      <c r="G86" s="4" t="s">
        <v>8</v>
      </c>
      <c r="H86" s="4"/>
      <c r="I86" s="4">
        <f t="shared" si="4"/>
        <v>90000</v>
      </c>
      <c r="J86" s="4">
        <v>90000</v>
      </c>
      <c r="K86" s="4">
        <f t="shared" si="5"/>
        <v>0</v>
      </c>
      <c r="L86" s="1">
        <v>90000</v>
      </c>
      <c r="M86" s="93">
        <f t="shared" si="6"/>
        <v>0</v>
      </c>
      <c r="N86" s="2"/>
      <c r="O86" s="97"/>
      <c r="P86" s="52"/>
    </row>
    <row r="87" spans="1:16" ht="40.950000000000003" customHeight="1" x14ac:dyDescent="0.3">
      <c r="A87" s="4">
        <v>26</v>
      </c>
      <c r="B87" s="10" t="s">
        <v>72</v>
      </c>
      <c r="C87" s="10"/>
      <c r="D87" s="10"/>
      <c r="E87" s="10"/>
      <c r="F87" s="10" t="s">
        <v>68</v>
      </c>
      <c r="G87" s="4" t="s">
        <v>7</v>
      </c>
      <c r="H87" s="4">
        <v>13</v>
      </c>
      <c r="I87" s="4">
        <f t="shared" si="4"/>
        <v>1323441</v>
      </c>
      <c r="J87" s="4">
        <v>1404510</v>
      </c>
      <c r="K87" s="4">
        <f t="shared" si="5"/>
        <v>0</v>
      </c>
      <c r="L87" s="1">
        <v>1404510</v>
      </c>
      <c r="M87" s="93">
        <f t="shared" si="6"/>
        <v>0</v>
      </c>
      <c r="N87" s="2">
        <v>81069</v>
      </c>
      <c r="O87" s="97">
        <v>81069</v>
      </c>
      <c r="P87" s="52">
        <v>0.98060000000000003</v>
      </c>
    </row>
    <row r="88" spans="1:16" ht="40.950000000000003" customHeight="1" x14ac:dyDescent="0.3">
      <c r="A88" s="4">
        <v>26</v>
      </c>
      <c r="B88" s="10" t="s">
        <v>72</v>
      </c>
      <c r="C88" s="10"/>
      <c r="D88" s="10"/>
      <c r="E88" s="10"/>
      <c r="F88" s="10" t="s">
        <v>68</v>
      </c>
      <c r="G88" s="4" t="s">
        <v>181</v>
      </c>
      <c r="H88" s="4">
        <v>14</v>
      </c>
      <c r="I88" s="4">
        <f t="shared" si="4"/>
        <v>608800.5</v>
      </c>
      <c r="J88" s="4">
        <v>644306</v>
      </c>
      <c r="K88" s="4">
        <f t="shared" si="5"/>
        <v>0</v>
      </c>
      <c r="L88" s="1">
        <v>644306</v>
      </c>
      <c r="M88" s="93">
        <f t="shared" si="6"/>
        <v>0</v>
      </c>
      <c r="N88" s="2">
        <v>35505.5</v>
      </c>
      <c r="O88" s="97">
        <f>120+540+1224+300+7705+2880+6480+6994+2240+7022.5</f>
        <v>35505.5</v>
      </c>
      <c r="P88" s="52"/>
    </row>
    <row r="89" spans="1:16" ht="40.950000000000003" customHeight="1" x14ac:dyDescent="0.3">
      <c r="A89" s="4">
        <v>26</v>
      </c>
      <c r="B89" s="10" t="s">
        <v>72</v>
      </c>
      <c r="C89" s="10"/>
      <c r="D89" s="10"/>
      <c r="E89" s="10"/>
      <c r="F89" s="10" t="s">
        <v>68</v>
      </c>
      <c r="G89" s="4" t="s">
        <v>122</v>
      </c>
      <c r="H89" s="4"/>
      <c r="I89" s="4">
        <f t="shared" si="4"/>
        <v>1284088</v>
      </c>
      <c r="J89" s="4">
        <v>1351423</v>
      </c>
      <c r="K89" s="4">
        <f t="shared" si="5"/>
        <v>0</v>
      </c>
      <c r="L89" s="1">
        <v>1351423</v>
      </c>
      <c r="M89" s="93">
        <f t="shared" si="6"/>
        <v>0</v>
      </c>
      <c r="N89" s="2">
        <v>67335</v>
      </c>
      <c r="O89" s="97">
        <f>6240+360+13910+2160+3800+2520+38345</f>
        <v>67335</v>
      </c>
      <c r="P89" s="52">
        <v>0.98</v>
      </c>
    </row>
    <row r="90" spans="1:16" ht="40.950000000000003" customHeight="1" x14ac:dyDescent="0.3">
      <c r="A90" s="4">
        <v>27</v>
      </c>
      <c r="B90" s="10" t="s">
        <v>94</v>
      </c>
      <c r="C90" s="10"/>
      <c r="D90" s="10"/>
      <c r="E90" s="10"/>
      <c r="F90" s="10" t="s">
        <v>68</v>
      </c>
      <c r="G90" s="4" t="s">
        <v>39</v>
      </c>
      <c r="H90" s="4"/>
      <c r="I90" s="4">
        <f t="shared" si="4"/>
        <v>57570</v>
      </c>
      <c r="J90" s="4">
        <v>122100</v>
      </c>
      <c r="K90" s="4">
        <f t="shared" si="5"/>
        <v>0</v>
      </c>
      <c r="L90" s="1">
        <v>122100</v>
      </c>
      <c r="M90" s="93">
        <f t="shared" si="6"/>
        <v>0</v>
      </c>
      <c r="N90" s="2">
        <v>64530</v>
      </c>
      <c r="O90" s="97">
        <f>64230+300</f>
        <v>64530</v>
      </c>
      <c r="P90" s="52"/>
    </row>
    <row r="91" spans="1:16" ht="40.950000000000003" customHeight="1" x14ac:dyDescent="0.3">
      <c r="A91" s="4">
        <v>28</v>
      </c>
      <c r="B91" s="10" t="s">
        <v>95</v>
      </c>
      <c r="C91" s="10"/>
      <c r="D91" s="10"/>
      <c r="E91" s="10"/>
      <c r="F91" s="10" t="s">
        <v>68</v>
      </c>
      <c r="G91" s="4" t="s">
        <v>39</v>
      </c>
      <c r="H91" s="4">
        <v>15</v>
      </c>
      <c r="I91" s="4">
        <f t="shared" si="4"/>
        <v>992539</v>
      </c>
      <c r="J91" s="4">
        <v>1236775</v>
      </c>
      <c r="K91" s="4">
        <f t="shared" si="5"/>
        <v>0</v>
      </c>
      <c r="L91" s="1">
        <v>1236775</v>
      </c>
      <c r="M91" s="93">
        <f t="shared" si="6"/>
        <v>0</v>
      </c>
      <c r="N91" s="2">
        <v>244236</v>
      </c>
      <c r="O91" s="97">
        <v>244236</v>
      </c>
      <c r="P91" s="52"/>
    </row>
    <row r="92" spans="1:16" ht="40.950000000000003" customHeight="1" x14ac:dyDescent="0.3">
      <c r="A92" s="4">
        <v>29</v>
      </c>
      <c r="B92" s="10" t="s">
        <v>189</v>
      </c>
      <c r="C92" s="10"/>
      <c r="D92" s="10"/>
      <c r="E92" s="10"/>
      <c r="F92" s="10" t="s">
        <v>68</v>
      </c>
      <c r="G92" s="4" t="s">
        <v>39</v>
      </c>
      <c r="H92" s="4"/>
      <c r="I92" s="4">
        <f t="shared" si="4"/>
        <v>113571</v>
      </c>
      <c r="J92" s="4">
        <v>115000</v>
      </c>
      <c r="K92" s="4">
        <f t="shared" si="5"/>
        <v>0</v>
      </c>
      <c r="L92" s="1">
        <v>115000</v>
      </c>
      <c r="M92" s="93">
        <f t="shared" si="6"/>
        <v>0</v>
      </c>
      <c r="N92" s="2">
        <v>1429</v>
      </c>
      <c r="O92" s="97">
        <v>1429</v>
      </c>
      <c r="P92" s="52"/>
    </row>
    <row r="93" spans="1:16" ht="40.950000000000003" customHeight="1" x14ac:dyDescent="0.3">
      <c r="A93" s="4">
        <v>30</v>
      </c>
      <c r="B93" s="10" t="s">
        <v>96</v>
      </c>
      <c r="C93" s="10"/>
      <c r="D93" s="10"/>
      <c r="E93" s="10"/>
      <c r="F93" s="10" t="s">
        <v>68</v>
      </c>
      <c r="G93" s="4" t="s">
        <v>90</v>
      </c>
      <c r="H93" s="4"/>
      <c r="I93" s="4">
        <f t="shared" si="4"/>
        <v>23880</v>
      </c>
      <c r="J93" s="4">
        <v>38400</v>
      </c>
      <c r="K93" s="4">
        <f t="shared" si="5"/>
        <v>0</v>
      </c>
      <c r="L93" s="1">
        <v>38400</v>
      </c>
      <c r="M93" s="93">
        <f t="shared" si="6"/>
        <v>0</v>
      </c>
      <c r="N93" s="2">
        <v>14520</v>
      </c>
      <c r="O93" s="97">
        <v>14520</v>
      </c>
      <c r="P93" s="52"/>
    </row>
    <row r="94" spans="1:16" ht="40.950000000000003" customHeight="1" x14ac:dyDescent="0.3">
      <c r="A94" s="4">
        <v>31</v>
      </c>
      <c r="B94" s="10" t="s">
        <v>113</v>
      </c>
      <c r="C94" s="10"/>
      <c r="D94" s="10"/>
      <c r="E94" s="10"/>
      <c r="F94" s="10" t="s">
        <v>68</v>
      </c>
      <c r="G94" s="4" t="s">
        <v>90</v>
      </c>
      <c r="H94" s="4">
        <v>6</v>
      </c>
      <c r="I94" s="4">
        <f t="shared" si="4"/>
        <v>396082</v>
      </c>
      <c r="J94" s="4">
        <v>492867</v>
      </c>
      <c r="K94" s="4">
        <f t="shared" si="5"/>
        <v>0</v>
      </c>
      <c r="L94" s="1">
        <v>492867</v>
      </c>
      <c r="M94" s="93">
        <f t="shared" si="6"/>
        <v>0</v>
      </c>
      <c r="N94" s="2">
        <v>96785</v>
      </c>
      <c r="O94" s="97">
        <v>96785</v>
      </c>
      <c r="P94" s="52">
        <v>0.99</v>
      </c>
    </row>
    <row r="95" spans="1:16" ht="40.950000000000003" customHeight="1" x14ac:dyDescent="0.3">
      <c r="A95" s="4">
        <v>32</v>
      </c>
      <c r="B95" s="10" t="s">
        <v>124</v>
      </c>
      <c r="C95" s="10"/>
      <c r="D95" s="10"/>
      <c r="E95" s="10"/>
      <c r="F95" s="10" t="s">
        <v>68</v>
      </c>
      <c r="G95" s="4" t="s">
        <v>51</v>
      </c>
      <c r="H95" s="4">
        <v>12</v>
      </c>
      <c r="I95" s="4">
        <f t="shared" si="4"/>
        <v>912195</v>
      </c>
      <c r="J95" s="4">
        <v>1380203</v>
      </c>
      <c r="K95" s="4">
        <f t="shared" si="5"/>
        <v>0</v>
      </c>
      <c r="L95" s="1">
        <v>1380203</v>
      </c>
      <c r="M95" s="93">
        <f t="shared" si="6"/>
        <v>0</v>
      </c>
      <c r="N95" s="2">
        <v>468008</v>
      </c>
      <c r="O95" s="97">
        <v>468008</v>
      </c>
      <c r="P95" s="52">
        <v>1</v>
      </c>
    </row>
    <row r="96" spans="1:16" ht="40.950000000000003" customHeight="1" x14ac:dyDescent="0.3">
      <c r="A96" s="4">
        <v>32</v>
      </c>
      <c r="B96" s="10" t="s">
        <v>208</v>
      </c>
      <c r="C96" s="10"/>
      <c r="D96" s="10"/>
      <c r="E96" s="10"/>
      <c r="F96" s="10" t="s">
        <v>68</v>
      </c>
      <c r="G96" s="4" t="s">
        <v>51</v>
      </c>
      <c r="H96" s="4"/>
      <c r="I96" s="4">
        <f t="shared" si="4"/>
        <v>168700</v>
      </c>
      <c r="J96" s="4">
        <v>168700</v>
      </c>
      <c r="K96" s="4">
        <f t="shared" si="5"/>
        <v>0</v>
      </c>
      <c r="L96" s="1">
        <v>168700</v>
      </c>
      <c r="M96" s="93">
        <f t="shared" si="6"/>
        <v>0</v>
      </c>
      <c r="N96" s="2"/>
      <c r="O96" s="97"/>
      <c r="P96" s="52"/>
    </row>
    <row r="97" spans="1:16" ht="40.950000000000003" customHeight="1" x14ac:dyDescent="0.3">
      <c r="A97" s="4">
        <v>32</v>
      </c>
      <c r="B97" s="10" t="s">
        <v>209</v>
      </c>
      <c r="C97" s="10"/>
      <c r="D97" s="10"/>
      <c r="E97" s="10"/>
      <c r="F97" s="10" t="s">
        <v>68</v>
      </c>
      <c r="G97" s="4" t="s">
        <v>51</v>
      </c>
      <c r="H97" s="4">
        <v>5</v>
      </c>
      <c r="I97" s="4">
        <f t="shared" si="4"/>
        <v>144176</v>
      </c>
      <c r="J97" s="4">
        <v>161350</v>
      </c>
      <c r="K97" s="4">
        <f t="shared" si="5"/>
        <v>0</v>
      </c>
      <c r="L97" s="1">
        <v>161350</v>
      </c>
      <c r="M97" s="93">
        <f t="shared" si="6"/>
        <v>0</v>
      </c>
      <c r="N97" s="2">
        <v>17174</v>
      </c>
      <c r="O97" s="97">
        <f>6910+9792+472</f>
        <v>17174</v>
      </c>
      <c r="P97" s="52"/>
    </row>
    <row r="98" spans="1:16" ht="40.950000000000003" customHeight="1" x14ac:dyDescent="0.3">
      <c r="A98" s="4">
        <v>33</v>
      </c>
      <c r="B98" s="10" t="s">
        <v>125</v>
      </c>
      <c r="C98" s="10"/>
      <c r="D98" s="10"/>
      <c r="E98" s="10"/>
      <c r="F98" s="10" t="s">
        <v>68</v>
      </c>
      <c r="G98" s="4" t="s">
        <v>50</v>
      </c>
      <c r="H98" s="4"/>
      <c r="I98" s="4">
        <f t="shared" si="4"/>
        <v>0</v>
      </c>
      <c r="J98" s="4">
        <v>0</v>
      </c>
      <c r="K98" s="4">
        <f t="shared" si="5"/>
        <v>0</v>
      </c>
      <c r="L98" s="1">
        <v>0</v>
      </c>
      <c r="M98" s="93">
        <f t="shared" si="6"/>
        <v>0</v>
      </c>
      <c r="N98" s="2">
        <v>0</v>
      </c>
      <c r="O98" s="97">
        <v>0</v>
      </c>
      <c r="P98" s="52"/>
    </row>
    <row r="99" spans="1:16" ht="40.950000000000003" customHeight="1" x14ac:dyDescent="0.3">
      <c r="A99" s="4">
        <v>33</v>
      </c>
      <c r="B99" s="10" t="s">
        <v>125</v>
      </c>
      <c r="C99" s="10"/>
      <c r="D99" s="10"/>
      <c r="E99" s="10"/>
      <c r="F99" s="10" t="s">
        <v>68</v>
      </c>
      <c r="G99" s="4" t="s">
        <v>128</v>
      </c>
      <c r="H99" s="4">
        <v>14</v>
      </c>
      <c r="I99" s="4">
        <f t="shared" si="4"/>
        <v>1265340</v>
      </c>
      <c r="J99" s="4">
        <v>1366740</v>
      </c>
      <c r="K99" s="4">
        <f t="shared" si="5"/>
        <v>0</v>
      </c>
      <c r="L99" s="1">
        <v>1366740</v>
      </c>
      <c r="M99" s="93">
        <f t="shared" si="6"/>
        <v>0</v>
      </c>
      <c r="N99" s="2">
        <v>101400</v>
      </c>
      <c r="O99" s="97">
        <v>101400</v>
      </c>
      <c r="P99" s="52" t="s">
        <v>1527</v>
      </c>
    </row>
    <row r="100" spans="1:16" ht="40.950000000000003" customHeight="1" x14ac:dyDescent="0.3">
      <c r="A100" s="4">
        <v>34</v>
      </c>
      <c r="B100" s="10" t="s">
        <v>151</v>
      </c>
      <c r="C100" s="10"/>
      <c r="D100" s="10"/>
      <c r="E100" s="10"/>
      <c r="F100" s="10" t="s">
        <v>68</v>
      </c>
      <c r="G100" s="4" t="s">
        <v>50</v>
      </c>
      <c r="H100" s="4"/>
      <c r="I100" s="4">
        <f t="shared" si="4"/>
        <v>1270872.7</v>
      </c>
      <c r="J100" s="4">
        <v>1354656.7</v>
      </c>
      <c r="K100" s="4">
        <f t="shared" si="5"/>
        <v>0</v>
      </c>
      <c r="L100" s="1">
        <v>1354656.7</v>
      </c>
      <c r="M100" s="93">
        <f t="shared" si="6"/>
        <v>0</v>
      </c>
      <c r="N100" s="2">
        <v>83784</v>
      </c>
      <c r="O100" s="97">
        <f>2000+11274+12950+10240+3440+10120+320+11530+21910</f>
        <v>83784</v>
      </c>
      <c r="P100" s="52"/>
    </row>
    <row r="101" spans="1:16" ht="40.950000000000003" customHeight="1" x14ac:dyDescent="0.3">
      <c r="A101" s="4">
        <v>35</v>
      </c>
      <c r="B101" s="10" t="s">
        <v>120</v>
      </c>
      <c r="C101" s="10"/>
      <c r="D101" s="10"/>
      <c r="E101" s="10"/>
      <c r="F101" s="10" t="s">
        <v>68</v>
      </c>
      <c r="G101" s="4" t="s">
        <v>49</v>
      </c>
      <c r="H101" s="4">
        <v>13</v>
      </c>
      <c r="I101" s="4">
        <f t="shared" si="4"/>
        <v>1260920</v>
      </c>
      <c r="J101" s="4">
        <v>1363209</v>
      </c>
      <c r="K101" s="4">
        <f t="shared" si="5"/>
        <v>0</v>
      </c>
      <c r="L101" s="1">
        <v>1363209</v>
      </c>
      <c r="M101" s="93">
        <f t="shared" si="6"/>
        <v>0</v>
      </c>
      <c r="N101" s="2">
        <v>102289</v>
      </c>
      <c r="O101" s="97">
        <v>102289</v>
      </c>
      <c r="P101" s="52" t="s">
        <v>1529</v>
      </c>
    </row>
    <row r="102" spans="1:16" ht="40.950000000000003" customHeight="1" x14ac:dyDescent="0.3">
      <c r="A102" s="4">
        <v>36</v>
      </c>
      <c r="B102" s="10" t="s">
        <v>149</v>
      </c>
      <c r="C102" s="10"/>
      <c r="D102" s="10"/>
      <c r="E102" s="10"/>
      <c r="F102" s="10" t="s">
        <v>68</v>
      </c>
      <c r="G102" s="4" t="s">
        <v>48</v>
      </c>
      <c r="H102" s="4">
        <v>17</v>
      </c>
      <c r="I102" s="4">
        <f t="shared" si="4"/>
        <v>1231827</v>
      </c>
      <c r="J102" s="4">
        <v>1364974</v>
      </c>
      <c r="K102" s="4">
        <f t="shared" si="5"/>
        <v>0</v>
      </c>
      <c r="L102" s="1">
        <v>1364974</v>
      </c>
      <c r="M102" s="93">
        <f t="shared" si="6"/>
        <v>0</v>
      </c>
      <c r="N102" s="2">
        <v>133147</v>
      </c>
      <c r="O102" s="97">
        <v>133147</v>
      </c>
      <c r="P102" s="52" t="s">
        <v>1528</v>
      </c>
    </row>
    <row r="103" spans="1:16" ht="40.950000000000003" customHeight="1" x14ac:dyDescent="0.3">
      <c r="A103" s="4">
        <v>37</v>
      </c>
      <c r="B103" s="10" t="s">
        <v>150</v>
      </c>
      <c r="C103" s="10"/>
      <c r="D103" s="10"/>
      <c r="E103" s="10"/>
      <c r="F103" s="10" t="s">
        <v>68</v>
      </c>
      <c r="G103" s="4" t="s">
        <v>143</v>
      </c>
      <c r="H103" s="4">
        <v>13</v>
      </c>
      <c r="I103" s="4">
        <f t="shared" si="4"/>
        <v>1291016</v>
      </c>
      <c r="J103" s="4">
        <v>1351646</v>
      </c>
      <c r="K103" s="4">
        <f t="shared" si="5"/>
        <v>0</v>
      </c>
      <c r="L103" s="1">
        <v>1351646</v>
      </c>
      <c r="M103" s="93">
        <f t="shared" si="6"/>
        <v>0</v>
      </c>
      <c r="N103" s="2">
        <v>60630</v>
      </c>
      <c r="O103" s="97">
        <v>60630</v>
      </c>
      <c r="P103" s="52"/>
    </row>
    <row r="104" spans="1:16" ht="40.950000000000003" customHeight="1" x14ac:dyDescent="0.3">
      <c r="A104" s="4">
        <v>38</v>
      </c>
      <c r="B104" s="10" t="s">
        <v>1795</v>
      </c>
      <c r="C104" s="10"/>
      <c r="D104" s="10"/>
      <c r="E104" s="10"/>
      <c r="F104" s="10" t="s">
        <v>68</v>
      </c>
      <c r="G104" s="4" t="s">
        <v>64</v>
      </c>
      <c r="H104" s="4">
        <v>12</v>
      </c>
      <c r="I104" s="4">
        <f t="shared" si="4"/>
        <v>1283011</v>
      </c>
      <c r="J104" s="4">
        <v>1371571</v>
      </c>
      <c r="K104" s="4">
        <f t="shared" si="5"/>
        <v>0</v>
      </c>
      <c r="L104" s="1">
        <v>1371571</v>
      </c>
      <c r="M104" s="93">
        <f t="shared" si="6"/>
        <v>0</v>
      </c>
      <c r="N104" s="2">
        <v>88560</v>
      </c>
      <c r="O104" s="97">
        <f>10910+10800+4580+11850+3750+1250+4025+41335+60</f>
        <v>88560</v>
      </c>
      <c r="P104" s="52">
        <v>1</v>
      </c>
    </row>
    <row r="105" spans="1:16" ht="40.950000000000003" customHeight="1" x14ac:dyDescent="0.3">
      <c r="A105" s="4">
        <v>39</v>
      </c>
      <c r="B105" s="10" t="s">
        <v>84</v>
      </c>
      <c r="C105" s="10"/>
      <c r="D105" s="10"/>
      <c r="E105" s="10"/>
      <c r="F105" s="10" t="s">
        <v>68</v>
      </c>
      <c r="G105" s="4" t="s">
        <v>9</v>
      </c>
      <c r="H105" s="4">
        <v>15</v>
      </c>
      <c r="I105" s="4">
        <f t="shared" si="4"/>
        <v>1131559</v>
      </c>
      <c r="J105" s="4">
        <v>1198941</v>
      </c>
      <c r="K105" s="4">
        <f t="shared" si="5"/>
        <v>0</v>
      </c>
      <c r="L105" s="1">
        <v>1198941</v>
      </c>
      <c r="M105" s="93">
        <f t="shared" si="6"/>
        <v>0</v>
      </c>
      <c r="N105" s="2">
        <v>67382</v>
      </c>
      <c r="O105" s="97">
        <v>67382</v>
      </c>
      <c r="P105" s="52">
        <v>0.98</v>
      </c>
    </row>
    <row r="106" spans="1:16" ht="40.950000000000003" customHeight="1" x14ac:dyDescent="0.3">
      <c r="A106" s="4">
        <v>39</v>
      </c>
      <c r="B106" s="10" t="s">
        <v>84</v>
      </c>
      <c r="C106" s="10"/>
      <c r="D106" s="10"/>
      <c r="E106" s="10"/>
      <c r="F106" s="10" t="s">
        <v>68</v>
      </c>
      <c r="G106" s="4" t="s">
        <v>85</v>
      </c>
      <c r="H106" s="4"/>
      <c r="I106" s="4">
        <f t="shared" si="4"/>
        <v>1287302</v>
      </c>
      <c r="J106" s="4">
        <v>1351717</v>
      </c>
      <c r="K106" s="4">
        <f t="shared" si="5"/>
        <v>0</v>
      </c>
      <c r="L106" s="1">
        <v>1351717</v>
      </c>
      <c r="M106" s="93">
        <f t="shared" si="6"/>
        <v>0</v>
      </c>
      <c r="N106" s="2">
        <v>64415</v>
      </c>
      <c r="O106" s="97">
        <f>240+60+4970+1600+300+20770+960+1080+20198+14237</f>
        <v>64415</v>
      </c>
      <c r="P106" s="52"/>
    </row>
    <row r="107" spans="1:16" ht="40.950000000000003" customHeight="1" x14ac:dyDescent="0.3">
      <c r="A107" s="4">
        <v>40</v>
      </c>
      <c r="B107" s="10" t="s">
        <v>235</v>
      </c>
      <c r="C107" s="10"/>
      <c r="D107" s="10"/>
      <c r="E107" s="10"/>
      <c r="F107" s="10" t="s">
        <v>236</v>
      </c>
      <c r="G107" s="4" t="s">
        <v>70</v>
      </c>
      <c r="H107" s="4"/>
      <c r="I107" s="4">
        <f t="shared" si="4"/>
        <v>2000</v>
      </c>
      <c r="J107" s="4">
        <v>2000</v>
      </c>
      <c r="K107" s="4">
        <f t="shared" si="5"/>
        <v>0</v>
      </c>
      <c r="L107" s="1">
        <v>2000</v>
      </c>
      <c r="M107" s="93">
        <f t="shared" si="6"/>
        <v>0</v>
      </c>
      <c r="N107" s="2"/>
      <c r="O107" s="97"/>
      <c r="P107" s="52"/>
    </row>
    <row r="108" spans="1:16" ht="40.950000000000003" customHeight="1" x14ac:dyDescent="0.3">
      <c r="A108" s="4">
        <v>40</v>
      </c>
      <c r="B108" s="10" t="s">
        <v>235</v>
      </c>
      <c r="C108" s="10"/>
      <c r="D108" s="10"/>
      <c r="E108" s="10"/>
      <c r="F108" s="10" t="s">
        <v>236</v>
      </c>
      <c r="G108" s="4" t="s">
        <v>299</v>
      </c>
      <c r="H108" s="4">
        <v>2</v>
      </c>
      <c r="I108" s="4">
        <f t="shared" si="4"/>
        <v>7503</v>
      </c>
      <c r="J108" s="4">
        <v>8203</v>
      </c>
      <c r="K108" s="4">
        <f t="shared" si="5"/>
        <v>0</v>
      </c>
      <c r="L108" s="1">
        <v>8203</v>
      </c>
      <c r="M108" s="93">
        <f t="shared" si="6"/>
        <v>0</v>
      </c>
      <c r="N108" s="2">
        <v>700</v>
      </c>
      <c r="O108" s="97">
        <f>600+100</f>
        <v>700</v>
      </c>
      <c r="P108" s="52"/>
    </row>
    <row r="109" spans="1:16" ht="40.950000000000003" customHeight="1" x14ac:dyDescent="0.3">
      <c r="A109" s="4">
        <v>40</v>
      </c>
      <c r="B109" s="10" t="s">
        <v>235</v>
      </c>
      <c r="C109" s="10"/>
      <c r="D109" s="10"/>
      <c r="E109" s="10"/>
      <c r="F109" s="10" t="s">
        <v>236</v>
      </c>
      <c r="G109" s="4" t="s">
        <v>90</v>
      </c>
      <c r="H109" s="4"/>
      <c r="I109" s="4">
        <f t="shared" si="4"/>
        <v>3500</v>
      </c>
      <c r="J109" s="4">
        <v>3500</v>
      </c>
      <c r="K109" s="4">
        <f t="shared" si="5"/>
        <v>0</v>
      </c>
      <c r="L109" s="1">
        <v>3500</v>
      </c>
      <c r="M109" s="93">
        <f t="shared" si="6"/>
        <v>0</v>
      </c>
      <c r="N109" s="2"/>
      <c r="O109" s="97"/>
      <c r="P109" s="52"/>
    </row>
    <row r="110" spans="1:16" ht="40.950000000000003" customHeight="1" x14ac:dyDescent="0.3">
      <c r="A110" s="4">
        <v>40</v>
      </c>
      <c r="B110" s="10" t="s">
        <v>235</v>
      </c>
      <c r="C110" s="10"/>
      <c r="D110" s="10"/>
      <c r="E110" s="10"/>
      <c r="F110" s="10" t="s">
        <v>236</v>
      </c>
      <c r="G110" s="4" t="s">
        <v>48</v>
      </c>
      <c r="H110" s="4"/>
      <c r="I110" s="4">
        <f t="shared" si="4"/>
        <v>3500</v>
      </c>
      <c r="J110" s="4">
        <v>3500</v>
      </c>
      <c r="K110" s="4">
        <f t="shared" si="5"/>
        <v>0</v>
      </c>
      <c r="L110" s="1">
        <v>3500</v>
      </c>
      <c r="M110" s="93">
        <f t="shared" si="6"/>
        <v>0</v>
      </c>
      <c r="N110" s="2"/>
      <c r="O110" s="97"/>
      <c r="P110" s="52"/>
    </row>
    <row r="111" spans="1:16" ht="40.950000000000003" customHeight="1" x14ac:dyDescent="0.3">
      <c r="A111" s="4">
        <v>40</v>
      </c>
      <c r="B111" s="10" t="s">
        <v>235</v>
      </c>
      <c r="C111" s="10"/>
      <c r="D111" s="10"/>
      <c r="E111" s="10"/>
      <c r="F111" s="10" t="s">
        <v>236</v>
      </c>
      <c r="G111" s="4" t="s">
        <v>50</v>
      </c>
      <c r="H111" s="4"/>
      <c r="I111" s="4">
        <f t="shared" si="4"/>
        <v>3500</v>
      </c>
      <c r="J111" s="4">
        <v>3500</v>
      </c>
      <c r="K111" s="4">
        <f t="shared" si="5"/>
        <v>0</v>
      </c>
      <c r="L111" s="1">
        <v>3500</v>
      </c>
      <c r="M111" s="93">
        <f t="shared" si="6"/>
        <v>0</v>
      </c>
      <c r="N111" s="2"/>
      <c r="O111" s="97"/>
      <c r="P111" s="52"/>
    </row>
    <row r="112" spans="1:16" ht="40.950000000000003" customHeight="1" x14ac:dyDescent="0.3">
      <c r="A112" s="4">
        <v>40</v>
      </c>
      <c r="B112" s="10" t="s">
        <v>235</v>
      </c>
      <c r="C112" s="10"/>
      <c r="D112" s="10"/>
      <c r="E112" s="10"/>
      <c r="F112" s="10" t="s">
        <v>236</v>
      </c>
      <c r="G112" s="4" t="s">
        <v>51</v>
      </c>
      <c r="H112" s="4"/>
      <c r="I112" s="4">
        <f t="shared" si="4"/>
        <v>3500</v>
      </c>
      <c r="J112" s="4">
        <v>3500</v>
      </c>
      <c r="K112" s="4">
        <f t="shared" si="5"/>
        <v>0</v>
      </c>
      <c r="L112" s="1">
        <v>3500</v>
      </c>
      <c r="M112" s="93">
        <f t="shared" si="6"/>
        <v>0</v>
      </c>
      <c r="N112" s="2"/>
      <c r="O112" s="97"/>
      <c r="P112" s="52"/>
    </row>
    <row r="113" spans="1:16" ht="40.950000000000003" customHeight="1" x14ac:dyDescent="0.3">
      <c r="A113" s="4">
        <v>40</v>
      </c>
      <c r="B113" s="10" t="s">
        <v>235</v>
      </c>
      <c r="C113" s="10"/>
      <c r="D113" s="10"/>
      <c r="E113" s="10"/>
      <c r="F113" s="10" t="s">
        <v>236</v>
      </c>
      <c r="G113" s="4" t="s">
        <v>39</v>
      </c>
      <c r="H113" s="4"/>
      <c r="I113" s="4">
        <f t="shared" si="4"/>
        <v>3500</v>
      </c>
      <c r="J113" s="4">
        <v>3500</v>
      </c>
      <c r="K113" s="4">
        <f t="shared" si="5"/>
        <v>0</v>
      </c>
      <c r="L113" s="1">
        <v>3500</v>
      </c>
      <c r="M113" s="93">
        <f t="shared" si="6"/>
        <v>0</v>
      </c>
      <c r="N113" s="2"/>
      <c r="O113" s="97"/>
      <c r="P113" s="52"/>
    </row>
    <row r="114" spans="1:16" ht="40.950000000000003" customHeight="1" x14ac:dyDescent="0.3">
      <c r="A114" s="4">
        <v>40</v>
      </c>
      <c r="B114" s="10" t="s">
        <v>235</v>
      </c>
      <c r="C114" s="10"/>
      <c r="D114" s="10"/>
      <c r="E114" s="10"/>
      <c r="F114" s="10" t="s">
        <v>236</v>
      </c>
      <c r="G114" s="4" t="s">
        <v>114</v>
      </c>
      <c r="H114" s="4"/>
      <c r="I114" s="4">
        <f t="shared" si="4"/>
        <v>3500</v>
      </c>
      <c r="J114" s="4">
        <v>3500</v>
      </c>
      <c r="K114" s="4">
        <f t="shared" si="5"/>
        <v>0</v>
      </c>
      <c r="L114" s="1">
        <v>3500</v>
      </c>
      <c r="M114" s="93">
        <f t="shared" si="6"/>
        <v>0</v>
      </c>
      <c r="N114" s="2"/>
      <c r="O114" s="97"/>
      <c r="P114" s="52"/>
    </row>
    <row r="115" spans="1:16" ht="40.950000000000003" customHeight="1" x14ac:dyDescent="0.3">
      <c r="A115" s="4">
        <v>40</v>
      </c>
      <c r="B115" s="10" t="s">
        <v>235</v>
      </c>
      <c r="C115" s="10"/>
      <c r="D115" s="10"/>
      <c r="E115" s="10"/>
      <c r="F115" s="10" t="s">
        <v>236</v>
      </c>
      <c r="G115" s="4" t="s">
        <v>85</v>
      </c>
      <c r="H115" s="4"/>
      <c r="I115" s="4">
        <f t="shared" si="4"/>
        <v>3500</v>
      </c>
      <c r="J115" s="4">
        <v>3500</v>
      </c>
      <c r="K115" s="4">
        <f t="shared" si="5"/>
        <v>0</v>
      </c>
      <c r="L115" s="1">
        <v>3500</v>
      </c>
      <c r="M115" s="93">
        <f t="shared" si="6"/>
        <v>0</v>
      </c>
      <c r="N115" s="2"/>
      <c r="O115" s="97"/>
      <c r="P115" s="52"/>
    </row>
    <row r="116" spans="1:16" ht="40.950000000000003" customHeight="1" x14ac:dyDescent="0.3">
      <c r="A116" s="4">
        <v>40</v>
      </c>
      <c r="B116" s="10" t="s">
        <v>235</v>
      </c>
      <c r="C116" s="10"/>
      <c r="D116" s="10"/>
      <c r="E116" s="10"/>
      <c r="F116" s="10" t="s">
        <v>236</v>
      </c>
      <c r="G116" s="4" t="s">
        <v>64</v>
      </c>
      <c r="H116" s="4"/>
      <c r="I116" s="4">
        <f t="shared" si="4"/>
        <v>3500</v>
      </c>
      <c r="J116" s="4">
        <v>3500</v>
      </c>
      <c r="K116" s="4">
        <f t="shared" si="5"/>
        <v>0</v>
      </c>
      <c r="L116" s="1">
        <v>3500</v>
      </c>
      <c r="M116" s="93">
        <f t="shared" si="6"/>
        <v>0</v>
      </c>
      <c r="N116" s="2"/>
      <c r="O116" s="97"/>
      <c r="P116" s="52"/>
    </row>
    <row r="117" spans="1:16" ht="40.950000000000003" customHeight="1" x14ac:dyDescent="0.3">
      <c r="A117" s="4">
        <v>40</v>
      </c>
      <c r="B117" s="10" t="s">
        <v>235</v>
      </c>
      <c r="C117" s="10"/>
      <c r="D117" s="10"/>
      <c r="E117" s="10"/>
      <c r="F117" s="10" t="s">
        <v>236</v>
      </c>
      <c r="G117" s="4" t="s">
        <v>128</v>
      </c>
      <c r="H117" s="4"/>
      <c r="I117" s="4">
        <f t="shared" si="4"/>
        <v>3500</v>
      </c>
      <c r="J117" s="4">
        <v>3500</v>
      </c>
      <c r="K117" s="4">
        <f t="shared" si="5"/>
        <v>0</v>
      </c>
      <c r="L117" s="1">
        <v>3500</v>
      </c>
      <c r="M117" s="93">
        <f t="shared" si="6"/>
        <v>0</v>
      </c>
      <c r="N117" s="2"/>
      <c r="O117" s="97"/>
      <c r="P117" s="52"/>
    </row>
    <row r="118" spans="1:16" ht="40.950000000000003" customHeight="1" x14ac:dyDescent="0.3">
      <c r="A118" s="4">
        <v>40</v>
      </c>
      <c r="B118" s="10" t="s">
        <v>235</v>
      </c>
      <c r="C118" s="10"/>
      <c r="D118" s="10"/>
      <c r="E118" s="10"/>
      <c r="F118" s="10" t="s">
        <v>236</v>
      </c>
      <c r="G118" s="4" t="s">
        <v>122</v>
      </c>
      <c r="H118" s="4"/>
      <c r="I118" s="4">
        <f t="shared" si="4"/>
        <v>3400</v>
      </c>
      <c r="J118" s="4">
        <v>3500</v>
      </c>
      <c r="K118" s="4">
        <f t="shared" si="5"/>
        <v>0</v>
      </c>
      <c r="L118" s="1">
        <v>3500</v>
      </c>
      <c r="M118" s="93">
        <f t="shared" si="6"/>
        <v>0</v>
      </c>
      <c r="N118" s="2">
        <v>100</v>
      </c>
      <c r="O118" s="97">
        <v>100</v>
      </c>
      <c r="P118" s="52"/>
    </row>
    <row r="119" spans="1:16" ht="40.950000000000003" customHeight="1" x14ac:dyDescent="0.3">
      <c r="A119" s="4">
        <v>40</v>
      </c>
      <c r="B119" s="10" t="s">
        <v>235</v>
      </c>
      <c r="C119" s="10"/>
      <c r="D119" s="10"/>
      <c r="E119" s="10"/>
      <c r="F119" s="10" t="s">
        <v>236</v>
      </c>
      <c r="G119" s="4" t="s">
        <v>143</v>
      </c>
      <c r="H119" s="4"/>
      <c r="I119" s="4">
        <f t="shared" si="4"/>
        <v>3500</v>
      </c>
      <c r="J119" s="4">
        <v>3500</v>
      </c>
      <c r="K119" s="4">
        <f t="shared" si="5"/>
        <v>0</v>
      </c>
      <c r="L119" s="1">
        <v>3500</v>
      </c>
      <c r="M119" s="93">
        <f t="shared" si="6"/>
        <v>0</v>
      </c>
      <c r="N119" s="2"/>
      <c r="O119" s="97"/>
      <c r="P119" s="52"/>
    </row>
    <row r="120" spans="1:16" ht="40.950000000000003" customHeight="1" x14ac:dyDescent="0.3">
      <c r="A120" s="4">
        <v>41</v>
      </c>
      <c r="B120" s="10" t="s">
        <v>201</v>
      </c>
      <c r="C120" s="10"/>
      <c r="D120" s="10"/>
      <c r="E120" s="10"/>
      <c r="F120" s="10" t="s">
        <v>236</v>
      </c>
      <c r="G120" s="4" t="s">
        <v>49</v>
      </c>
      <c r="H120" s="4"/>
      <c r="I120" s="4">
        <f t="shared" si="4"/>
        <v>3500</v>
      </c>
      <c r="J120" s="4">
        <v>3500</v>
      </c>
      <c r="K120" s="4">
        <f t="shared" si="5"/>
        <v>0</v>
      </c>
      <c r="L120" s="1">
        <v>3500</v>
      </c>
      <c r="M120" s="93">
        <f t="shared" si="6"/>
        <v>0</v>
      </c>
      <c r="N120" s="2"/>
      <c r="O120" s="97"/>
      <c r="P120" s="52"/>
    </row>
    <row r="121" spans="1:16" ht="40.950000000000003" customHeight="1" x14ac:dyDescent="0.3">
      <c r="A121" s="4">
        <v>42</v>
      </c>
      <c r="B121" s="10" t="s">
        <v>150</v>
      </c>
      <c r="C121" s="10"/>
      <c r="D121" s="10"/>
      <c r="E121" s="10"/>
      <c r="F121" s="10" t="s">
        <v>236</v>
      </c>
      <c r="G121" s="4" t="s">
        <v>70</v>
      </c>
      <c r="H121" s="4"/>
      <c r="I121" s="4">
        <f t="shared" si="4"/>
        <v>1500</v>
      </c>
      <c r="J121" s="4">
        <v>1500</v>
      </c>
      <c r="K121" s="4">
        <f t="shared" si="5"/>
        <v>0</v>
      </c>
      <c r="L121" s="1">
        <v>1500</v>
      </c>
      <c r="M121" s="93">
        <f t="shared" si="6"/>
        <v>0</v>
      </c>
      <c r="N121" s="2"/>
      <c r="O121" s="97"/>
      <c r="P121" s="52"/>
    </row>
    <row r="122" spans="1:16" ht="40.950000000000003" customHeight="1" x14ac:dyDescent="0.3">
      <c r="A122" s="4">
        <v>43</v>
      </c>
      <c r="B122" s="10" t="s">
        <v>232</v>
      </c>
      <c r="C122" s="10"/>
      <c r="D122" s="10"/>
      <c r="E122" s="10"/>
      <c r="F122" s="10" t="s">
        <v>233</v>
      </c>
      <c r="G122" s="4" t="s">
        <v>7</v>
      </c>
      <c r="H122" s="4"/>
      <c r="I122" s="4">
        <f t="shared" si="4"/>
        <v>3600</v>
      </c>
      <c r="J122" s="4">
        <v>3600</v>
      </c>
      <c r="K122" s="4">
        <f t="shared" si="5"/>
        <v>0</v>
      </c>
      <c r="L122" s="1">
        <v>3600</v>
      </c>
      <c r="M122" s="93">
        <f t="shared" si="6"/>
        <v>0</v>
      </c>
      <c r="N122" s="2"/>
      <c r="O122" s="97"/>
      <c r="P122" s="52"/>
    </row>
    <row r="123" spans="1:16" ht="40.950000000000003" customHeight="1" x14ac:dyDescent="0.3">
      <c r="A123" s="4">
        <v>43</v>
      </c>
      <c r="B123" s="10" t="s">
        <v>232</v>
      </c>
      <c r="C123" s="10"/>
      <c r="D123" s="10"/>
      <c r="E123" s="10"/>
      <c r="F123" s="10" t="s">
        <v>233</v>
      </c>
      <c r="G123" s="4" t="s">
        <v>8</v>
      </c>
      <c r="H123" s="4"/>
      <c r="I123" s="4">
        <f t="shared" si="4"/>
        <v>3600</v>
      </c>
      <c r="J123" s="4">
        <v>3600</v>
      </c>
      <c r="K123" s="4">
        <f t="shared" si="5"/>
        <v>0</v>
      </c>
      <c r="L123" s="1">
        <v>3600</v>
      </c>
      <c r="M123" s="93">
        <f t="shared" si="6"/>
        <v>0</v>
      </c>
      <c r="N123" s="2"/>
      <c r="O123" s="97"/>
      <c r="P123" s="52"/>
    </row>
    <row r="124" spans="1:16" ht="40.950000000000003" customHeight="1" x14ac:dyDescent="0.3">
      <c r="A124" s="4">
        <v>43</v>
      </c>
      <c r="B124" s="10" t="s">
        <v>232</v>
      </c>
      <c r="C124" s="10"/>
      <c r="D124" s="10"/>
      <c r="E124" s="10"/>
      <c r="F124" s="10" t="s">
        <v>233</v>
      </c>
      <c r="G124" s="4" t="s">
        <v>9</v>
      </c>
      <c r="H124" s="4"/>
      <c r="I124" s="4">
        <f t="shared" si="4"/>
        <v>3600</v>
      </c>
      <c r="J124" s="4">
        <v>3600</v>
      </c>
      <c r="K124" s="4">
        <f t="shared" si="5"/>
        <v>0</v>
      </c>
      <c r="L124" s="1">
        <v>3600</v>
      </c>
      <c r="M124" s="93">
        <f t="shared" si="6"/>
        <v>0</v>
      </c>
      <c r="N124" s="2"/>
      <c r="O124" s="97"/>
      <c r="P124" s="52"/>
    </row>
    <row r="125" spans="1:16" ht="40.950000000000003" customHeight="1" x14ac:dyDescent="0.3">
      <c r="A125" s="4">
        <v>43</v>
      </c>
      <c r="B125" s="10" t="s">
        <v>232</v>
      </c>
      <c r="C125" s="10"/>
      <c r="D125" s="10"/>
      <c r="E125" s="10"/>
      <c r="F125" s="10" t="s">
        <v>233</v>
      </c>
      <c r="G125" s="4" t="s">
        <v>11</v>
      </c>
      <c r="H125" s="4"/>
      <c r="I125" s="4">
        <f t="shared" si="4"/>
        <v>3600</v>
      </c>
      <c r="J125" s="4">
        <v>3600</v>
      </c>
      <c r="K125" s="4">
        <f t="shared" si="5"/>
        <v>0</v>
      </c>
      <c r="L125" s="1">
        <v>3600</v>
      </c>
      <c r="M125" s="93">
        <f t="shared" si="6"/>
        <v>0</v>
      </c>
      <c r="N125" s="2"/>
      <c r="O125" s="97"/>
      <c r="P125" s="52"/>
    </row>
    <row r="126" spans="1:16" ht="40.950000000000003" customHeight="1" x14ac:dyDescent="0.3">
      <c r="A126" s="4">
        <v>43</v>
      </c>
      <c r="B126" s="10" t="s">
        <v>232</v>
      </c>
      <c r="C126" s="10"/>
      <c r="D126" s="10"/>
      <c r="E126" s="10"/>
      <c r="F126" s="10" t="s">
        <v>233</v>
      </c>
      <c r="G126" s="4" t="s">
        <v>70</v>
      </c>
      <c r="H126" s="4"/>
      <c r="I126" s="4">
        <f t="shared" si="4"/>
        <v>3600</v>
      </c>
      <c r="J126" s="4">
        <v>3600</v>
      </c>
      <c r="K126" s="4">
        <f t="shared" si="5"/>
        <v>0</v>
      </c>
      <c r="L126" s="1">
        <v>3600</v>
      </c>
      <c r="M126" s="93">
        <f t="shared" si="6"/>
        <v>0</v>
      </c>
      <c r="N126" s="2"/>
      <c r="O126" s="97"/>
      <c r="P126" s="52"/>
    </row>
    <row r="127" spans="1:16" ht="40.950000000000003" customHeight="1" x14ac:dyDescent="0.3">
      <c r="A127" s="4">
        <v>43</v>
      </c>
      <c r="B127" s="10" t="s">
        <v>232</v>
      </c>
      <c r="C127" s="10"/>
      <c r="D127" s="10"/>
      <c r="E127" s="10"/>
      <c r="F127" s="10" t="s">
        <v>233</v>
      </c>
      <c r="G127" s="4" t="s">
        <v>90</v>
      </c>
      <c r="H127" s="4"/>
      <c r="I127" s="4">
        <f t="shared" si="4"/>
        <v>3600</v>
      </c>
      <c r="J127" s="4">
        <v>3600</v>
      </c>
      <c r="K127" s="4">
        <f t="shared" si="5"/>
        <v>0</v>
      </c>
      <c r="L127" s="1">
        <v>3600</v>
      </c>
      <c r="M127" s="93">
        <f t="shared" si="6"/>
        <v>0</v>
      </c>
      <c r="N127" s="2"/>
      <c r="O127" s="97"/>
      <c r="P127" s="52"/>
    </row>
    <row r="128" spans="1:16" ht="40.950000000000003" customHeight="1" x14ac:dyDescent="0.3">
      <c r="A128" s="4">
        <v>43</v>
      </c>
      <c r="B128" s="10" t="s">
        <v>232</v>
      </c>
      <c r="C128" s="10"/>
      <c r="D128" s="10"/>
      <c r="E128" s="10"/>
      <c r="F128" s="10" t="s">
        <v>233</v>
      </c>
      <c r="G128" s="4" t="s">
        <v>48</v>
      </c>
      <c r="H128" s="4"/>
      <c r="I128" s="4">
        <f t="shared" si="4"/>
        <v>3600</v>
      </c>
      <c r="J128" s="4">
        <v>3600</v>
      </c>
      <c r="K128" s="4">
        <f t="shared" si="5"/>
        <v>0</v>
      </c>
      <c r="L128" s="1">
        <v>3600</v>
      </c>
      <c r="M128" s="93">
        <f t="shared" si="6"/>
        <v>0</v>
      </c>
      <c r="N128" s="2"/>
      <c r="O128" s="97"/>
      <c r="P128" s="52"/>
    </row>
    <row r="129" spans="1:16" ht="40.950000000000003" customHeight="1" x14ac:dyDescent="0.3">
      <c r="A129" s="4">
        <v>43</v>
      </c>
      <c r="B129" s="10" t="s">
        <v>232</v>
      </c>
      <c r="C129" s="10"/>
      <c r="D129" s="10"/>
      <c r="E129" s="10"/>
      <c r="F129" s="10" t="s">
        <v>233</v>
      </c>
      <c r="G129" s="4" t="s">
        <v>49</v>
      </c>
      <c r="H129" s="4"/>
      <c r="I129" s="4">
        <f t="shared" si="4"/>
        <v>3600</v>
      </c>
      <c r="J129" s="4">
        <v>3600</v>
      </c>
      <c r="K129" s="4">
        <f t="shared" si="5"/>
        <v>0</v>
      </c>
      <c r="L129" s="1">
        <v>3600</v>
      </c>
      <c r="M129" s="93">
        <f t="shared" si="6"/>
        <v>0</v>
      </c>
      <c r="N129" s="2"/>
      <c r="O129" s="97"/>
      <c r="P129" s="52"/>
    </row>
    <row r="130" spans="1:16" ht="40.950000000000003" customHeight="1" x14ac:dyDescent="0.3">
      <c r="A130" s="4">
        <v>43</v>
      </c>
      <c r="B130" s="10" t="s">
        <v>232</v>
      </c>
      <c r="C130" s="10"/>
      <c r="D130" s="10"/>
      <c r="E130" s="10"/>
      <c r="F130" s="10" t="s">
        <v>233</v>
      </c>
      <c r="G130" s="4" t="s">
        <v>272</v>
      </c>
      <c r="H130" s="4"/>
      <c r="I130" s="4">
        <f t="shared" si="4"/>
        <v>3600</v>
      </c>
      <c r="J130" s="4">
        <v>3600</v>
      </c>
      <c r="K130" s="4">
        <f t="shared" si="5"/>
        <v>0</v>
      </c>
      <c r="L130" s="1">
        <v>3600</v>
      </c>
      <c r="M130" s="93">
        <f t="shared" si="6"/>
        <v>0</v>
      </c>
      <c r="N130" s="2"/>
      <c r="O130" s="97"/>
      <c r="P130" s="52"/>
    </row>
    <row r="131" spans="1:16" ht="40.950000000000003" customHeight="1" x14ac:dyDescent="0.3">
      <c r="A131" s="4">
        <v>43</v>
      </c>
      <c r="B131" s="10" t="s">
        <v>232</v>
      </c>
      <c r="C131" s="10"/>
      <c r="D131" s="10"/>
      <c r="E131" s="10"/>
      <c r="F131" s="10" t="s">
        <v>233</v>
      </c>
      <c r="G131" s="4" t="s">
        <v>282</v>
      </c>
      <c r="H131" s="4"/>
      <c r="I131" s="4">
        <f t="shared" si="4"/>
        <v>3600</v>
      </c>
      <c r="J131" s="4">
        <v>3600</v>
      </c>
      <c r="K131" s="4">
        <f t="shared" si="5"/>
        <v>0</v>
      </c>
      <c r="L131" s="1">
        <v>3600</v>
      </c>
      <c r="M131" s="93">
        <f t="shared" si="6"/>
        <v>0</v>
      </c>
      <c r="N131" s="2"/>
      <c r="O131" s="97"/>
      <c r="P131" s="52"/>
    </row>
    <row r="132" spans="1:16" ht="40.950000000000003" customHeight="1" x14ac:dyDescent="0.3">
      <c r="A132" s="4">
        <v>43</v>
      </c>
      <c r="B132" s="10" t="s">
        <v>232</v>
      </c>
      <c r="C132" s="10"/>
      <c r="D132" s="10"/>
      <c r="E132" s="10"/>
      <c r="F132" s="10" t="s">
        <v>233</v>
      </c>
      <c r="G132" s="4" t="s">
        <v>246</v>
      </c>
      <c r="H132" s="4"/>
      <c r="I132" s="4">
        <f t="shared" si="4"/>
        <v>3600</v>
      </c>
      <c r="J132" s="4">
        <v>3600</v>
      </c>
      <c r="K132" s="4">
        <f t="shared" si="5"/>
        <v>0</v>
      </c>
      <c r="L132" s="1">
        <v>3600</v>
      </c>
      <c r="M132" s="93">
        <f t="shared" si="6"/>
        <v>0</v>
      </c>
      <c r="N132" s="2"/>
      <c r="O132" s="97"/>
      <c r="P132" s="52"/>
    </row>
    <row r="133" spans="1:16" ht="40.950000000000003" customHeight="1" x14ac:dyDescent="0.3">
      <c r="A133" s="4">
        <v>43</v>
      </c>
      <c r="B133" s="10" t="s">
        <v>232</v>
      </c>
      <c r="C133" s="10"/>
      <c r="D133" s="10"/>
      <c r="E133" s="10"/>
      <c r="F133" s="10" t="s">
        <v>233</v>
      </c>
      <c r="G133" s="4" t="s">
        <v>252</v>
      </c>
      <c r="H133" s="4"/>
      <c r="I133" s="4">
        <f t="shared" si="4"/>
        <v>3600</v>
      </c>
      <c r="J133" s="4">
        <v>3600</v>
      </c>
      <c r="K133" s="4">
        <f t="shared" si="5"/>
        <v>0</v>
      </c>
      <c r="L133" s="1">
        <v>3600</v>
      </c>
      <c r="M133" s="93">
        <f t="shared" si="6"/>
        <v>0</v>
      </c>
      <c r="N133" s="2"/>
      <c r="O133" s="97"/>
      <c r="P133" s="52"/>
    </row>
    <row r="134" spans="1:16" ht="40.950000000000003" customHeight="1" x14ac:dyDescent="0.3">
      <c r="A134" s="4">
        <v>43</v>
      </c>
      <c r="B134" s="10" t="s">
        <v>232</v>
      </c>
      <c r="C134" s="10"/>
      <c r="D134" s="10"/>
      <c r="E134" s="10"/>
      <c r="F134" s="10" t="s">
        <v>233</v>
      </c>
      <c r="G134" s="4" t="s">
        <v>281</v>
      </c>
      <c r="H134" s="4"/>
      <c r="I134" s="4">
        <f t="shared" si="4"/>
        <v>3600</v>
      </c>
      <c r="J134" s="4">
        <v>3600</v>
      </c>
      <c r="K134" s="4">
        <f t="shared" si="5"/>
        <v>0</v>
      </c>
      <c r="L134" s="1">
        <v>3600</v>
      </c>
      <c r="M134" s="93">
        <f t="shared" si="6"/>
        <v>0</v>
      </c>
      <c r="N134" s="2"/>
      <c r="O134" s="97"/>
      <c r="P134" s="52"/>
    </row>
    <row r="135" spans="1:16" ht="40.950000000000003" customHeight="1" x14ac:dyDescent="0.3">
      <c r="A135" s="4">
        <v>43</v>
      </c>
      <c r="B135" s="10" t="s">
        <v>232</v>
      </c>
      <c r="C135" s="10"/>
      <c r="D135" s="10"/>
      <c r="E135" s="10"/>
      <c r="F135" s="10" t="s">
        <v>233</v>
      </c>
      <c r="G135" s="4" t="s">
        <v>253</v>
      </c>
      <c r="H135" s="4"/>
      <c r="I135" s="4">
        <f t="shared" si="4"/>
        <v>3420</v>
      </c>
      <c r="J135" s="4">
        <v>3420</v>
      </c>
      <c r="K135" s="4">
        <f t="shared" si="5"/>
        <v>0</v>
      </c>
      <c r="L135" s="1">
        <v>3420</v>
      </c>
      <c r="M135" s="93">
        <f t="shared" si="6"/>
        <v>0</v>
      </c>
      <c r="N135" s="2"/>
      <c r="O135" s="97"/>
      <c r="P135" s="52"/>
    </row>
    <row r="136" spans="1:16" ht="40.950000000000003" customHeight="1" x14ac:dyDescent="0.3">
      <c r="A136" s="4">
        <v>43</v>
      </c>
      <c r="B136" s="10" t="s">
        <v>232</v>
      </c>
      <c r="C136" s="10"/>
      <c r="D136" s="10"/>
      <c r="E136" s="10"/>
      <c r="F136" s="10" t="s">
        <v>233</v>
      </c>
      <c r="G136" s="4" t="s">
        <v>280</v>
      </c>
      <c r="H136" s="4"/>
      <c r="I136" s="4">
        <f t="shared" si="4"/>
        <v>3600</v>
      </c>
      <c r="J136" s="4">
        <v>3600</v>
      </c>
      <c r="K136" s="4">
        <f t="shared" si="5"/>
        <v>0</v>
      </c>
      <c r="L136" s="1">
        <v>3600</v>
      </c>
      <c r="M136" s="93">
        <f t="shared" si="6"/>
        <v>0</v>
      </c>
      <c r="N136" s="2"/>
      <c r="O136" s="97"/>
      <c r="P136" s="52"/>
    </row>
    <row r="137" spans="1:16" ht="40.950000000000003" customHeight="1" x14ac:dyDescent="0.3">
      <c r="A137" s="4">
        <v>43</v>
      </c>
      <c r="B137" s="10" t="s">
        <v>232</v>
      </c>
      <c r="C137" s="10"/>
      <c r="D137" s="10"/>
      <c r="E137" s="10"/>
      <c r="F137" s="10" t="s">
        <v>233</v>
      </c>
      <c r="G137" s="4" t="s">
        <v>254</v>
      </c>
      <c r="H137" s="4"/>
      <c r="I137" s="4">
        <f t="shared" ref="I137:I200" si="7">J137-O137</f>
        <v>3600</v>
      </c>
      <c r="J137" s="4">
        <v>3600</v>
      </c>
      <c r="K137" s="4">
        <f t="shared" ref="K137:K200" si="8">L137-J137</f>
        <v>0</v>
      </c>
      <c r="L137" s="1">
        <v>3600</v>
      </c>
      <c r="M137" s="93">
        <f t="shared" ref="M137:M200" si="9">O137-N137</f>
        <v>0</v>
      </c>
      <c r="N137" s="2"/>
      <c r="O137" s="97"/>
      <c r="P137" s="52"/>
    </row>
    <row r="138" spans="1:16" ht="40.950000000000003" customHeight="1" x14ac:dyDescent="0.3">
      <c r="A138" s="4">
        <v>43</v>
      </c>
      <c r="B138" s="10" t="s">
        <v>232</v>
      </c>
      <c r="C138" s="10"/>
      <c r="D138" s="10"/>
      <c r="E138" s="10"/>
      <c r="F138" s="10" t="s">
        <v>233</v>
      </c>
      <c r="G138" s="4" t="s">
        <v>279</v>
      </c>
      <c r="H138" s="4"/>
      <c r="I138" s="4">
        <f t="shared" si="7"/>
        <v>3600</v>
      </c>
      <c r="J138" s="4">
        <v>3600</v>
      </c>
      <c r="K138" s="4">
        <f t="shared" si="8"/>
        <v>0</v>
      </c>
      <c r="L138" s="1">
        <v>3600</v>
      </c>
      <c r="M138" s="93">
        <f t="shared" si="9"/>
        <v>0</v>
      </c>
      <c r="N138" s="2"/>
      <c r="O138" s="97"/>
      <c r="P138" s="52"/>
    </row>
    <row r="139" spans="1:16" ht="40.950000000000003" customHeight="1" x14ac:dyDescent="0.3">
      <c r="A139" s="4">
        <v>43</v>
      </c>
      <c r="B139" s="10" t="s">
        <v>232</v>
      </c>
      <c r="C139" s="10"/>
      <c r="D139" s="10"/>
      <c r="E139" s="10"/>
      <c r="F139" s="10" t="s">
        <v>233</v>
      </c>
      <c r="G139" s="4" t="s">
        <v>181</v>
      </c>
      <c r="H139" s="4"/>
      <c r="I139" s="4">
        <f t="shared" si="7"/>
        <v>2240</v>
      </c>
      <c r="J139" s="4">
        <v>2240</v>
      </c>
      <c r="K139" s="4">
        <f t="shared" si="8"/>
        <v>0</v>
      </c>
      <c r="L139" s="1">
        <v>2240</v>
      </c>
      <c r="M139" s="93">
        <f t="shared" si="9"/>
        <v>0</v>
      </c>
      <c r="N139" s="2"/>
      <c r="O139" s="97"/>
      <c r="P139" s="52"/>
    </row>
    <row r="140" spans="1:16" ht="40.950000000000003" customHeight="1" x14ac:dyDescent="0.3">
      <c r="A140" s="4">
        <v>43</v>
      </c>
      <c r="B140" s="10" t="s">
        <v>232</v>
      </c>
      <c r="C140" s="10"/>
      <c r="D140" s="10"/>
      <c r="E140" s="10"/>
      <c r="F140" s="10" t="s">
        <v>233</v>
      </c>
      <c r="G140" s="4" t="s">
        <v>200</v>
      </c>
      <c r="H140" s="4"/>
      <c r="I140" s="4">
        <f t="shared" si="7"/>
        <v>900</v>
      </c>
      <c r="J140" s="4">
        <v>900</v>
      </c>
      <c r="K140" s="4">
        <f t="shared" si="8"/>
        <v>0</v>
      </c>
      <c r="L140" s="1">
        <v>900</v>
      </c>
      <c r="M140" s="93">
        <f t="shared" si="9"/>
        <v>0</v>
      </c>
      <c r="N140" s="2"/>
      <c r="O140" s="97"/>
      <c r="P140" s="52"/>
    </row>
    <row r="141" spans="1:16" ht="40.950000000000003" customHeight="1" x14ac:dyDescent="0.3">
      <c r="A141" s="4">
        <v>43</v>
      </c>
      <c r="B141" s="10" t="s">
        <v>232</v>
      </c>
      <c r="C141" s="10"/>
      <c r="D141" s="10"/>
      <c r="E141" s="10"/>
      <c r="F141" s="10" t="s">
        <v>233</v>
      </c>
      <c r="G141" s="4" t="s">
        <v>22</v>
      </c>
      <c r="H141" s="4"/>
      <c r="I141" s="4">
        <f t="shared" si="7"/>
        <v>2160</v>
      </c>
      <c r="J141" s="4">
        <v>2160</v>
      </c>
      <c r="K141" s="4">
        <f t="shared" si="8"/>
        <v>0</v>
      </c>
      <c r="L141" s="1">
        <v>2160</v>
      </c>
      <c r="M141" s="93">
        <f t="shared" si="9"/>
        <v>0</v>
      </c>
      <c r="N141" s="2"/>
      <c r="O141" s="97"/>
      <c r="P141" s="52"/>
    </row>
    <row r="142" spans="1:16" ht="40.950000000000003" customHeight="1" x14ac:dyDescent="0.3">
      <c r="A142" s="4">
        <v>44</v>
      </c>
      <c r="B142" s="10" t="s">
        <v>150</v>
      </c>
      <c r="C142" s="10"/>
      <c r="D142" s="10"/>
      <c r="E142" s="10"/>
      <c r="F142" s="10" t="s">
        <v>233</v>
      </c>
      <c r="G142" s="4" t="s">
        <v>22</v>
      </c>
      <c r="H142" s="4"/>
      <c r="I142" s="4">
        <f t="shared" si="7"/>
        <v>1440</v>
      </c>
      <c r="J142" s="4">
        <v>1440</v>
      </c>
      <c r="K142" s="4">
        <f t="shared" si="8"/>
        <v>0</v>
      </c>
      <c r="L142" s="1">
        <v>1440</v>
      </c>
      <c r="M142" s="93">
        <f t="shared" si="9"/>
        <v>0</v>
      </c>
      <c r="N142" s="2"/>
      <c r="O142" s="97"/>
      <c r="P142" s="52"/>
    </row>
    <row r="143" spans="1:16" ht="40.950000000000003" customHeight="1" x14ac:dyDescent="0.3">
      <c r="A143" s="4">
        <v>45</v>
      </c>
      <c r="B143" s="10" t="s">
        <v>235</v>
      </c>
      <c r="C143" s="10"/>
      <c r="D143" s="10"/>
      <c r="E143" s="10"/>
      <c r="F143" s="10" t="s">
        <v>278</v>
      </c>
      <c r="G143" s="4" t="s">
        <v>7</v>
      </c>
      <c r="H143" s="4"/>
      <c r="I143" s="4">
        <f t="shared" si="7"/>
        <v>8500</v>
      </c>
      <c r="J143" s="4">
        <v>8500</v>
      </c>
      <c r="K143" s="4">
        <f t="shared" si="8"/>
        <v>0</v>
      </c>
      <c r="L143" s="1">
        <v>8500</v>
      </c>
      <c r="M143" s="93">
        <f t="shared" si="9"/>
        <v>0</v>
      </c>
      <c r="N143" s="2"/>
      <c r="O143" s="97"/>
      <c r="P143" s="52"/>
    </row>
    <row r="144" spans="1:16" ht="40.950000000000003" customHeight="1" x14ac:dyDescent="0.3">
      <c r="A144" s="4">
        <v>46</v>
      </c>
      <c r="B144" s="10" t="s">
        <v>303</v>
      </c>
      <c r="C144" s="10"/>
      <c r="D144" s="10"/>
      <c r="E144" s="10"/>
      <c r="F144" s="10" t="s">
        <v>278</v>
      </c>
      <c r="G144" s="4" t="s">
        <v>11</v>
      </c>
      <c r="H144" s="4"/>
      <c r="I144" s="4">
        <f t="shared" si="7"/>
        <v>6500</v>
      </c>
      <c r="J144" s="4">
        <v>6500</v>
      </c>
      <c r="K144" s="4">
        <f t="shared" si="8"/>
        <v>0</v>
      </c>
      <c r="L144" s="1">
        <v>6500</v>
      </c>
      <c r="M144" s="93">
        <f t="shared" si="9"/>
        <v>0</v>
      </c>
      <c r="N144" s="2"/>
      <c r="O144" s="97"/>
      <c r="P144" s="52"/>
    </row>
    <row r="145" spans="1:16" ht="40.950000000000003" customHeight="1" x14ac:dyDescent="0.3">
      <c r="A145" s="4">
        <v>47</v>
      </c>
      <c r="B145" s="10" t="s">
        <v>339</v>
      </c>
      <c r="C145" s="10"/>
      <c r="D145" s="10"/>
      <c r="E145" s="10"/>
      <c r="F145" s="10" t="s">
        <v>278</v>
      </c>
      <c r="G145" s="4" t="s">
        <v>9</v>
      </c>
      <c r="H145" s="4"/>
      <c r="I145" s="4">
        <f t="shared" si="7"/>
        <v>6500</v>
      </c>
      <c r="J145" s="4">
        <v>6500</v>
      </c>
      <c r="K145" s="4">
        <f t="shared" si="8"/>
        <v>0</v>
      </c>
      <c r="L145" s="1">
        <v>6500</v>
      </c>
      <c r="M145" s="93">
        <f t="shared" si="9"/>
        <v>0</v>
      </c>
      <c r="N145" s="2"/>
      <c r="O145" s="97"/>
      <c r="P145" s="52"/>
    </row>
    <row r="146" spans="1:16" ht="40.950000000000003" customHeight="1" x14ac:dyDescent="0.3">
      <c r="A146" s="4">
        <v>47</v>
      </c>
      <c r="B146" s="10" t="s">
        <v>339</v>
      </c>
      <c r="C146" s="10"/>
      <c r="D146" s="10"/>
      <c r="E146" s="10"/>
      <c r="F146" s="10" t="s">
        <v>278</v>
      </c>
      <c r="G146" s="4" t="s">
        <v>39</v>
      </c>
      <c r="H146" s="4"/>
      <c r="I146" s="4">
        <f t="shared" si="7"/>
        <v>6500</v>
      </c>
      <c r="J146" s="4">
        <v>6500</v>
      </c>
      <c r="K146" s="4">
        <f t="shared" si="8"/>
        <v>0</v>
      </c>
      <c r="L146" s="1">
        <v>6500</v>
      </c>
      <c r="M146" s="93">
        <f t="shared" si="9"/>
        <v>0</v>
      </c>
      <c r="N146" s="2"/>
      <c r="O146" s="97"/>
      <c r="P146" s="52"/>
    </row>
    <row r="147" spans="1:16" ht="40.950000000000003" customHeight="1" x14ac:dyDescent="0.3">
      <c r="A147" s="4">
        <v>47</v>
      </c>
      <c r="B147" s="10" t="s">
        <v>339</v>
      </c>
      <c r="C147" s="10"/>
      <c r="D147" s="10"/>
      <c r="E147" s="10"/>
      <c r="F147" s="10" t="s">
        <v>278</v>
      </c>
      <c r="G147" s="4" t="s">
        <v>114</v>
      </c>
      <c r="H147" s="4"/>
      <c r="I147" s="4">
        <f t="shared" si="7"/>
        <v>6500</v>
      </c>
      <c r="J147" s="4">
        <v>6500</v>
      </c>
      <c r="K147" s="4">
        <f t="shared" si="8"/>
        <v>0</v>
      </c>
      <c r="L147" s="1">
        <v>6500</v>
      </c>
      <c r="M147" s="93">
        <f t="shared" si="9"/>
        <v>0</v>
      </c>
      <c r="N147" s="2"/>
      <c r="O147" s="97"/>
      <c r="P147" s="52"/>
    </row>
    <row r="148" spans="1:16" ht="40.950000000000003" customHeight="1" x14ac:dyDescent="0.3">
      <c r="A148" s="4">
        <v>47</v>
      </c>
      <c r="B148" s="10" t="s">
        <v>339</v>
      </c>
      <c r="C148" s="10"/>
      <c r="D148" s="10"/>
      <c r="E148" s="10"/>
      <c r="F148" s="10" t="s">
        <v>278</v>
      </c>
      <c r="G148" s="4" t="s">
        <v>128</v>
      </c>
      <c r="H148" s="4"/>
      <c r="I148" s="4">
        <f t="shared" si="7"/>
        <v>6500</v>
      </c>
      <c r="J148" s="4">
        <v>6500</v>
      </c>
      <c r="K148" s="4">
        <f t="shared" si="8"/>
        <v>0</v>
      </c>
      <c r="L148" s="1">
        <v>6500</v>
      </c>
      <c r="M148" s="93">
        <f t="shared" si="9"/>
        <v>0</v>
      </c>
      <c r="N148" s="2"/>
      <c r="O148" s="97"/>
      <c r="P148" s="52"/>
    </row>
    <row r="149" spans="1:16" ht="40.950000000000003" customHeight="1" x14ac:dyDescent="0.3">
      <c r="A149" s="4">
        <v>47</v>
      </c>
      <c r="B149" s="10" t="s">
        <v>339</v>
      </c>
      <c r="C149" s="10"/>
      <c r="D149" s="10"/>
      <c r="E149" s="10"/>
      <c r="F149" s="10" t="s">
        <v>278</v>
      </c>
      <c r="G149" s="4" t="s">
        <v>64</v>
      </c>
      <c r="H149" s="4"/>
      <c r="I149" s="4">
        <f t="shared" si="7"/>
        <v>6500</v>
      </c>
      <c r="J149" s="4">
        <v>6500</v>
      </c>
      <c r="K149" s="4">
        <f t="shared" si="8"/>
        <v>0</v>
      </c>
      <c r="L149" s="1">
        <v>6500</v>
      </c>
      <c r="M149" s="93">
        <f t="shared" si="9"/>
        <v>0</v>
      </c>
      <c r="N149" s="2"/>
      <c r="O149" s="97"/>
      <c r="P149" s="52"/>
    </row>
    <row r="150" spans="1:16" ht="40.950000000000003" customHeight="1" x14ac:dyDescent="0.3">
      <c r="A150" s="4">
        <v>47</v>
      </c>
      <c r="B150" s="10" t="s">
        <v>339</v>
      </c>
      <c r="C150" s="10"/>
      <c r="D150" s="10"/>
      <c r="E150" s="10"/>
      <c r="F150" s="10" t="s">
        <v>278</v>
      </c>
      <c r="G150" s="4" t="s">
        <v>70</v>
      </c>
      <c r="H150" s="4"/>
      <c r="I150" s="4">
        <f t="shared" si="7"/>
        <v>6500</v>
      </c>
      <c r="J150" s="4">
        <v>6500</v>
      </c>
      <c r="K150" s="4">
        <f t="shared" si="8"/>
        <v>0</v>
      </c>
      <c r="L150" s="1">
        <v>6500</v>
      </c>
      <c r="M150" s="93">
        <f t="shared" si="9"/>
        <v>0</v>
      </c>
      <c r="N150" s="2"/>
      <c r="O150" s="97"/>
      <c r="P150" s="52"/>
    </row>
    <row r="151" spans="1:16" ht="40.950000000000003" customHeight="1" x14ac:dyDescent="0.3">
      <c r="A151" s="4">
        <v>47</v>
      </c>
      <c r="B151" s="10" t="s">
        <v>339</v>
      </c>
      <c r="C151" s="10"/>
      <c r="D151" s="10"/>
      <c r="E151" s="10"/>
      <c r="F151" s="10" t="s">
        <v>278</v>
      </c>
      <c r="G151" s="4" t="s">
        <v>90</v>
      </c>
      <c r="H151" s="4"/>
      <c r="I151" s="4">
        <f t="shared" si="7"/>
        <v>6500</v>
      </c>
      <c r="J151" s="4">
        <v>6500</v>
      </c>
      <c r="K151" s="4">
        <f t="shared" si="8"/>
        <v>0</v>
      </c>
      <c r="L151" s="1">
        <v>6500</v>
      </c>
      <c r="M151" s="93">
        <f t="shared" si="9"/>
        <v>0</v>
      </c>
      <c r="N151" s="2"/>
      <c r="O151" s="97"/>
      <c r="P151" s="52"/>
    </row>
    <row r="152" spans="1:16" ht="40.950000000000003" customHeight="1" x14ac:dyDescent="0.3">
      <c r="A152" s="4">
        <v>47</v>
      </c>
      <c r="B152" s="10" t="s">
        <v>339</v>
      </c>
      <c r="C152" s="10"/>
      <c r="D152" s="10"/>
      <c r="E152" s="10"/>
      <c r="F152" s="10" t="s">
        <v>278</v>
      </c>
      <c r="G152" s="4" t="s">
        <v>272</v>
      </c>
      <c r="H152" s="4"/>
      <c r="I152" s="4">
        <f t="shared" si="7"/>
        <v>6500</v>
      </c>
      <c r="J152" s="4">
        <v>6500</v>
      </c>
      <c r="K152" s="4">
        <f t="shared" si="8"/>
        <v>0</v>
      </c>
      <c r="L152" s="1">
        <v>6500</v>
      </c>
      <c r="M152" s="93">
        <f t="shared" si="9"/>
        <v>0</v>
      </c>
      <c r="N152" s="2"/>
      <c r="O152" s="97"/>
      <c r="P152" s="52"/>
    </row>
    <row r="153" spans="1:16" ht="40.950000000000003" customHeight="1" x14ac:dyDescent="0.3">
      <c r="A153" s="4">
        <v>47</v>
      </c>
      <c r="B153" s="10" t="s">
        <v>339</v>
      </c>
      <c r="C153" s="10"/>
      <c r="D153" s="10"/>
      <c r="E153" s="10"/>
      <c r="F153" s="10" t="s">
        <v>278</v>
      </c>
      <c r="G153" s="4" t="s">
        <v>282</v>
      </c>
      <c r="H153" s="4"/>
      <c r="I153" s="4">
        <f t="shared" si="7"/>
        <v>6500</v>
      </c>
      <c r="J153" s="4">
        <v>6500</v>
      </c>
      <c r="K153" s="4">
        <f t="shared" si="8"/>
        <v>0</v>
      </c>
      <c r="L153" s="1">
        <v>6500</v>
      </c>
      <c r="M153" s="93">
        <f t="shared" si="9"/>
        <v>0</v>
      </c>
      <c r="N153" s="2"/>
      <c r="O153" s="97"/>
      <c r="P153" s="52"/>
    </row>
    <row r="154" spans="1:16" ht="40.950000000000003" customHeight="1" x14ac:dyDescent="0.3">
      <c r="A154" s="4">
        <v>47</v>
      </c>
      <c r="B154" s="10" t="s">
        <v>339</v>
      </c>
      <c r="C154" s="10"/>
      <c r="D154" s="10"/>
      <c r="E154" s="10"/>
      <c r="F154" s="10" t="s">
        <v>278</v>
      </c>
      <c r="G154" s="4" t="s">
        <v>254</v>
      </c>
      <c r="H154" s="4"/>
      <c r="I154" s="4">
        <f t="shared" si="7"/>
        <v>6500</v>
      </c>
      <c r="J154" s="4">
        <v>6500</v>
      </c>
      <c r="K154" s="4">
        <f t="shared" si="8"/>
        <v>0</v>
      </c>
      <c r="L154" s="1">
        <v>6500</v>
      </c>
      <c r="M154" s="93">
        <f t="shared" si="9"/>
        <v>0</v>
      </c>
      <c r="N154" s="2"/>
      <c r="O154" s="97"/>
      <c r="P154" s="52"/>
    </row>
    <row r="155" spans="1:16" ht="40.950000000000003" customHeight="1" x14ac:dyDescent="0.3">
      <c r="A155" s="4">
        <v>47</v>
      </c>
      <c r="B155" s="10" t="s">
        <v>339</v>
      </c>
      <c r="C155" s="10"/>
      <c r="D155" s="10"/>
      <c r="E155" s="10"/>
      <c r="F155" s="10" t="s">
        <v>278</v>
      </c>
      <c r="G155" s="4" t="s">
        <v>279</v>
      </c>
      <c r="H155" s="4"/>
      <c r="I155" s="4">
        <f t="shared" si="7"/>
        <v>6500</v>
      </c>
      <c r="J155" s="4">
        <v>6500</v>
      </c>
      <c r="K155" s="4">
        <f t="shared" si="8"/>
        <v>0</v>
      </c>
      <c r="L155" s="1">
        <v>6500</v>
      </c>
      <c r="M155" s="93">
        <f t="shared" si="9"/>
        <v>0</v>
      </c>
      <c r="N155" s="2"/>
      <c r="O155" s="97"/>
      <c r="P155" s="52"/>
    </row>
    <row r="156" spans="1:16" ht="40.950000000000003" customHeight="1" x14ac:dyDescent="0.3">
      <c r="A156" s="4">
        <v>47</v>
      </c>
      <c r="B156" s="10" t="s">
        <v>339</v>
      </c>
      <c r="C156" s="10"/>
      <c r="D156" s="10"/>
      <c r="E156" s="10"/>
      <c r="F156" s="10" t="s">
        <v>278</v>
      </c>
      <c r="G156" s="4" t="s">
        <v>199</v>
      </c>
      <c r="H156" s="4"/>
      <c r="I156" s="4">
        <f t="shared" si="7"/>
        <v>900</v>
      </c>
      <c r="J156" s="4">
        <v>900</v>
      </c>
      <c r="K156" s="4">
        <f t="shared" si="8"/>
        <v>0</v>
      </c>
      <c r="L156" s="1">
        <v>900</v>
      </c>
      <c r="M156" s="93">
        <f t="shared" si="9"/>
        <v>0</v>
      </c>
      <c r="N156" s="2"/>
      <c r="O156" s="97"/>
      <c r="P156" s="52"/>
    </row>
    <row r="157" spans="1:16" ht="40.950000000000003" customHeight="1" x14ac:dyDescent="0.3">
      <c r="A157" s="4">
        <v>47</v>
      </c>
      <c r="B157" s="10" t="s">
        <v>339</v>
      </c>
      <c r="C157" s="10"/>
      <c r="D157" s="10"/>
      <c r="E157" s="10"/>
      <c r="F157" s="10" t="s">
        <v>278</v>
      </c>
      <c r="G157" s="4" t="s">
        <v>200</v>
      </c>
      <c r="H157" s="4"/>
      <c r="I157" s="4">
        <f t="shared" si="7"/>
        <v>1600</v>
      </c>
      <c r="J157" s="4">
        <v>1700</v>
      </c>
      <c r="K157" s="4">
        <f t="shared" si="8"/>
        <v>0</v>
      </c>
      <c r="L157" s="1">
        <v>1700</v>
      </c>
      <c r="M157" s="93">
        <f t="shared" si="9"/>
        <v>0</v>
      </c>
      <c r="N157" s="2">
        <v>100</v>
      </c>
      <c r="O157" s="97">
        <v>100</v>
      </c>
      <c r="P157" s="52"/>
    </row>
    <row r="158" spans="1:16" ht="40.950000000000003" customHeight="1" x14ac:dyDescent="0.3">
      <c r="A158" s="4">
        <v>47</v>
      </c>
      <c r="B158" s="10" t="s">
        <v>339</v>
      </c>
      <c r="C158" s="10"/>
      <c r="D158" s="10"/>
      <c r="E158" s="10"/>
      <c r="F158" s="10" t="s">
        <v>278</v>
      </c>
      <c r="G158" s="4" t="s">
        <v>198</v>
      </c>
      <c r="H158" s="4"/>
      <c r="I158" s="4">
        <f t="shared" si="7"/>
        <v>1850</v>
      </c>
      <c r="J158" s="4">
        <v>1850</v>
      </c>
      <c r="K158" s="4">
        <f t="shared" si="8"/>
        <v>0</v>
      </c>
      <c r="L158" s="1">
        <v>1850</v>
      </c>
      <c r="M158" s="93">
        <f t="shared" si="9"/>
        <v>0</v>
      </c>
      <c r="N158" s="2"/>
      <c r="O158" s="97"/>
      <c r="P158" s="52"/>
    </row>
    <row r="159" spans="1:16" ht="40.950000000000003" customHeight="1" x14ac:dyDescent="0.3">
      <c r="A159" s="4">
        <v>47</v>
      </c>
      <c r="B159" s="10" t="s">
        <v>339</v>
      </c>
      <c r="C159" s="10"/>
      <c r="D159" s="10"/>
      <c r="E159" s="10"/>
      <c r="F159" s="10" t="s">
        <v>278</v>
      </c>
      <c r="G159" s="4" t="s">
        <v>8</v>
      </c>
      <c r="H159" s="4"/>
      <c r="I159" s="4">
        <f t="shared" si="7"/>
        <v>6500</v>
      </c>
      <c r="J159" s="4">
        <v>6500</v>
      </c>
      <c r="K159" s="4">
        <f t="shared" si="8"/>
        <v>0</v>
      </c>
      <c r="L159" s="1">
        <v>6500</v>
      </c>
      <c r="M159" s="93">
        <f t="shared" si="9"/>
        <v>0</v>
      </c>
      <c r="N159" s="2"/>
      <c r="O159" s="97"/>
      <c r="P159" s="52"/>
    </row>
    <row r="160" spans="1:16" ht="40.950000000000003" customHeight="1" x14ac:dyDescent="0.3">
      <c r="A160" s="4">
        <v>48</v>
      </c>
      <c r="B160" s="10" t="s">
        <v>332</v>
      </c>
      <c r="C160" s="10"/>
      <c r="D160" s="10"/>
      <c r="E160" s="10"/>
      <c r="F160" s="10" t="s">
        <v>278</v>
      </c>
      <c r="G160" s="4" t="s">
        <v>9</v>
      </c>
      <c r="H160" s="4"/>
      <c r="I160" s="4">
        <f t="shared" si="7"/>
        <v>2000</v>
      </c>
      <c r="J160" s="4">
        <v>2000</v>
      </c>
      <c r="K160" s="4">
        <f t="shared" si="8"/>
        <v>0</v>
      </c>
      <c r="L160" s="1">
        <v>2000</v>
      </c>
      <c r="M160" s="93">
        <f t="shared" si="9"/>
        <v>0</v>
      </c>
      <c r="N160" s="2"/>
      <c r="O160" s="97"/>
      <c r="P160" s="52"/>
    </row>
    <row r="161" spans="1:16" ht="40.950000000000003" customHeight="1" x14ac:dyDescent="0.3">
      <c r="A161" s="4">
        <v>48</v>
      </c>
      <c r="B161" s="10" t="s">
        <v>332</v>
      </c>
      <c r="C161" s="10"/>
      <c r="D161" s="10"/>
      <c r="E161" s="10"/>
      <c r="F161" s="10" t="s">
        <v>278</v>
      </c>
      <c r="G161" s="4" t="s">
        <v>85</v>
      </c>
      <c r="H161" s="4"/>
      <c r="I161" s="4">
        <f t="shared" si="7"/>
        <v>2000</v>
      </c>
      <c r="J161" s="4">
        <v>2000</v>
      </c>
      <c r="K161" s="4">
        <f t="shared" si="8"/>
        <v>0</v>
      </c>
      <c r="L161" s="1">
        <v>2000</v>
      </c>
      <c r="M161" s="93">
        <f t="shared" si="9"/>
        <v>0</v>
      </c>
      <c r="N161" s="2"/>
      <c r="O161" s="97"/>
      <c r="P161" s="52"/>
    </row>
    <row r="162" spans="1:16" ht="40.950000000000003" customHeight="1" x14ac:dyDescent="0.3">
      <c r="A162" s="4">
        <v>49</v>
      </c>
      <c r="B162" s="10" t="s">
        <v>351</v>
      </c>
      <c r="C162" s="10"/>
      <c r="D162" s="10"/>
      <c r="E162" s="10"/>
      <c r="F162" s="10" t="s">
        <v>278</v>
      </c>
      <c r="G162" s="4" t="s">
        <v>85</v>
      </c>
      <c r="H162" s="4"/>
      <c r="I162" s="4">
        <f t="shared" si="7"/>
        <v>6500</v>
      </c>
      <c r="J162" s="4">
        <v>6500</v>
      </c>
      <c r="K162" s="4">
        <f t="shared" si="8"/>
        <v>0</v>
      </c>
      <c r="L162" s="1">
        <v>6500</v>
      </c>
      <c r="M162" s="93">
        <f t="shared" si="9"/>
        <v>0</v>
      </c>
      <c r="N162" s="2"/>
      <c r="O162" s="97"/>
      <c r="P162" s="52"/>
    </row>
    <row r="163" spans="1:16" ht="40.950000000000003" customHeight="1" x14ac:dyDescent="0.3">
      <c r="A163" s="4">
        <v>49</v>
      </c>
      <c r="B163" s="10" t="s">
        <v>351</v>
      </c>
      <c r="C163" s="10"/>
      <c r="D163" s="10"/>
      <c r="E163" s="10"/>
      <c r="F163" s="10" t="s">
        <v>278</v>
      </c>
      <c r="G163" s="4" t="s">
        <v>49</v>
      </c>
      <c r="H163" s="4"/>
      <c r="I163" s="4">
        <f t="shared" si="7"/>
        <v>6500</v>
      </c>
      <c r="J163" s="4">
        <v>6500</v>
      </c>
      <c r="K163" s="4">
        <f t="shared" si="8"/>
        <v>0</v>
      </c>
      <c r="L163" s="1">
        <v>6500</v>
      </c>
      <c r="M163" s="93">
        <f t="shared" si="9"/>
        <v>0</v>
      </c>
      <c r="N163" s="2"/>
      <c r="O163" s="97"/>
      <c r="P163" s="52"/>
    </row>
    <row r="164" spans="1:16" ht="40.950000000000003" customHeight="1" x14ac:dyDescent="0.3">
      <c r="A164" s="4">
        <v>49</v>
      </c>
      <c r="B164" s="10" t="s">
        <v>351</v>
      </c>
      <c r="C164" s="10"/>
      <c r="D164" s="10"/>
      <c r="E164" s="10"/>
      <c r="F164" s="10" t="s">
        <v>278</v>
      </c>
      <c r="G164" s="4" t="s">
        <v>48</v>
      </c>
      <c r="H164" s="4"/>
      <c r="I164" s="4">
        <f t="shared" si="7"/>
        <v>5200</v>
      </c>
      <c r="J164" s="4">
        <v>5200</v>
      </c>
      <c r="K164" s="4">
        <f t="shared" si="8"/>
        <v>0</v>
      </c>
      <c r="L164" s="1">
        <v>5200</v>
      </c>
      <c r="M164" s="93">
        <f t="shared" si="9"/>
        <v>0</v>
      </c>
      <c r="N164" s="2"/>
      <c r="O164" s="97"/>
      <c r="P164" s="52"/>
    </row>
    <row r="165" spans="1:16" ht="40.950000000000003" customHeight="1" x14ac:dyDescent="0.3">
      <c r="A165" s="4">
        <v>50</v>
      </c>
      <c r="B165" s="10" t="s">
        <v>260</v>
      </c>
      <c r="C165" s="10"/>
      <c r="D165" s="10"/>
      <c r="E165" s="10"/>
      <c r="F165" s="10" t="s">
        <v>278</v>
      </c>
      <c r="G165" s="4" t="s">
        <v>64</v>
      </c>
      <c r="H165" s="4"/>
      <c r="I165" s="4">
        <f t="shared" si="7"/>
        <v>2000</v>
      </c>
      <c r="J165" s="4">
        <v>2000</v>
      </c>
      <c r="K165" s="4">
        <f t="shared" si="8"/>
        <v>0</v>
      </c>
      <c r="L165" s="1">
        <v>2000</v>
      </c>
      <c r="M165" s="93">
        <f t="shared" si="9"/>
        <v>0</v>
      </c>
      <c r="N165" s="2"/>
      <c r="O165" s="97"/>
      <c r="P165" s="52"/>
    </row>
    <row r="166" spans="1:16" ht="40.950000000000003" customHeight="1" x14ac:dyDescent="0.3">
      <c r="A166" s="4">
        <v>50</v>
      </c>
      <c r="B166" s="10" t="s">
        <v>260</v>
      </c>
      <c r="C166" s="10"/>
      <c r="D166" s="10"/>
      <c r="E166" s="10"/>
      <c r="F166" s="10" t="s">
        <v>278</v>
      </c>
      <c r="G166" s="4" t="s">
        <v>70</v>
      </c>
      <c r="H166" s="4"/>
      <c r="I166" s="4">
        <f t="shared" si="7"/>
        <v>2000</v>
      </c>
      <c r="J166" s="4">
        <v>2000</v>
      </c>
      <c r="K166" s="4">
        <f t="shared" si="8"/>
        <v>0</v>
      </c>
      <c r="L166" s="1">
        <v>2000</v>
      </c>
      <c r="M166" s="93">
        <f t="shared" si="9"/>
        <v>0</v>
      </c>
      <c r="N166" s="2"/>
      <c r="O166" s="97"/>
      <c r="P166" s="52"/>
    </row>
    <row r="167" spans="1:16" ht="40.950000000000003" customHeight="1" x14ac:dyDescent="0.3">
      <c r="A167" s="4">
        <v>50</v>
      </c>
      <c r="B167" s="10" t="s">
        <v>260</v>
      </c>
      <c r="C167" s="10"/>
      <c r="D167" s="10"/>
      <c r="E167" s="10"/>
      <c r="F167" s="10" t="s">
        <v>278</v>
      </c>
      <c r="G167" s="4" t="s">
        <v>48</v>
      </c>
      <c r="H167" s="4"/>
      <c r="I167" s="4">
        <f t="shared" si="7"/>
        <v>2000</v>
      </c>
      <c r="J167" s="4">
        <v>2000</v>
      </c>
      <c r="K167" s="4">
        <f t="shared" si="8"/>
        <v>0</v>
      </c>
      <c r="L167" s="1">
        <v>2000</v>
      </c>
      <c r="M167" s="93">
        <f t="shared" si="9"/>
        <v>0</v>
      </c>
      <c r="N167" s="2"/>
      <c r="O167" s="97"/>
      <c r="P167" s="52"/>
    </row>
    <row r="168" spans="1:16" ht="40.950000000000003" customHeight="1" x14ac:dyDescent="0.3">
      <c r="A168" s="4">
        <v>50</v>
      </c>
      <c r="B168" s="10" t="s">
        <v>260</v>
      </c>
      <c r="C168" s="10"/>
      <c r="D168" s="10"/>
      <c r="E168" s="10"/>
      <c r="F168" s="10" t="s">
        <v>278</v>
      </c>
      <c r="G168" s="4" t="s">
        <v>50</v>
      </c>
      <c r="H168" s="4"/>
      <c r="I168" s="4">
        <f t="shared" si="7"/>
        <v>2000</v>
      </c>
      <c r="J168" s="4">
        <v>2000</v>
      </c>
      <c r="K168" s="4">
        <f t="shared" si="8"/>
        <v>0</v>
      </c>
      <c r="L168" s="1">
        <v>2000</v>
      </c>
      <c r="M168" s="93">
        <f t="shared" si="9"/>
        <v>0</v>
      </c>
      <c r="N168" s="2"/>
      <c r="O168" s="97"/>
      <c r="P168" s="52"/>
    </row>
    <row r="169" spans="1:16" ht="40.950000000000003" customHeight="1" x14ac:dyDescent="0.3">
      <c r="A169" s="4">
        <v>50</v>
      </c>
      <c r="B169" s="10" t="s">
        <v>260</v>
      </c>
      <c r="C169" s="10"/>
      <c r="D169" s="10"/>
      <c r="E169" s="10"/>
      <c r="F169" s="10" t="s">
        <v>278</v>
      </c>
      <c r="G169" s="4" t="s">
        <v>198</v>
      </c>
      <c r="H169" s="4"/>
      <c r="I169" s="4">
        <f t="shared" si="7"/>
        <v>1100</v>
      </c>
      <c r="J169" s="4">
        <v>1100</v>
      </c>
      <c r="K169" s="4">
        <f t="shared" si="8"/>
        <v>0</v>
      </c>
      <c r="L169" s="1">
        <v>1100</v>
      </c>
      <c r="M169" s="93">
        <f t="shared" si="9"/>
        <v>0</v>
      </c>
      <c r="N169" s="2"/>
      <c r="O169" s="97"/>
      <c r="P169" s="52"/>
    </row>
    <row r="170" spans="1:16" ht="40.950000000000003" customHeight="1" x14ac:dyDescent="0.3">
      <c r="A170" s="4">
        <v>50</v>
      </c>
      <c r="B170" s="10" t="s">
        <v>260</v>
      </c>
      <c r="C170" s="10"/>
      <c r="D170" s="10"/>
      <c r="E170" s="10"/>
      <c r="F170" s="10" t="s">
        <v>278</v>
      </c>
      <c r="G170" s="4" t="s">
        <v>200</v>
      </c>
      <c r="H170" s="4"/>
      <c r="I170" s="4">
        <f t="shared" si="7"/>
        <v>1200</v>
      </c>
      <c r="J170" s="4">
        <v>1200</v>
      </c>
      <c r="K170" s="4">
        <f t="shared" si="8"/>
        <v>0</v>
      </c>
      <c r="L170" s="1">
        <v>1200</v>
      </c>
      <c r="M170" s="93">
        <f t="shared" si="9"/>
        <v>0</v>
      </c>
      <c r="N170" s="2"/>
      <c r="O170" s="97"/>
      <c r="P170" s="52"/>
    </row>
    <row r="171" spans="1:16" ht="40.950000000000003" customHeight="1" x14ac:dyDescent="0.3">
      <c r="A171" s="4">
        <v>50</v>
      </c>
      <c r="B171" s="10" t="s">
        <v>260</v>
      </c>
      <c r="C171" s="10"/>
      <c r="D171" s="10"/>
      <c r="E171" s="10"/>
      <c r="F171" s="10" t="s">
        <v>278</v>
      </c>
      <c r="G171" s="4" t="s">
        <v>199</v>
      </c>
      <c r="H171" s="4" t="s">
        <v>650</v>
      </c>
      <c r="I171" s="4">
        <f t="shared" si="7"/>
        <v>600</v>
      </c>
      <c r="J171" s="4">
        <v>700</v>
      </c>
      <c r="K171" s="4">
        <f t="shared" si="8"/>
        <v>0</v>
      </c>
      <c r="L171" s="1">
        <v>700</v>
      </c>
      <c r="M171" s="93">
        <f t="shared" si="9"/>
        <v>0</v>
      </c>
      <c r="N171" s="2">
        <v>100</v>
      </c>
      <c r="O171" s="97">
        <f>100</f>
        <v>100</v>
      </c>
      <c r="P171" s="52"/>
    </row>
    <row r="172" spans="1:16" ht="40.950000000000003" customHeight="1" x14ac:dyDescent="0.3">
      <c r="A172" s="4">
        <v>50</v>
      </c>
      <c r="B172" s="10" t="s">
        <v>260</v>
      </c>
      <c r="C172" s="10"/>
      <c r="D172" s="10"/>
      <c r="E172" s="10"/>
      <c r="F172" s="10" t="s">
        <v>278</v>
      </c>
      <c r="G172" s="4" t="s">
        <v>51</v>
      </c>
      <c r="H172" s="4"/>
      <c r="I172" s="4">
        <f t="shared" si="7"/>
        <v>2000</v>
      </c>
      <c r="J172" s="4">
        <v>2000</v>
      </c>
      <c r="K172" s="4">
        <f t="shared" si="8"/>
        <v>0</v>
      </c>
      <c r="L172" s="1">
        <v>2000</v>
      </c>
      <c r="M172" s="93">
        <f t="shared" si="9"/>
        <v>0</v>
      </c>
      <c r="N172" s="2"/>
      <c r="O172" s="97"/>
      <c r="P172" s="52"/>
    </row>
    <row r="173" spans="1:16" ht="40.950000000000003" customHeight="1" x14ac:dyDescent="0.3">
      <c r="A173" s="4">
        <v>50</v>
      </c>
      <c r="B173" s="10" t="s">
        <v>260</v>
      </c>
      <c r="C173" s="10"/>
      <c r="D173" s="10"/>
      <c r="E173" s="10"/>
      <c r="F173" s="10" t="s">
        <v>278</v>
      </c>
      <c r="G173" s="4" t="s">
        <v>39</v>
      </c>
      <c r="H173" s="4"/>
      <c r="I173" s="4">
        <f t="shared" si="7"/>
        <v>2000</v>
      </c>
      <c r="J173" s="4">
        <v>2000</v>
      </c>
      <c r="K173" s="4">
        <f t="shared" si="8"/>
        <v>0</v>
      </c>
      <c r="L173" s="1">
        <v>2000</v>
      </c>
      <c r="M173" s="93">
        <f t="shared" si="9"/>
        <v>0</v>
      </c>
      <c r="N173" s="2"/>
      <c r="O173" s="97"/>
      <c r="P173" s="52"/>
    </row>
    <row r="174" spans="1:16" ht="40.950000000000003" customHeight="1" x14ac:dyDescent="0.3">
      <c r="A174" s="4">
        <v>50</v>
      </c>
      <c r="B174" s="10" t="s">
        <v>260</v>
      </c>
      <c r="C174" s="10"/>
      <c r="D174" s="10"/>
      <c r="E174" s="10"/>
      <c r="F174" s="10" t="s">
        <v>278</v>
      </c>
      <c r="G174" s="4" t="s">
        <v>143</v>
      </c>
      <c r="H174" s="4"/>
      <c r="I174" s="4">
        <f t="shared" si="7"/>
        <v>2000</v>
      </c>
      <c r="J174" s="4">
        <v>2000</v>
      </c>
      <c r="K174" s="4">
        <f t="shared" si="8"/>
        <v>0</v>
      </c>
      <c r="L174" s="1">
        <v>2000</v>
      </c>
      <c r="M174" s="93">
        <f t="shared" si="9"/>
        <v>0</v>
      </c>
      <c r="N174" s="2"/>
      <c r="O174" s="97"/>
      <c r="P174" s="52"/>
    </row>
    <row r="175" spans="1:16" ht="40.950000000000003" customHeight="1" x14ac:dyDescent="0.3">
      <c r="A175" s="4">
        <v>50</v>
      </c>
      <c r="B175" s="10" t="s">
        <v>260</v>
      </c>
      <c r="C175" s="10"/>
      <c r="D175" s="10"/>
      <c r="E175" s="10"/>
      <c r="F175" s="10" t="s">
        <v>278</v>
      </c>
      <c r="G175" s="4" t="s">
        <v>122</v>
      </c>
      <c r="H175" s="4"/>
      <c r="I175" s="4">
        <f t="shared" si="7"/>
        <v>2000</v>
      </c>
      <c r="J175" s="4">
        <v>2000</v>
      </c>
      <c r="K175" s="4">
        <f t="shared" si="8"/>
        <v>0</v>
      </c>
      <c r="L175" s="1">
        <v>2000</v>
      </c>
      <c r="M175" s="93">
        <f t="shared" si="9"/>
        <v>0</v>
      </c>
      <c r="N175" s="2"/>
      <c r="O175" s="97"/>
      <c r="P175" s="52"/>
    </row>
    <row r="176" spans="1:16" ht="40.950000000000003" customHeight="1" x14ac:dyDescent="0.3">
      <c r="A176" s="4">
        <v>50</v>
      </c>
      <c r="B176" s="10" t="s">
        <v>260</v>
      </c>
      <c r="C176" s="10"/>
      <c r="D176" s="10"/>
      <c r="E176" s="10"/>
      <c r="F176" s="10" t="s">
        <v>278</v>
      </c>
      <c r="G176" s="4" t="s">
        <v>49</v>
      </c>
      <c r="H176" s="4"/>
      <c r="I176" s="4">
        <f t="shared" si="7"/>
        <v>2000</v>
      </c>
      <c r="J176" s="4">
        <v>2000</v>
      </c>
      <c r="K176" s="4">
        <f t="shared" si="8"/>
        <v>0</v>
      </c>
      <c r="L176" s="1">
        <v>2000</v>
      </c>
      <c r="M176" s="93">
        <f t="shared" si="9"/>
        <v>0</v>
      </c>
      <c r="N176" s="2"/>
      <c r="O176" s="97"/>
      <c r="P176" s="52"/>
    </row>
    <row r="177" spans="1:16" ht="40.950000000000003" customHeight="1" x14ac:dyDescent="0.3">
      <c r="A177" s="4">
        <v>51</v>
      </c>
      <c r="B177" s="10" t="s">
        <v>400</v>
      </c>
      <c r="C177" s="10"/>
      <c r="D177" s="10"/>
      <c r="E177" s="10"/>
      <c r="F177" s="10" t="s">
        <v>278</v>
      </c>
      <c r="G177" s="4" t="s">
        <v>90</v>
      </c>
      <c r="H177" s="4"/>
      <c r="I177" s="4">
        <f t="shared" si="7"/>
        <v>2000</v>
      </c>
      <c r="J177" s="4">
        <v>2000</v>
      </c>
      <c r="K177" s="4">
        <f t="shared" si="8"/>
        <v>0</v>
      </c>
      <c r="L177" s="1">
        <v>2000</v>
      </c>
      <c r="M177" s="93">
        <f t="shared" si="9"/>
        <v>0</v>
      </c>
      <c r="N177" s="2"/>
      <c r="O177" s="97"/>
      <c r="P177" s="52"/>
    </row>
    <row r="178" spans="1:16" ht="40.950000000000003" customHeight="1" x14ac:dyDescent="0.3">
      <c r="A178" s="4">
        <v>52</v>
      </c>
      <c r="B178" s="10" t="s">
        <v>457</v>
      </c>
      <c r="C178" s="10"/>
      <c r="D178" s="10"/>
      <c r="E178" s="10"/>
      <c r="F178" s="10" t="s">
        <v>458</v>
      </c>
      <c r="G178" s="4" t="s">
        <v>169</v>
      </c>
      <c r="H178" s="4">
        <v>3</v>
      </c>
      <c r="I178" s="4">
        <f t="shared" si="7"/>
        <v>16821</v>
      </c>
      <c r="J178" s="4">
        <v>18261</v>
      </c>
      <c r="K178" s="4">
        <f t="shared" si="8"/>
        <v>0</v>
      </c>
      <c r="L178" s="1">
        <v>18261</v>
      </c>
      <c r="M178" s="93">
        <f t="shared" si="9"/>
        <v>0</v>
      </c>
      <c r="N178" s="2">
        <v>1440</v>
      </c>
      <c r="O178" s="97">
        <f>1200+240</f>
        <v>1440</v>
      </c>
      <c r="P178" s="52"/>
    </row>
    <row r="179" spans="1:16" ht="40.950000000000003" customHeight="1" x14ac:dyDescent="0.3">
      <c r="A179" s="4">
        <v>52</v>
      </c>
      <c r="B179" s="10" t="s">
        <v>457</v>
      </c>
      <c r="C179" s="10"/>
      <c r="D179" s="10"/>
      <c r="E179" s="10"/>
      <c r="F179" s="10" t="s">
        <v>458</v>
      </c>
      <c r="G179" s="4" t="s">
        <v>411</v>
      </c>
      <c r="H179" s="4">
        <v>3</v>
      </c>
      <c r="I179" s="4">
        <f t="shared" si="7"/>
        <v>14880</v>
      </c>
      <c r="J179" s="4">
        <v>15840</v>
      </c>
      <c r="K179" s="4">
        <f t="shared" si="8"/>
        <v>0</v>
      </c>
      <c r="L179" s="1">
        <v>15840</v>
      </c>
      <c r="M179" s="93">
        <f t="shared" si="9"/>
        <v>0</v>
      </c>
      <c r="N179" s="2">
        <v>960</v>
      </c>
      <c r="O179" s="97">
        <v>960</v>
      </c>
      <c r="P179" s="52"/>
    </row>
    <row r="180" spans="1:16" ht="40.950000000000003" customHeight="1" x14ac:dyDescent="0.3">
      <c r="A180" s="4">
        <v>53</v>
      </c>
      <c r="B180" s="10" t="s">
        <v>273</v>
      </c>
      <c r="C180" s="10" t="s">
        <v>344</v>
      </c>
      <c r="D180" s="10"/>
      <c r="E180" s="10"/>
      <c r="F180" s="10" t="s">
        <v>274</v>
      </c>
      <c r="G180" s="4" t="s">
        <v>200</v>
      </c>
      <c r="H180" s="4"/>
      <c r="I180" s="4">
        <f t="shared" si="7"/>
        <v>864505</v>
      </c>
      <c r="J180" s="4">
        <v>864505</v>
      </c>
      <c r="K180" s="4">
        <f t="shared" si="8"/>
        <v>0</v>
      </c>
      <c r="L180" s="1">
        <v>864505</v>
      </c>
      <c r="M180" s="93">
        <f t="shared" si="9"/>
        <v>0</v>
      </c>
      <c r="N180" s="2"/>
      <c r="O180" s="97"/>
      <c r="P180" s="52"/>
    </row>
    <row r="181" spans="1:16" ht="40.950000000000003" customHeight="1" x14ac:dyDescent="0.3">
      <c r="A181" s="4">
        <v>54</v>
      </c>
      <c r="B181" s="10" t="s">
        <v>429</v>
      </c>
      <c r="C181" s="10"/>
      <c r="D181" s="10"/>
      <c r="E181" s="10"/>
      <c r="F181" s="10" t="s">
        <v>430</v>
      </c>
      <c r="G181" s="4" t="s">
        <v>169</v>
      </c>
      <c r="H181" s="4">
        <v>7</v>
      </c>
      <c r="I181" s="4">
        <f t="shared" si="7"/>
        <v>177199</v>
      </c>
      <c r="J181" s="4">
        <v>178499</v>
      </c>
      <c r="K181" s="4">
        <f t="shared" si="8"/>
        <v>0</v>
      </c>
      <c r="L181" s="1">
        <v>178499</v>
      </c>
      <c r="M181" s="93">
        <f t="shared" si="9"/>
        <v>0</v>
      </c>
      <c r="N181" s="2">
        <v>1300</v>
      </c>
      <c r="O181" s="97">
        <f>400+180+720</f>
        <v>1300</v>
      </c>
      <c r="P181" s="52" t="s">
        <v>1291</v>
      </c>
    </row>
    <row r="182" spans="1:16" ht="40.950000000000003" customHeight="1" x14ac:dyDescent="0.3">
      <c r="A182" s="4">
        <v>55</v>
      </c>
      <c r="B182" s="10" t="s">
        <v>337</v>
      </c>
      <c r="C182" s="11"/>
      <c r="D182" s="11"/>
      <c r="E182" s="11"/>
      <c r="F182" s="10" t="s">
        <v>338</v>
      </c>
      <c r="G182" s="4" t="s">
        <v>7</v>
      </c>
      <c r="H182" s="4">
        <v>10</v>
      </c>
      <c r="I182" s="4">
        <f t="shared" si="7"/>
        <v>245618</v>
      </c>
      <c r="J182" s="4">
        <v>246078</v>
      </c>
      <c r="K182" s="4">
        <f t="shared" si="8"/>
        <v>0</v>
      </c>
      <c r="L182" s="1">
        <v>246078</v>
      </c>
      <c r="M182" s="93">
        <f t="shared" si="9"/>
        <v>0</v>
      </c>
      <c r="N182" s="2">
        <v>460</v>
      </c>
      <c r="O182" s="97">
        <v>460</v>
      </c>
      <c r="P182" s="52">
        <v>0.93</v>
      </c>
    </row>
    <row r="183" spans="1:16" ht="40.950000000000003" customHeight="1" x14ac:dyDescent="0.3">
      <c r="A183" s="4">
        <v>55</v>
      </c>
      <c r="B183" s="10" t="s">
        <v>337</v>
      </c>
      <c r="C183" s="11"/>
      <c r="D183" s="11"/>
      <c r="E183" s="11"/>
      <c r="F183" s="10" t="s">
        <v>338</v>
      </c>
      <c r="G183" s="4" t="s">
        <v>8</v>
      </c>
      <c r="H183" s="4">
        <v>12</v>
      </c>
      <c r="I183" s="4">
        <f t="shared" si="7"/>
        <v>242381</v>
      </c>
      <c r="J183" s="4">
        <v>243451</v>
      </c>
      <c r="K183" s="4">
        <f t="shared" si="8"/>
        <v>0</v>
      </c>
      <c r="L183" s="1">
        <v>243451</v>
      </c>
      <c r="M183" s="93">
        <f t="shared" si="9"/>
        <v>0</v>
      </c>
      <c r="N183" s="2">
        <v>1070</v>
      </c>
      <c r="O183" s="97">
        <v>1070</v>
      </c>
      <c r="P183" s="52">
        <v>0.93</v>
      </c>
    </row>
    <row r="184" spans="1:16" ht="40.950000000000003" customHeight="1" x14ac:dyDescent="0.3">
      <c r="A184" s="4">
        <v>55</v>
      </c>
      <c r="B184" s="10" t="s">
        <v>337</v>
      </c>
      <c r="C184" s="11"/>
      <c r="D184" s="11"/>
      <c r="E184" s="11"/>
      <c r="F184" s="10" t="s">
        <v>338</v>
      </c>
      <c r="G184" s="4" t="s">
        <v>9</v>
      </c>
      <c r="H184" s="4">
        <v>8</v>
      </c>
      <c r="I184" s="4">
        <f t="shared" si="7"/>
        <v>243217</v>
      </c>
      <c r="J184" s="4">
        <v>243217</v>
      </c>
      <c r="K184" s="4">
        <f t="shared" si="8"/>
        <v>0</v>
      </c>
      <c r="L184" s="1">
        <v>243217</v>
      </c>
      <c r="M184" s="93">
        <f t="shared" si="9"/>
        <v>0</v>
      </c>
      <c r="N184" s="2"/>
      <c r="O184" s="97"/>
      <c r="P184" s="52"/>
    </row>
    <row r="185" spans="1:16" ht="40.950000000000003" customHeight="1" x14ac:dyDescent="0.3">
      <c r="A185" s="4">
        <v>55</v>
      </c>
      <c r="B185" s="10" t="s">
        <v>337</v>
      </c>
      <c r="C185" s="11"/>
      <c r="D185" s="11"/>
      <c r="E185" s="11"/>
      <c r="F185" s="10" t="s">
        <v>338</v>
      </c>
      <c r="G185" s="4" t="s">
        <v>11</v>
      </c>
      <c r="H185" s="4">
        <v>11</v>
      </c>
      <c r="I185" s="4">
        <f t="shared" si="7"/>
        <v>239426</v>
      </c>
      <c r="J185" s="4">
        <v>240676</v>
      </c>
      <c r="K185" s="4">
        <f t="shared" si="8"/>
        <v>0</v>
      </c>
      <c r="L185" s="1">
        <v>240676</v>
      </c>
      <c r="M185" s="93">
        <f t="shared" si="9"/>
        <v>0</v>
      </c>
      <c r="N185" s="2">
        <v>1250</v>
      </c>
      <c r="O185" s="97">
        <v>1250</v>
      </c>
      <c r="P185" s="52">
        <v>0.93</v>
      </c>
    </row>
    <row r="186" spans="1:16" ht="40.950000000000003" customHeight="1" x14ac:dyDescent="0.3">
      <c r="A186" s="4">
        <v>55</v>
      </c>
      <c r="B186" s="10" t="s">
        <v>337</v>
      </c>
      <c r="C186" s="11"/>
      <c r="D186" s="11"/>
      <c r="E186" s="11"/>
      <c r="F186" s="10" t="s">
        <v>338</v>
      </c>
      <c r="G186" s="4" t="s">
        <v>70</v>
      </c>
      <c r="H186" s="4">
        <v>12</v>
      </c>
      <c r="I186" s="4">
        <f t="shared" si="7"/>
        <v>241550</v>
      </c>
      <c r="J186" s="4">
        <v>241710</v>
      </c>
      <c r="K186" s="4">
        <f t="shared" si="8"/>
        <v>0</v>
      </c>
      <c r="L186" s="1">
        <v>241710</v>
      </c>
      <c r="M186" s="93">
        <f t="shared" si="9"/>
        <v>0</v>
      </c>
      <c r="N186" s="2">
        <v>160</v>
      </c>
      <c r="O186" s="97">
        <v>160</v>
      </c>
      <c r="P186" s="52">
        <v>0.93</v>
      </c>
    </row>
    <row r="187" spans="1:16" ht="40.950000000000003" customHeight="1" x14ac:dyDescent="0.3">
      <c r="A187" s="4">
        <v>55</v>
      </c>
      <c r="B187" s="10" t="s">
        <v>337</v>
      </c>
      <c r="C187" s="11"/>
      <c r="D187" s="11"/>
      <c r="E187" s="11"/>
      <c r="F187" s="10" t="s">
        <v>338</v>
      </c>
      <c r="G187" s="4" t="s">
        <v>90</v>
      </c>
      <c r="H187" s="4">
        <v>8</v>
      </c>
      <c r="I187" s="4">
        <f t="shared" si="7"/>
        <v>92218</v>
      </c>
      <c r="J187" s="4">
        <v>92218</v>
      </c>
      <c r="K187" s="4">
        <f t="shared" si="8"/>
        <v>0</v>
      </c>
      <c r="L187" s="1">
        <v>92218</v>
      </c>
      <c r="M187" s="93">
        <f t="shared" si="9"/>
        <v>0</v>
      </c>
      <c r="N187" s="2"/>
      <c r="O187" s="97"/>
      <c r="P187" s="52"/>
    </row>
    <row r="188" spans="1:16" ht="40.950000000000003" customHeight="1" x14ac:dyDescent="0.3">
      <c r="A188" s="4">
        <v>55</v>
      </c>
      <c r="B188" s="10" t="s">
        <v>337</v>
      </c>
      <c r="C188" s="11"/>
      <c r="D188" s="11"/>
      <c r="E188" s="11"/>
      <c r="F188" s="10" t="s">
        <v>338</v>
      </c>
      <c r="G188" s="4" t="s">
        <v>383</v>
      </c>
      <c r="H188" s="4">
        <v>7</v>
      </c>
      <c r="I188" s="4">
        <f t="shared" si="7"/>
        <v>89673</v>
      </c>
      <c r="J188" s="4">
        <v>89973</v>
      </c>
      <c r="K188" s="4">
        <f t="shared" si="8"/>
        <v>0</v>
      </c>
      <c r="L188" s="1">
        <v>89973</v>
      </c>
      <c r="M188" s="93">
        <f t="shared" si="9"/>
        <v>0</v>
      </c>
      <c r="N188" s="2">
        <v>300</v>
      </c>
      <c r="O188" s="97">
        <f>300</f>
        <v>300</v>
      </c>
      <c r="P188" s="52"/>
    </row>
    <row r="189" spans="1:16" ht="40.950000000000003" customHeight="1" x14ac:dyDescent="0.3">
      <c r="A189" s="4">
        <v>55</v>
      </c>
      <c r="B189" s="10" t="s">
        <v>337</v>
      </c>
      <c r="C189" s="11"/>
      <c r="D189" s="11"/>
      <c r="E189" s="11"/>
      <c r="F189" s="10" t="s">
        <v>338</v>
      </c>
      <c r="G189" s="4" t="s">
        <v>49</v>
      </c>
      <c r="H189" s="4">
        <v>12</v>
      </c>
      <c r="I189" s="4">
        <f t="shared" si="7"/>
        <v>245570</v>
      </c>
      <c r="J189" s="4">
        <v>245870</v>
      </c>
      <c r="K189" s="4">
        <f t="shared" si="8"/>
        <v>0</v>
      </c>
      <c r="L189" s="1">
        <v>245870</v>
      </c>
      <c r="M189" s="93">
        <f t="shared" si="9"/>
        <v>0</v>
      </c>
      <c r="N189" s="2">
        <v>300</v>
      </c>
      <c r="O189" s="97">
        <v>300</v>
      </c>
      <c r="P189" s="52">
        <v>0.93</v>
      </c>
    </row>
    <row r="190" spans="1:16" ht="40.950000000000003" customHeight="1" x14ac:dyDescent="0.3">
      <c r="A190" s="4">
        <v>55</v>
      </c>
      <c r="B190" s="10" t="s">
        <v>337</v>
      </c>
      <c r="C190" s="11"/>
      <c r="D190" s="11"/>
      <c r="E190" s="11"/>
      <c r="F190" s="10" t="s">
        <v>338</v>
      </c>
      <c r="G190" s="4" t="s">
        <v>50</v>
      </c>
      <c r="H190" s="4">
        <v>13</v>
      </c>
      <c r="I190" s="4">
        <f t="shared" si="7"/>
        <v>244196</v>
      </c>
      <c r="J190" s="4">
        <v>245116</v>
      </c>
      <c r="K190" s="4">
        <f t="shared" si="8"/>
        <v>0</v>
      </c>
      <c r="L190" s="1">
        <v>245116</v>
      </c>
      <c r="M190" s="93">
        <f t="shared" si="9"/>
        <v>0</v>
      </c>
      <c r="N190" s="2">
        <v>920</v>
      </c>
      <c r="O190" s="97">
        <v>920</v>
      </c>
      <c r="P190" s="52">
        <v>0.93</v>
      </c>
    </row>
    <row r="191" spans="1:16" ht="40.950000000000003" customHeight="1" x14ac:dyDescent="0.3">
      <c r="A191" s="4">
        <v>55</v>
      </c>
      <c r="B191" s="10" t="s">
        <v>337</v>
      </c>
      <c r="C191" s="11"/>
      <c r="D191" s="11"/>
      <c r="E191" s="11"/>
      <c r="F191" s="10" t="s">
        <v>338</v>
      </c>
      <c r="G191" s="4" t="s">
        <v>51</v>
      </c>
      <c r="H191" s="4">
        <v>13</v>
      </c>
      <c r="I191" s="4">
        <f t="shared" si="7"/>
        <v>244345</v>
      </c>
      <c r="J191" s="4">
        <v>245185</v>
      </c>
      <c r="K191" s="4">
        <f t="shared" si="8"/>
        <v>0</v>
      </c>
      <c r="L191" s="1">
        <v>245185</v>
      </c>
      <c r="M191" s="93">
        <f t="shared" si="9"/>
        <v>0</v>
      </c>
      <c r="N191" s="2">
        <v>840</v>
      </c>
      <c r="O191" s="97">
        <v>840</v>
      </c>
      <c r="P191" s="52">
        <v>0.93</v>
      </c>
    </row>
    <row r="192" spans="1:16" ht="40.950000000000003" customHeight="1" x14ac:dyDescent="0.3">
      <c r="A192" s="4">
        <v>55</v>
      </c>
      <c r="B192" s="10" t="s">
        <v>337</v>
      </c>
      <c r="C192" s="11"/>
      <c r="D192" s="11"/>
      <c r="E192" s="11"/>
      <c r="F192" s="10" t="s">
        <v>338</v>
      </c>
      <c r="G192" s="4" t="s">
        <v>39</v>
      </c>
      <c r="H192" s="4">
        <v>12</v>
      </c>
      <c r="I192" s="4">
        <f t="shared" si="7"/>
        <v>243855</v>
      </c>
      <c r="J192" s="4">
        <v>245115</v>
      </c>
      <c r="K192" s="4">
        <f t="shared" si="8"/>
        <v>0</v>
      </c>
      <c r="L192" s="1">
        <v>245115</v>
      </c>
      <c r="M192" s="93">
        <f t="shared" si="9"/>
        <v>0</v>
      </c>
      <c r="N192" s="2">
        <v>1260</v>
      </c>
      <c r="O192" s="97">
        <v>1260</v>
      </c>
      <c r="P192" s="52">
        <v>0.93</v>
      </c>
    </row>
    <row r="193" spans="1:16" ht="40.950000000000003" customHeight="1" x14ac:dyDescent="0.3">
      <c r="A193" s="4">
        <v>55</v>
      </c>
      <c r="B193" s="10" t="s">
        <v>337</v>
      </c>
      <c r="C193" s="11"/>
      <c r="D193" s="11"/>
      <c r="E193" s="11"/>
      <c r="F193" s="10" t="s">
        <v>338</v>
      </c>
      <c r="G193" s="4" t="s">
        <v>114</v>
      </c>
      <c r="H193" s="4">
        <v>4</v>
      </c>
      <c r="I193" s="4">
        <f t="shared" si="7"/>
        <v>39268</v>
      </c>
      <c r="J193" s="4">
        <v>39748</v>
      </c>
      <c r="K193" s="4">
        <f t="shared" si="8"/>
        <v>0</v>
      </c>
      <c r="L193" s="1">
        <v>39748</v>
      </c>
      <c r="M193" s="93">
        <f t="shared" si="9"/>
        <v>0</v>
      </c>
      <c r="N193" s="2">
        <v>480</v>
      </c>
      <c r="O193" s="97">
        <v>480</v>
      </c>
      <c r="P193" s="52"/>
    </row>
    <row r="194" spans="1:16" ht="40.950000000000003" customHeight="1" x14ac:dyDescent="0.3">
      <c r="A194" s="4">
        <v>55</v>
      </c>
      <c r="B194" s="10" t="s">
        <v>337</v>
      </c>
      <c r="C194" s="11"/>
      <c r="D194" s="11"/>
      <c r="E194" s="11"/>
      <c r="F194" s="10" t="s">
        <v>338</v>
      </c>
      <c r="G194" s="4" t="s">
        <v>85</v>
      </c>
      <c r="H194" s="4"/>
      <c r="I194" s="4">
        <f t="shared" si="7"/>
        <v>22230</v>
      </c>
      <c r="J194" s="4">
        <v>22230</v>
      </c>
      <c r="K194" s="4">
        <f t="shared" si="8"/>
        <v>0</v>
      </c>
      <c r="L194" s="1">
        <v>22230</v>
      </c>
      <c r="M194" s="93">
        <f t="shared" si="9"/>
        <v>0</v>
      </c>
      <c r="N194" s="2"/>
      <c r="O194" s="97"/>
      <c r="P194" s="52"/>
    </row>
    <row r="195" spans="1:16" ht="40.950000000000003" customHeight="1" x14ac:dyDescent="0.3">
      <c r="A195" s="4">
        <v>55</v>
      </c>
      <c r="B195" s="10" t="s">
        <v>337</v>
      </c>
      <c r="C195" s="11"/>
      <c r="D195" s="11"/>
      <c r="E195" s="11"/>
      <c r="F195" s="10" t="s">
        <v>338</v>
      </c>
      <c r="G195" s="4" t="s">
        <v>410</v>
      </c>
      <c r="H195" s="4">
        <v>7</v>
      </c>
      <c r="I195" s="4">
        <f t="shared" si="7"/>
        <v>22230</v>
      </c>
      <c r="J195" s="4">
        <v>22230</v>
      </c>
      <c r="K195" s="4">
        <f t="shared" si="8"/>
        <v>0</v>
      </c>
      <c r="L195" s="1">
        <v>22230</v>
      </c>
      <c r="M195" s="93">
        <f t="shared" si="9"/>
        <v>0</v>
      </c>
      <c r="N195" s="2">
        <v>0</v>
      </c>
      <c r="O195" s="97">
        <f>11077*0</f>
        <v>0</v>
      </c>
      <c r="P195" s="52"/>
    </row>
    <row r="196" spans="1:16" ht="40.950000000000003" customHeight="1" x14ac:dyDescent="0.3">
      <c r="A196" s="4">
        <v>55</v>
      </c>
      <c r="B196" s="10" t="s">
        <v>337</v>
      </c>
      <c r="C196" s="11"/>
      <c r="D196" s="11"/>
      <c r="E196" s="11"/>
      <c r="F196" s="10" t="s">
        <v>338</v>
      </c>
      <c r="G196" s="4" t="s">
        <v>398</v>
      </c>
      <c r="H196" s="4">
        <v>10</v>
      </c>
      <c r="I196" s="4">
        <f t="shared" si="7"/>
        <v>247087</v>
      </c>
      <c r="J196" s="4">
        <v>247487</v>
      </c>
      <c r="K196" s="4">
        <f t="shared" si="8"/>
        <v>0</v>
      </c>
      <c r="L196" s="1">
        <v>247487</v>
      </c>
      <c r="M196" s="93">
        <f t="shared" si="9"/>
        <v>0</v>
      </c>
      <c r="N196" s="2">
        <v>400</v>
      </c>
      <c r="O196" s="97">
        <v>400</v>
      </c>
      <c r="P196" s="52">
        <v>0.93</v>
      </c>
    </row>
    <row r="197" spans="1:16" ht="40.950000000000003" customHeight="1" x14ac:dyDescent="0.3">
      <c r="A197" s="4">
        <v>55</v>
      </c>
      <c r="B197" s="10" t="s">
        <v>337</v>
      </c>
      <c r="C197" s="11"/>
      <c r="D197" s="11"/>
      <c r="E197" s="11"/>
      <c r="F197" s="10" t="s">
        <v>338</v>
      </c>
      <c r="G197" s="4" t="s">
        <v>428</v>
      </c>
      <c r="H197" s="4">
        <v>6</v>
      </c>
      <c r="I197" s="4">
        <f t="shared" si="7"/>
        <v>34020</v>
      </c>
      <c r="J197" s="4">
        <v>34020</v>
      </c>
      <c r="K197" s="4">
        <f t="shared" si="8"/>
        <v>0</v>
      </c>
      <c r="L197" s="1">
        <v>34020</v>
      </c>
      <c r="M197" s="93">
        <f t="shared" si="9"/>
        <v>0</v>
      </c>
      <c r="N197" s="2"/>
      <c r="O197" s="97"/>
      <c r="P197" s="52"/>
    </row>
    <row r="198" spans="1:16" ht="40.950000000000003" customHeight="1" x14ac:dyDescent="0.3">
      <c r="A198" s="4">
        <v>55</v>
      </c>
      <c r="B198" s="10" t="s">
        <v>337</v>
      </c>
      <c r="C198" s="11"/>
      <c r="D198" s="11"/>
      <c r="E198" s="11"/>
      <c r="F198" s="10" t="s">
        <v>338</v>
      </c>
      <c r="G198" s="4" t="s">
        <v>471</v>
      </c>
      <c r="H198" s="4">
        <v>4</v>
      </c>
      <c r="I198" s="4">
        <f t="shared" si="7"/>
        <v>25020</v>
      </c>
      <c r="J198" s="4">
        <v>25020</v>
      </c>
      <c r="K198" s="4">
        <f t="shared" si="8"/>
        <v>0</v>
      </c>
      <c r="L198" s="1">
        <v>25020</v>
      </c>
      <c r="M198" s="93">
        <f t="shared" si="9"/>
        <v>0</v>
      </c>
      <c r="N198" s="2"/>
      <c r="O198" s="97"/>
      <c r="P198" s="52"/>
    </row>
    <row r="199" spans="1:16" ht="40.950000000000003" customHeight="1" x14ac:dyDescent="0.3">
      <c r="A199" s="4">
        <v>55</v>
      </c>
      <c r="B199" s="10" t="s">
        <v>337</v>
      </c>
      <c r="C199" s="11"/>
      <c r="D199" s="11"/>
      <c r="E199" s="11"/>
      <c r="F199" s="10" t="s">
        <v>338</v>
      </c>
      <c r="G199" s="4" t="s">
        <v>22</v>
      </c>
      <c r="H199" s="4">
        <v>11</v>
      </c>
      <c r="I199" s="4">
        <f t="shared" si="7"/>
        <v>234844</v>
      </c>
      <c r="J199" s="4">
        <v>235264</v>
      </c>
      <c r="K199" s="4">
        <f t="shared" si="8"/>
        <v>0</v>
      </c>
      <c r="L199" s="1">
        <v>235264</v>
      </c>
      <c r="M199" s="93">
        <f t="shared" si="9"/>
        <v>0</v>
      </c>
      <c r="N199" s="2">
        <v>420</v>
      </c>
      <c r="O199" s="97">
        <v>420</v>
      </c>
      <c r="P199" s="52"/>
    </row>
    <row r="200" spans="1:16" ht="40.950000000000003" customHeight="1" x14ac:dyDescent="0.3">
      <c r="A200" s="4">
        <v>55</v>
      </c>
      <c r="B200" s="10" t="s">
        <v>337</v>
      </c>
      <c r="C200" s="11"/>
      <c r="D200" s="11"/>
      <c r="E200" s="11"/>
      <c r="F200" s="10" t="s">
        <v>467</v>
      </c>
      <c r="G200" s="4" t="s">
        <v>411</v>
      </c>
      <c r="H200" s="4">
        <v>7</v>
      </c>
      <c r="I200" s="4">
        <f t="shared" si="7"/>
        <v>587500</v>
      </c>
      <c r="J200" s="4">
        <v>596015</v>
      </c>
      <c r="K200" s="4">
        <f t="shared" si="8"/>
        <v>0</v>
      </c>
      <c r="L200" s="1">
        <v>596015</v>
      </c>
      <c r="M200" s="93">
        <f t="shared" si="9"/>
        <v>0</v>
      </c>
      <c r="N200" s="2">
        <v>8515</v>
      </c>
      <c r="O200" s="97">
        <f>5415+120+2980</f>
        <v>8515</v>
      </c>
      <c r="P200" s="52"/>
    </row>
    <row r="201" spans="1:16" ht="40.950000000000003" customHeight="1" x14ac:dyDescent="0.3">
      <c r="A201" s="4">
        <v>55</v>
      </c>
      <c r="B201" s="10" t="s">
        <v>337</v>
      </c>
      <c r="C201" s="11"/>
      <c r="D201" s="11"/>
      <c r="E201" s="11"/>
      <c r="F201" s="10" t="s">
        <v>338</v>
      </c>
      <c r="G201" s="4" t="s">
        <v>169</v>
      </c>
      <c r="H201" s="4">
        <v>4</v>
      </c>
      <c r="I201" s="4">
        <f t="shared" ref="I201:I269" si="10">J201-O201</f>
        <v>94607</v>
      </c>
      <c r="J201" s="4">
        <v>94927</v>
      </c>
      <c r="K201" s="4">
        <f t="shared" ref="K201:K269" si="11">L201-J201</f>
        <v>0</v>
      </c>
      <c r="L201" s="1">
        <v>94927</v>
      </c>
      <c r="M201" s="93">
        <f t="shared" ref="M201:M269" si="12">O201-N201</f>
        <v>0</v>
      </c>
      <c r="N201" s="2">
        <v>320</v>
      </c>
      <c r="O201" s="97">
        <v>320</v>
      </c>
      <c r="P201" s="52" t="s">
        <v>1199</v>
      </c>
    </row>
    <row r="202" spans="1:16" ht="40.950000000000003" customHeight="1" x14ac:dyDescent="0.3">
      <c r="A202" s="4">
        <v>55</v>
      </c>
      <c r="B202" s="10" t="s">
        <v>337</v>
      </c>
      <c r="C202" s="11"/>
      <c r="D202" s="11"/>
      <c r="E202" s="11"/>
      <c r="F202" s="10" t="s">
        <v>338</v>
      </c>
      <c r="G202" s="4" t="s">
        <v>346</v>
      </c>
      <c r="H202" s="4">
        <v>6</v>
      </c>
      <c r="I202" s="4">
        <f t="shared" si="10"/>
        <v>242306</v>
      </c>
      <c r="J202" s="4">
        <v>244266</v>
      </c>
      <c r="K202" s="4">
        <f t="shared" si="11"/>
        <v>0</v>
      </c>
      <c r="L202" s="1">
        <v>244266</v>
      </c>
      <c r="M202" s="93">
        <f t="shared" si="12"/>
        <v>0</v>
      </c>
      <c r="N202" s="2">
        <v>1960</v>
      </c>
      <c r="O202" s="97">
        <v>1960</v>
      </c>
      <c r="P202" s="52">
        <v>0.93</v>
      </c>
    </row>
    <row r="203" spans="1:16" ht="40.950000000000003" customHeight="1" x14ac:dyDescent="0.3">
      <c r="A203" s="4">
        <v>56</v>
      </c>
      <c r="B203" s="10" t="s">
        <v>356</v>
      </c>
      <c r="C203" s="10"/>
      <c r="D203" s="10"/>
      <c r="E203" s="10"/>
      <c r="F203" s="10" t="s">
        <v>338</v>
      </c>
      <c r="G203" s="4" t="s">
        <v>114</v>
      </c>
      <c r="H203" s="4">
        <v>11</v>
      </c>
      <c r="I203" s="4">
        <f t="shared" si="10"/>
        <v>191264</v>
      </c>
      <c r="J203" s="4">
        <v>195624</v>
      </c>
      <c r="K203" s="4">
        <f t="shared" si="11"/>
        <v>0</v>
      </c>
      <c r="L203" s="1">
        <v>195624</v>
      </c>
      <c r="M203" s="93">
        <f t="shared" si="12"/>
        <v>0</v>
      </c>
      <c r="N203" s="2">
        <v>4360</v>
      </c>
      <c r="O203" s="97">
        <v>4360</v>
      </c>
      <c r="P203" s="52">
        <v>0.9</v>
      </c>
    </row>
    <row r="204" spans="1:16" ht="40.950000000000003" customHeight="1" x14ac:dyDescent="0.3">
      <c r="A204" s="4">
        <v>56</v>
      </c>
      <c r="B204" s="10" t="s">
        <v>356</v>
      </c>
      <c r="C204" s="10"/>
      <c r="D204" s="10"/>
      <c r="E204" s="10"/>
      <c r="F204" s="10" t="s">
        <v>338</v>
      </c>
      <c r="G204" s="4" t="s">
        <v>122</v>
      </c>
      <c r="H204" s="4">
        <v>7</v>
      </c>
      <c r="I204" s="4">
        <f t="shared" si="10"/>
        <v>146899</v>
      </c>
      <c r="J204" s="4">
        <v>147449</v>
      </c>
      <c r="K204" s="4">
        <f t="shared" si="11"/>
        <v>0</v>
      </c>
      <c r="L204" s="1">
        <v>147449</v>
      </c>
      <c r="M204" s="93">
        <f t="shared" si="12"/>
        <v>0</v>
      </c>
      <c r="N204" s="2">
        <v>550</v>
      </c>
      <c r="O204" s="97">
        <v>550</v>
      </c>
      <c r="P204" s="52">
        <v>0.9</v>
      </c>
    </row>
    <row r="205" spans="1:16" ht="40.950000000000003" customHeight="1" x14ac:dyDescent="0.3">
      <c r="A205" s="4">
        <v>57</v>
      </c>
      <c r="B205" s="10" t="s">
        <v>399</v>
      </c>
      <c r="C205" s="10"/>
      <c r="D205" s="10"/>
      <c r="E205" s="10"/>
      <c r="F205" s="10" t="s">
        <v>338</v>
      </c>
      <c r="G205" s="4" t="s">
        <v>85</v>
      </c>
      <c r="H205" s="4">
        <v>6</v>
      </c>
      <c r="I205" s="4">
        <f t="shared" si="10"/>
        <v>195871</v>
      </c>
      <c r="J205" s="4">
        <v>196171</v>
      </c>
      <c r="K205" s="4">
        <f t="shared" si="11"/>
        <v>0</v>
      </c>
      <c r="L205" s="1">
        <v>196171</v>
      </c>
      <c r="M205" s="93">
        <f t="shared" si="12"/>
        <v>0</v>
      </c>
      <c r="N205" s="2">
        <v>300</v>
      </c>
      <c r="O205" s="97">
        <f>300</f>
        <v>300</v>
      </c>
      <c r="P205" s="52" t="s">
        <v>1137</v>
      </c>
    </row>
    <row r="206" spans="1:16" ht="40.950000000000003" customHeight="1" x14ac:dyDescent="0.3">
      <c r="A206" s="4">
        <v>57</v>
      </c>
      <c r="B206" s="10" t="s">
        <v>399</v>
      </c>
      <c r="C206" s="10"/>
      <c r="D206" s="10"/>
      <c r="E206" s="10"/>
      <c r="F206" s="10" t="s">
        <v>338</v>
      </c>
      <c r="G206" s="4" t="s">
        <v>90</v>
      </c>
      <c r="H206" s="4">
        <v>4</v>
      </c>
      <c r="I206" s="4">
        <f t="shared" si="10"/>
        <v>132927</v>
      </c>
      <c r="J206" s="4">
        <v>132927</v>
      </c>
      <c r="K206" s="4">
        <f t="shared" si="11"/>
        <v>0</v>
      </c>
      <c r="L206" s="1">
        <v>132927</v>
      </c>
      <c r="M206" s="93">
        <f t="shared" si="12"/>
        <v>0</v>
      </c>
      <c r="N206" s="2"/>
      <c r="O206" s="97"/>
      <c r="P206" s="52">
        <v>0.85</v>
      </c>
    </row>
    <row r="207" spans="1:16" ht="40.950000000000003" customHeight="1" x14ac:dyDescent="0.3">
      <c r="A207" s="4">
        <v>57</v>
      </c>
      <c r="B207" s="10" t="s">
        <v>399</v>
      </c>
      <c r="C207" s="10"/>
      <c r="D207" s="10"/>
      <c r="E207" s="10"/>
      <c r="F207" s="10" t="s">
        <v>338</v>
      </c>
      <c r="G207" s="4" t="s">
        <v>48</v>
      </c>
      <c r="H207" s="4">
        <v>6</v>
      </c>
      <c r="I207" s="4">
        <f t="shared" si="10"/>
        <v>138697</v>
      </c>
      <c r="J207" s="4">
        <v>139257</v>
      </c>
      <c r="K207" s="4">
        <f t="shared" si="11"/>
        <v>0</v>
      </c>
      <c r="L207" s="1">
        <v>139257</v>
      </c>
      <c r="M207" s="93">
        <f t="shared" si="12"/>
        <v>0</v>
      </c>
      <c r="N207" s="2">
        <v>560</v>
      </c>
      <c r="O207" s="97">
        <v>560</v>
      </c>
      <c r="P207" s="52">
        <v>0.85</v>
      </c>
    </row>
    <row r="208" spans="1:16" ht="40.950000000000003" customHeight="1" x14ac:dyDescent="0.3">
      <c r="A208" s="4">
        <v>57</v>
      </c>
      <c r="B208" s="10" t="s">
        <v>399</v>
      </c>
      <c r="C208" s="10"/>
      <c r="D208" s="10"/>
      <c r="E208" s="10"/>
      <c r="F208" s="10" t="s">
        <v>338</v>
      </c>
      <c r="G208" s="4" t="s">
        <v>122</v>
      </c>
      <c r="H208" s="4"/>
      <c r="I208" s="4">
        <f t="shared" si="10"/>
        <v>55989</v>
      </c>
      <c r="J208" s="4">
        <v>55989</v>
      </c>
      <c r="K208" s="4">
        <f t="shared" si="11"/>
        <v>0</v>
      </c>
      <c r="L208" s="1">
        <v>55989</v>
      </c>
      <c r="M208" s="93">
        <f t="shared" si="12"/>
        <v>0</v>
      </c>
      <c r="N208" s="2"/>
      <c r="O208" s="97"/>
      <c r="P208" s="52"/>
    </row>
    <row r="209" spans="1:16" ht="40.950000000000003" customHeight="1" x14ac:dyDescent="0.3">
      <c r="A209" s="4">
        <v>57</v>
      </c>
      <c r="B209" s="10" t="s">
        <v>399</v>
      </c>
      <c r="C209" s="10"/>
      <c r="D209" s="10"/>
      <c r="E209" s="10"/>
      <c r="F209" s="10" t="s">
        <v>338</v>
      </c>
      <c r="G209" s="4" t="s">
        <v>143</v>
      </c>
      <c r="H209" s="4">
        <v>12</v>
      </c>
      <c r="I209" s="4">
        <f t="shared" si="10"/>
        <v>205715</v>
      </c>
      <c r="J209" s="4">
        <v>208475</v>
      </c>
      <c r="K209" s="4">
        <f t="shared" si="11"/>
        <v>0</v>
      </c>
      <c r="L209" s="1">
        <v>208475</v>
      </c>
      <c r="M209" s="93">
        <f t="shared" si="12"/>
        <v>0</v>
      </c>
      <c r="N209" s="2">
        <v>2760</v>
      </c>
      <c r="O209" s="97">
        <v>2760</v>
      </c>
      <c r="P209" s="52">
        <v>0.9</v>
      </c>
    </row>
    <row r="210" spans="1:16" ht="40.950000000000003" customHeight="1" x14ac:dyDescent="0.3">
      <c r="A210" s="4">
        <v>57</v>
      </c>
      <c r="B210" s="10" t="s">
        <v>399</v>
      </c>
      <c r="C210" s="10"/>
      <c r="D210" s="10"/>
      <c r="E210" s="10"/>
      <c r="F210" s="10" t="s">
        <v>338</v>
      </c>
      <c r="G210" s="4" t="s">
        <v>128</v>
      </c>
      <c r="H210" s="4">
        <v>6</v>
      </c>
      <c r="I210" s="4">
        <f t="shared" si="10"/>
        <v>200315</v>
      </c>
      <c r="J210" s="4">
        <v>200315</v>
      </c>
      <c r="K210" s="4">
        <f t="shared" si="11"/>
        <v>0</v>
      </c>
      <c r="L210" s="1">
        <v>200315</v>
      </c>
      <c r="M210" s="93">
        <f t="shared" si="12"/>
        <v>0</v>
      </c>
      <c r="N210" s="2"/>
      <c r="O210" s="97"/>
      <c r="P210" s="52" t="s">
        <v>1137</v>
      </c>
    </row>
    <row r="211" spans="1:16" ht="40.950000000000003" customHeight="1" x14ac:dyDescent="0.3">
      <c r="A211" s="4">
        <v>58</v>
      </c>
      <c r="B211" s="10" t="s">
        <v>373</v>
      </c>
      <c r="C211" s="10"/>
      <c r="D211" s="10"/>
      <c r="E211" s="10"/>
      <c r="F211" s="10" t="s">
        <v>374</v>
      </c>
      <c r="G211" s="146" t="s">
        <v>7</v>
      </c>
      <c r="H211" s="4">
        <v>11</v>
      </c>
      <c r="I211" s="4">
        <f t="shared" si="10"/>
        <v>1080277</v>
      </c>
      <c r="J211" s="4">
        <v>1081397</v>
      </c>
      <c r="K211" s="146">
        <f t="shared" si="11"/>
        <v>0</v>
      </c>
      <c r="L211" s="1">
        <v>1081397</v>
      </c>
      <c r="M211" s="93">
        <f t="shared" si="12"/>
        <v>0</v>
      </c>
      <c r="N211" s="2">
        <v>1120</v>
      </c>
      <c r="O211" s="97">
        <f>520+600</f>
        <v>1120</v>
      </c>
      <c r="P211" s="52">
        <v>0.88</v>
      </c>
    </row>
    <row r="212" spans="1:16" ht="40.950000000000003" customHeight="1" x14ac:dyDescent="0.3">
      <c r="A212" s="4">
        <v>58</v>
      </c>
      <c r="B212" s="10" t="s">
        <v>373</v>
      </c>
      <c r="C212" s="10"/>
      <c r="D212" s="10"/>
      <c r="E212" s="10"/>
      <c r="F212" s="10" t="s">
        <v>374</v>
      </c>
      <c r="G212" s="146" t="s">
        <v>8</v>
      </c>
      <c r="H212" s="4">
        <v>12</v>
      </c>
      <c r="I212" s="4">
        <f t="shared" si="10"/>
        <v>1081038</v>
      </c>
      <c r="J212" s="4">
        <v>1082358</v>
      </c>
      <c r="K212" s="146">
        <f t="shared" si="11"/>
        <v>0</v>
      </c>
      <c r="L212" s="1">
        <v>1082358</v>
      </c>
      <c r="M212" s="93">
        <f t="shared" si="12"/>
        <v>0</v>
      </c>
      <c r="N212" s="2">
        <v>1320</v>
      </c>
      <c r="O212" s="97">
        <v>1320</v>
      </c>
      <c r="P212" s="52">
        <v>0.88</v>
      </c>
    </row>
    <row r="213" spans="1:16" ht="40.950000000000003" customHeight="1" x14ac:dyDescent="0.3">
      <c r="A213" s="4">
        <v>58</v>
      </c>
      <c r="B213" s="10" t="s">
        <v>373</v>
      </c>
      <c r="C213" s="10"/>
      <c r="D213" s="10"/>
      <c r="E213" s="10"/>
      <c r="F213" s="10" t="s">
        <v>374</v>
      </c>
      <c r="G213" s="146" t="s">
        <v>9</v>
      </c>
      <c r="H213" s="4">
        <v>11</v>
      </c>
      <c r="I213" s="4">
        <f t="shared" si="10"/>
        <v>1079059</v>
      </c>
      <c r="J213" s="4">
        <v>1081397</v>
      </c>
      <c r="K213" s="146">
        <f t="shared" si="11"/>
        <v>0</v>
      </c>
      <c r="L213" s="1">
        <v>1081397</v>
      </c>
      <c r="M213" s="93">
        <f t="shared" si="12"/>
        <v>0</v>
      </c>
      <c r="N213" s="2">
        <v>2338</v>
      </c>
      <c r="O213" s="97">
        <f>240+818+200+1080</f>
        <v>2338</v>
      </c>
      <c r="P213" s="52">
        <v>0.88</v>
      </c>
    </row>
    <row r="214" spans="1:16" ht="40.950000000000003" customHeight="1" x14ac:dyDescent="0.3">
      <c r="A214" s="4">
        <v>58</v>
      </c>
      <c r="B214" s="10" t="s">
        <v>373</v>
      </c>
      <c r="C214" s="10"/>
      <c r="D214" s="10"/>
      <c r="E214" s="10"/>
      <c r="F214" s="10" t="s">
        <v>374</v>
      </c>
      <c r="G214" s="146" t="s">
        <v>11</v>
      </c>
      <c r="H214" s="4">
        <v>10</v>
      </c>
      <c r="I214" s="4">
        <f t="shared" si="10"/>
        <v>1073025</v>
      </c>
      <c r="J214" s="4">
        <v>1075525</v>
      </c>
      <c r="K214" s="146">
        <f t="shared" si="11"/>
        <v>0</v>
      </c>
      <c r="L214" s="1">
        <v>1075525</v>
      </c>
      <c r="M214" s="93">
        <f t="shared" si="12"/>
        <v>0</v>
      </c>
      <c r="N214" s="2">
        <v>2500</v>
      </c>
      <c r="O214" s="97">
        <v>2500</v>
      </c>
      <c r="P214" s="52">
        <v>0.88</v>
      </c>
    </row>
    <row r="215" spans="1:16" ht="40.950000000000003" customHeight="1" x14ac:dyDescent="0.3">
      <c r="A215" s="4">
        <v>58</v>
      </c>
      <c r="B215" s="10" t="s">
        <v>373</v>
      </c>
      <c r="C215" s="10"/>
      <c r="D215" s="10"/>
      <c r="E215" s="10"/>
      <c r="F215" s="10" t="s">
        <v>374</v>
      </c>
      <c r="G215" s="146" t="s">
        <v>70</v>
      </c>
      <c r="H215" s="4">
        <v>9</v>
      </c>
      <c r="I215" s="4">
        <f t="shared" si="10"/>
        <v>1079599</v>
      </c>
      <c r="J215" s="4">
        <v>1081459</v>
      </c>
      <c r="K215" s="146">
        <f t="shared" si="11"/>
        <v>0</v>
      </c>
      <c r="L215" s="1">
        <v>1081459</v>
      </c>
      <c r="M215" s="93">
        <f t="shared" si="12"/>
        <v>0</v>
      </c>
      <c r="N215" s="2">
        <v>1860</v>
      </c>
      <c r="O215" s="97">
        <v>1860</v>
      </c>
      <c r="P215" s="52">
        <v>0.88</v>
      </c>
    </row>
    <row r="216" spans="1:16" ht="40.950000000000003" customHeight="1" x14ac:dyDescent="0.3">
      <c r="A216" s="4">
        <v>58</v>
      </c>
      <c r="B216" s="10" t="s">
        <v>373</v>
      </c>
      <c r="C216" s="10"/>
      <c r="D216" s="10"/>
      <c r="E216" s="10"/>
      <c r="F216" s="10" t="s">
        <v>374</v>
      </c>
      <c r="G216" s="146" t="s">
        <v>90</v>
      </c>
      <c r="H216" s="4">
        <v>6</v>
      </c>
      <c r="I216" s="4">
        <f t="shared" si="10"/>
        <v>1044531</v>
      </c>
      <c r="J216" s="4">
        <v>1044531</v>
      </c>
      <c r="K216" s="146">
        <f t="shared" si="11"/>
        <v>0</v>
      </c>
      <c r="L216" s="1">
        <v>1044531</v>
      </c>
      <c r="M216" s="93">
        <f t="shared" si="12"/>
        <v>0</v>
      </c>
      <c r="N216" s="2"/>
      <c r="O216" s="97"/>
      <c r="P216" s="52">
        <v>0.85</v>
      </c>
    </row>
    <row r="217" spans="1:16" ht="40.950000000000003" customHeight="1" x14ac:dyDescent="0.3">
      <c r="A217" s="4">
        <v>58</v>
      </c>
      <c r="B217" s="10" t="s">
        <v>373</v>
      </c>
      <c r="C217" s="10"/>
      <c r="D217" s="10"/>
      <c r="E217" s="10"/>
      <c r="F217" s="10" t="s">
        <v>374</v>
      </c>
      <c r="G217" s="146" t="s">
        <v>48</v>
      </c>
      <c r="H217" s="4">
        <v>11</v>
      </c>
      <c r="I217" s="4">
        <f t="shared" si="10"/>
        <v>1044531</v>
      </c>
      <c r="J217" s="4">
        <v>1044531</v>
      </c>
      <c r="K217" s="146">
        <f t="shared" si="11"/>
        <v>0</v>
      </c>
      <c r="L217" s="1">
        <v>1044531</v>
      </c>
      <c r="M217" s="93">
        <f t="shared" si="12"/>
        <v>0</v>
      </c>
      <c r="N217" s="2"/>
      <c r="O217" s="97"/>
      <c r="P217" s="52">
        <v>0.85</v>
      </c>
    </row>
    <row r="218" spans="1:16" ht="40.950000000000003" customHeight="1" x14ac:dyDescent="0.3">
      <c r="A218" s="4">
        <v>58</v>
      </c>
      <c r="B218" s="10" t="s">
        <v>373</v>
      </c>
      <c r="C218" s="10"/>
      <c r="D218" s="10"/>
      <c r="E218" s="10"/>
      <c r="F218" s="10" t="s">
        <v>374</v>
      </c>
      <c r="G218" s="146" t="s">
        <v>49</v>
      </c>
      <c r="H218" s="4">
        <v>11</v>
      </c>
      <c r="I218" s="4">
        <f t="shared" si="10"/>
        <v>1043272</v>
      </c>
      <c r="J218" s="4">
        <v>1044652</v>
      </c>
      <c r="K218" s="146">
        <f t="shared" si="11"/>
        <v>0</v>
      </c>
      <c r="L218" s="1">
        <v>1044652</v>
      </c>
      <c r="M218" s="93">
        <f t="shared" si="12"/>
        <v>0</v>
      </c>
      <c r="N218" s="2">
        <v>1380</v>
      </c>
      <c r="O218" s="97">
        <v>1380</v>
      </c>
      <c r="P218" s="52">
        <v>0.85</v>
      </c>
    </row>
    <row r="219" spans="1:16" ht="40.950000000000003" customHeight="1" x14ac:dyDescent="0.3">
      <c r="A219" s="4">
        <v>58</v>
      </c>
      <c r="B219" s="10" t="s">
        <v>373</v>
      </c>
      <c r="C219" s="10"/>
      <c r="D219" s="10"/>
      <c r="E219" s="10"/>
      <c r="F219" s="10" t="s">
        <v>374</v>
      </c>
      <c r="G219" s="146" t="s">
        <v>50</v>
      </c>
      <c r="H219" s="4">
        <v>12</v>
      </c>
      <c r="I219" s="4">
        <f t="shared" si="10"/>
        <v>1043920.5</v>
      </c>
      <c r="J219" s="4">
        <v>1044531</v>
      </c>
      <c r="K219" s="146">
        <f t="shared" si="11"/>
        <v>0</v>
      </c>
      <c r="L219" s="1">
        <v>1044531</v>
      </c>
      <c r="M219" s="93">
        <f t="shared" si="12"/>
        <v>0</v>
      </c>
      <c r="N219" s="2">
        <v>610.5</v>
      </c>
      <c r="O219" s="97">
        <v>610.5</v>
      </c>
      <c r="P219" s="52">
        <v>0.85</v>
      </c>
    </row>
    <row r="220" spans="1:16" ht="40.950000000000003" customHeight="1" x14ac:dyDescent="0.3">
      <c r="A220" s="4">
        <v>58</v>
      </c>
      <c r="B220" s="10" t="s">
        <v>373</v>
      </c>
      <c r="C220" s="10"/>
      <c r="D220" s="10"/>
      <c r="E220" s="10"/>
      <c r="F220" s="10" t="s">
        <v>374</v>
      </c>
      <c r="G220" s="146" t="s">
        <v>51</v>
      </c>
      <c r="H220" s="4">
        <v>8</v>
      </c>
      <c r="I220" s="4">
        <f t="shared" si="10"/>
        <v>1044411</v>
      </c>
      <c r="J220" s="4">
        <v>1044531</v>
      </c>
      <c r="K220" s="146">
        <f t="shared" si="11"/>
        <v>0</v>
      </c>
      <c r="L220" s="1">
        <v>1044531</v>
      </c>
      <c r="M220" s="93">
        <f t="shared" si="12"/>
        <v>0</v>
      </c>
      <c r="N220" s="2">
        <v>120</v>
      </c>
      <c r="O220" s="97">
        <f>120</f>
        <v>120</v>
      </c>
      <c r="P220" s="52">
        <v>0.85</v>
      </c>
    </row>
    <row r="221" spans="1:16" ht="40.950000000000003" customHeight="1" x14ac:dyDescent="0.3">
      <c r="A221" s="4">
        <v>58</v>
      </c>
      <c r="B221" s="10" t="s">
        <v>373</v>
      </c>
      <c r="C221" s="10"/>
      <c r="D221" s="10"/>
      <c r="E221" s="10"/>
      <c r="F221" s="10" t="s">
        <v>374</v>
      </c>
      <c r="G221" s="146" t="s">
        <v>39</v>
      </c>
      <c r="H221" s="4">
        <v>8</v>
      </c>
      <c r="I221" s="4">
        <f t="shared" si="10"/>
        <v>1044331</v>
      </c>
      <c r="J221" s="4">
        <v>1044531</v>
      </c>
      <c r="K221" s="146">
        <f t="shared" si="11"/>
        <v>0</v>
      </c>
      <c r="L221" s="1">
        <v>1044531</v>
      </c>
      <c r="M221" s="93">
        <f t="shared" si="12"/>
        <v>0</v>
      </c>
      <c r="N221" s="2">
        <v>200</v>
      </c>
      <c r="O221" s="97">
        <f>200</f>
        <v>200</v>
      </c>
      <c r="P221" s="52">
        <v>0.85</v>
      </c>
    </row>
    <row r="222" spans="1:16" ht="40.950000000000003" customHeight="1" x14ac:dyDescent="0.3">
      <c r="A222" s="4">
        <v>58</v>
      </c>
      <c r="B222" s="10" t="s">
        <v>373</v>
      </c>
      <c r="C222" s="10"/>
      <c r="D222" s="10"/>
      <c r="E222" s="10"/>
      <c r="F222" s="10" t="s">
        <v>374</v>
      </c>
      <c r="G222" s="146" t="s">
        <v>114</v>
      </c>
      <c r="H222" s="4">
        <v>10</v>
      </c>
      <c r="I222" s="4">
        <f t="shared" si="10"/>
        <v>1044411</v>
      </c>
      <c r="J222" s="4">
        <v>1044531</v>
      </c>
      <c r="K222" s="146">
        <f t="shared" si="11"/>
        <v>0</v>
      </c>
      <c r="L222" s="1">
        <v>1044531</v>
      </c>
      <c r="M222" s="93">
        <f t="shared" si="12"/>
        <v>0</v>
      </c>
      <c r="N222" s="2">
        <v>120</v>
      </c>
      <c r="O222" s="97">
        <v>120</v>
      </c>
      <c r="P222" s="52">
        <v>0.85</v>
      </c>
    </row>
    <row r="223" spans="1:16" ht="40.950000000000003" customHeight="1" x14ac:dyDescent="0.3">
      <c r="A223" s="4">
        <v>58</v>
      </c>
      <c r="B223" s="10" t="s">
        <v>373</v>
      </c>
      <c r="C223" s="10"/>
      <c r="D223" s="10"/>
      <c r="E223" s="10"/>
      <c r="F223" s="10" t="s">
        <v>374</v>
      </c>
      <c r="G223" s="146" t="s">
        <v>85</v>
      </c>
      <c r="H223" s="4">
        <v>11</v>
      </c>
      <c r="I223" s="4">
        <f t="shared" si="10"/>
        <v>1043711</v>
      </c>
      <c r="J223" s="4">
        <v>1044531</v>
      </c>
      <c r="K223" s="146">
        <f t="shared" si="11"/>
        <v>0</v>
      </c>
      <c r="L223" s="1">
        <v>1044531</v>
      </c>
      <c r="M223" s="93">
        <f t="shared" si="12"/>
        <v>0</v>
      </c>
      <c r="N223" s="2">
        <v>820</v>
      </c>
      <c r="O223" s="97">
        <v>820</v>
      </c>
      <c r="P223" s="52">
        <v>0.85</v>
      </c>
    </row>
    <row r="224" spans="1:16" ht="40.950000000000003" customHeight="1" x14ac:dyDescent="0.3">
      <c r="A224" s="4">
        <v>58</v>
      </c>
      <c r="B224" s="10" t="s">
        <v>373</v>
      </c>
      <c r="C224" s="10"/>
      <c r="D224" s="10"/>
      <c r="E224" s="10"/>
      <c r="F224" s="10" t="s">
        <v>374</v>
      </c>
      <c r="G224" s="146" t="s">
        <v>122</v>
      </c>
      <c r="H224" s="4">
        <v>6</v>
      </c>
      <c r="I224" s="4">
        <f t="shared" si="10"/>
        <v>1044531</v>
      </c>
      <c r="J224" s="4">
        <v>1044531</v>
      </c>
      <c r="K224" s="146">
        <f t="shared" si="11"/>
        <v>0</v>
      </c>
      <c r="L224" s="1">
        <v>1044531</v>
      </c>
      <c r="M224" s="93">
        <f t="shared" si="12"/>
        <v>0</v>
      </c>
      <c r="N224" s="2"/>
      <c r="O224" s="97"/>
      <c r="P224" s="52">
        <v>0.85</v>
      </c>
    </row>
    <row r="225" spans="1:16" ht="40.950000000000003" customHeight="1" x14ac:dyDescent="0.3">
      <c r="A225" s="4">
        <v>58</v>
      </c>
      <c r="B225" s="10" t="s">
        <v>373</v>
      </c>
      <c r="C225" s="10"/>
      <c r="D225" s="10"/>
      <c r="E225" s="10"/>
      <c r="F225" s="10" t="s">
        <v>374</v>
      </c>
      <c r="G225" s="146" t="s">
        <v>143</v>
      </c>
      <c r="H225" s="4">
        <v>7</v>
      </c>
      <c r="I225" s="4">
        <f t="shared" si="10"/>
        <v>1059302</v>
      </c>
      <c r="J225" s="4">
        <v>1063086</v>
      </c>
      <c r="K225" s="146">
        <f t="shared" si="11"/>
        <v>0</v>
      </c>
      <c r="L225" s="1">
        <v>1063086</v>
      </c>
      <c r="M225" s="93">
        <f t="shared" si="12"/>
        <v>0</v>
      </c>
      <c r="N225" s="2">
        <v>3784</v>
      </c>
      <c r="O225" s="97">
        <v>3784</v>
      </c>
      <c r="P225" s="52">
        <v>0.88</v>
      </c>
    </row>
    <row r="226" spans="1:16" ht="40.950000000000003" customHeight="1" x14ac:dyDescent="0.3">
      <c r="A226" s="4">
        <v>58</v>
      </c>
      <c r="B226" s="10" t="s">
        <v>373</v>
      </c>
      <c r="C226" s="10"/>
      <c r="D226" s="10"/>
      <c r="E226" s="10"/>
      <c r="F226" s="10" t="s">
        <v>374</v>
      </c>
      <c r="G226" s="146" t="s">
        <v>128</v>
      </c>
      <c r="H226" s="4">
        <v>5</v>
      </c>
      <c r="I226" s="4">
        <f t="shared" si="10"/>
        <v>1044531</v>
      </c>
      <c r="J226" s="4">
        <v>1044531</v>
      </c>
      <c r="K226" s="146">
        <f t="shared" si="11"/>
        <v>0</v>
      </c>
      <c r="L226" s="1">
        <v>1044531</v>
      </c>
      <c r="M226" s="93">
        <f t="shared" si="12"/>
        <v>0</v>
      </c>
      <c r="N226" s="2"/>
      <c r="O226" s="97"/>
      <c r="P226" s="52">
        <v>0.85</v>
      </c>
    </row>
    <row r="227" spans="1:16" ht="40.950000000000003" customHeight="1" x14ac:dyDescent="0.3">
      <c r="A227" s="4">
        <v>58</v>
      </c>
      <c r="B227" s="10" t="s">
        <v>373</v>
      </c>
      <c r="C227" s="10"/>
      <c r="D227" s="10"/>
      <c r="E227" s="10"/>
      <c r="F227" s="10" t="s">
        <v>374</v>
      </c>
      <c r="G227" s="146" t="s">
        <v>64</v>
      </c>
      <c r="H227" s="4">
        <v>8</v>
      </c>
      <c r="I227" s="4">
        <f t="shared" si="10"/>
        <v>1044531</v>
      </c>
      <c r="J227" s="4">
        <v>1044531</v>
      </c>
      <c r="K227" s="4">
        <f t="shared" si="11"/>
        <v>0</v>
      </c>
      <c r="L227" s="1">
        <v>1044531</v>
      </c>
      <c r="M227" s="93">
        <f t="shared" si="12"/>
        <v>0</v>
      </c>
      <c r="N227" s="2"/>
      <c r="O227" s="97"/>
      <c r="P227" s="52">
        <v>0.85</v>
      </c>
    </row>
    <row r="228" spans="1:16" ht="40.950000000000003" customHeight="1" x14ac:dyDescent="0.3">
      <c r="A228" s="4">
        <v>59</v>
      </c>
      <c r="B228" s="10" t="s">
        <v>438</v>
      </c>
      <c r="C228" s="10"/>
      <c r="D228" s="10"/>
      <c r="E228" s="10"/>
      <c r="F228" s="10" t="s">
        <v>374</v>
      </c>
      <c r="G228" s="4" t="s">
        <v>22</v>
      </c>
      <c r="H228" s="4">
        <v>4</v>
      </c>
      <c r="I228" s="4">
        <f t="shared" si="10"/>
        <v>917921</v>
      </c>
      <c r="J228" s="4">
        <v>925198</v>
      </c>
      <c r="K228" s="4">
        <f t="shared" si="11"/>
        <v>0</v>
      </c>
      <c r="L228" s="1">
        <v>925198</v>
      </c>
      <c r="M228" s="93">
        <f t="shared" si="12"/>
        <v>0</v>
      </c>
      <c r="N228" s="2">
        <v>7277</v>
      </c>
      <c r="O228" s="97">
        <v>7277</v>
      </c>
      <c r="P228" s="52" t="s">
        <v>1531</v>
      </c>
    </row>
    <row r="229" spans="1:16" ht="40.950000000000003" customHeight="1" x14ac:dyDescent="0.3">
      <c r="A229" s="4">
        <v>60</v>
      </c>
      <c r="B229" s="10" t="s">
        <v>117</v>
      </c>
      <c r="C229" s="10"/>
      <c r="D229" s="10"/>
      <c r="E229" s="10"/>
      <c r="F229" s="10" t="s">
        <v>87</v>
      </c>
      <c r="G229" s="4" t="s">
        <v>9</v>
      </c>
      <c r="H229" s="4">
        <v>14</v>
      </c>
      <c r="I229" s="4">
        <f t="shared" si="10"/>
        <v>300557</v>
      </c>
      <c r="J229" s="4">
        <v>309804</v>
      </c>
      <c r="K229" s="4">
        <f t="shared" si="11"/>
        <v>0</v>
      </c>
      <c r="L229" s="1">
        <v>309804</v>
      </c>
      <c r="M229" s="93">
        <f t="shared" si="12"/>
        <v>0</v>
      </c>
      <c r="N229" s="2">
        <v>9247</v>
      </c>
      <c r="O229" s="97">
        <f>900+660+240+480+900+1292+4575+200</f>
        <v>9247</v>
      </c>
      <c r="P229" s="52">
        <v>0.99</v>
      </c>
    </row>
    <row r="230" spans="1:16" ht="40.950000000000003" customHeight="1" x14ac:dyDescent="0.3">
      <c r="A230" s="4">
        <v>60</v>
      </c>
      <c r="B230" s="10" t="s">
        <v>117</v>
      </c>
      <c r="C230" s="10"/>
      <c r="D230" s="10"/>
      <c r="E230" s="10"/>
      <c r="F230" s="10" t="s">
        <v>87</v>
      </c>
      <c r="G230" s="4" t="s">
        <v>64</v>
      </c>
      <c r="H230" s="4">
        <v>13</v>
      </c>
      <c r="I230" s="4">
        <f t="shared" si="10"/>
        <v>196315</v>
      </c>
      <c r="J230" s="4">
        <v>203495</v>
      </c>
      <c r="K230" s="4">
        <f t="shared" si="11"/>
        <v>0</v>
      </c>
      <c r="L230" s="1">
        <v>203495</v>
      </c>
      <c r="M230" s="93">
        <f t="shared" si="12"/>
        <v>0</v>
      </c>
      <c r="N230" s="2">
        <v>7180</v>
      </c>
      <c r="O230" s="97">
        <v>7180</v>
      </c>
      <c r="P230" s="52"/>
    </row>
    <row r="231" spans="1:16" ht="40.950000000000003" customHeight="1" x14ac:dyDescent="0.3">
      <c r="A231" s="4">
        <v>60</v>
      </c>
      <c r="B231" s="10" t="s">
        <v>117</v>
      </c>
      <c r="C231" s="10"/>
      <c r="D231" s="10"/>
      <c r="E231" s="10"/>
      <c r="F231" s="10" t="s">
        <v>87</v>
      </c>
      <c r="G231" s="4" t="s">
        <v>199</v>
      </c>
      <c r="H231" s="4"/>
      <c r="I231" s="4">
        <f t="shared" si="10"/>
        <v>4896</v>
      </c>
      <c r="J231" s="4">
        <v>5016</v>
      </c>
      <c r="K231" s="4">
        <f t="shared" si="11"/>
        <v>0</v>
      </c>
      <c r="L231" s="1">
        <v>5016</v>
      </c>
      <c r="M231" s="93">
        <f t="shared" si="12"/>
        <v>0</v>
      </c>
      <c r="N231" s="2">
        <v>120</v>
      </c>
      <c r="O231" s="97">
        <v>120</v>
      </c>
      <c r="P231" s="52"/>
    </row>
    <row r="232" spans="1:16" ht="40.950000000000003" customHeight="1" x14ac:dyDescent="0.3">
      <c r="A232" s="4">
        <v>60</v>
      </c>
      <c r="B232" s="10" t="s">
        <v>117</v>
      </c>
      <c r="C232" s="10"/>
      <c r="D232" s="10"/>
      <c r="E232" s="10"/>
      <c r="F232" s="10" t="s">
        <v>87</v>
      </c>
      <c r="G232" s="4" t="s">
        <v>181</v>
      </c>
      <c r="H232" s="4"/>
      <c r="I232" s="4">
        <f t="shared" si="10"/>
        <v>17411</v>
      </c>
      <c r="J232" s="4">
        <v>17651</v>
      </c>
      <c r="K232" s="4">
        <f t="shared" si="11"/>
        <v>0</v>
      </c>
      <c r="L232" s="1">
        <v>17651</v>
      </c>
      <c r="M232" s="93">
        <f t="shared" si="12"/>
        <v>0</v>
      </c>
      <c r="N232" s="2">
        <v>240</v>
      </c>
      <c r="O232" s="97">
        <f>120+120</f>
        <v>240</v>
      </c>
      <c r="P232" s="52"/>
    </row>
    <row r="233" spans="1:16" ht="40.950000000000003" customHeight="1" x14ac:dyDescent="0.3">
      <c r="A233" s="4">
        <v>60</v>
      </c>
      <c r="B233" s="10" t="s">
        <v>117</v>
      </c>
      <c r="C233" s="10"/>
      <c r="D233" s="10"/>
      <c r="E233" s="10"/>
      <c r="F233" s="10" t="s">
        <v>87</v>
      </c>
      <c r="G233" s="4" t="s">
        <v>200</v>
      </c>
      <c r="H233" s="4">
        <v>6</v>
      </c>
      <c r="I233" s="4">
        <f t="shared" si="10"/>
        <v>17389</v>
      </c>
      <c r="J233" s="4">
        <v>17809</v>
      </c>
      <c r="K233" s="4">
        <f t="shared" si="11"/>
        <v>0</v>
      </c>
      <c r="L233" s="1">
        <v>17809</v>
      </c>
      <c r="M233" s="93">
        <f t="shared" si="12"/>
        <v>0</v>
      </c>
      <c r="N233" s="2">
        <v>420</v>
      </c>
      <c r="O233" s="97">
        <f>360+60</f>
        <v>420</v>
      </c>
      <c r="P233" s="52"/>
    </row>
    <row r="234" spans="1:16" ht="40.950000000000003" customHeight="1" x14ac:dyDescent="0.3">
      <c r="A234" s="4">
        <v>60</v>
      </c>
      <c r="B234" s="10" t="s">
        <v>117</v>
      </c>
      <c r="C234" s="10"/>
      <c r="D234" s="10"/>
      <c r="E234" s="10"/>
      <c r="F234" s="10" t="s">
        <v>87</v>
      </c>
      <c r="G234" s="4" t="s">
        <v>238</v>
      </c>
      <c r="H234" s="4"/>
      <c r="I234" s="4">
        <f t="shared" si="10"/>
        <v>4943</v>
      </c>
      <c r="J234" s="4">
        <v>4943</v>
      </c>
      <c r="K234" s="4">
        <f t="shared" si="11"/>
        <v>0</v>
      </c>
      <c r="L234" s="1">
        <v>4943</v>
      </c>
      <c r="M234" s="93">
        <f t="shared" si="12"/>
        <v>0</v>
      </c>
      <c r="N234" s="2"/>
      <c r="O234" s="97"/>
      <c r="P234" s="52"/>
    </row>
    <row r="235" spans="1:16" ht="40.950000000000003" customHeight="1" x14ac:dyDescent="0.3">
      <c r="A235" s="4">
        <v>60</v>
      </c>
      <c r="B235" s="10" t="s">
        <v>117</v>
      </c>
      <c r="C235" s="10"/>
      <c r="D235" s="10"/>
      <c r="E235" s="10"/>
      <c r="F235" s="10" t="s">
        <v>87</v>
      </c>
      <c r="G235" s="4" t="s">
        <v>198</v>
      </c>
      <c r="H235" s="4"/>
      <c r="I235" s="4">
        <f t="shared" si="10"/>
        <v>4896</v>
      </c>
      <c r="J235" s="4">
        <v>4896</v>
      </c>
      <c r="K235" s="4">
        <f t="shared" si="11"/>
        <v>0</v>
      </c>
      <c r="L235" s="1">
        <v>4896</v>
      </c>
      <c r="M235" s="93">
        <f t="shared" si="12"/>
        <v>0</v>
      </c>
      <c r="N235" s="2"/>
      <c r="O235" s="97"/>
      <c r="P235" s="52"/>
    </row>
    <row r="236" spans="1:16" ht="40.950000000000003" customHeight="1" x14ac:dyDescent="0.3">
      <c r="A236" s="4">
        <v>60</v>
      </c>
      <c r="B236" s="10" t="s">
        <v>117</v>
      </c>
      <c r="C236" s="10"/>
      <c r="D236" s="10"/>
      <c r="E236" s="10"/>
      <c r="F236" s="10" t="s">
        <v>87</v>
      </c>
      <c r="G236" s="4" t="s">
        <v>90</v>
      </c>
      <c r="H236" s="4"/>
      <c r="I236" s="4">
        <f t="shared" si="10"/>
        <v>26770</v>
      </c>
      <c r="J236" s="4">
        <v>26950</v>
      </c>
      <c r="K236" s="4">
        <f t="shared" si="11"/>
        <v>0</v>
      </c>
      <c r="L236" s="1">
        <v>26950</v>
      </c>
      <c r="M236" s="93">
        <f t="shared" si="12"/>
        <v>0</v>
      </c>
      <c r="N236" s="2">
        <v>180</v>
      </c>
      <c r="O236" s="97">
        <f>180</f>
        <v>180</v>
      </c>
      <c r="P236" s="52"/>
    </row>
    <row r="237" spans="1:16" ht="40.950000000000003" customHeight="1" x14ac:dyDescent="0.3">
      <c r="A237" s="4">
        <v>60</v>
      </c>
      <c r="B237" s="10" t="s">
        <v>117</v>
      </c>
      <c r="C237" s="10"/>
      <c r="D237" s="10"/>
      <c r="E237" s="10"/>
      <c r="F237" s="10" t="s">
        <v>87</v>
      </c>
      <c r="G237" s="4" t="s">
        <v>85</v>
      </c>
      <c r="H237" s="4">
        <v>18</v>
      </c>
      <c r="I237" s="4">
        <f t="shared" si="10"/>
        <v>297180</v>
      </c>
      <c r="J237" s="4">
        <v>309825</v>
      </c>
      <c r="K237" s="4">
        <f t="shared" si="11"/>
        <v>0</v>
      </c>
      <c r="L237" s="1">
        <v>309825</v>
      </c>
      <c r="M237" s="93">
        <f t="shared" si="12"/>
        <v>0</v>
      </c>
      <c r="N237" s="2">
        <v>12645</v>
      </c>
      <c r="O237" s="97">
        <f>120+360+600+930+840+100+960+1585+1080+5870+200</f>
        <v>12645</v>
      </c>
      <c r="P237" s="52"/>
    </row>
    <row r="238" spans="1:16" ht="40.950000000000003" customHeight="1" x14ac:dyDescent="0.3">
      <c r="A238" s="4">
        <v>60</v>
      </c>
      <c r="B238" s="10" t="s">
        <v>117</v>
      </c>
      <c r="C238" s="10"/>
      <c r="D238" s="10"/>
      <c r="E238" s="10"/>
      <c r="F238" s="10" t="s">
        <v>87</v>
      </c>
      <c r="G238" s="4" t="s">
        <v>143</v>
      </c>
      <c r="H238" s="4"/>
      <c r="I238" s="4">
        <f t="shared" si="10"/>
        <v>13475</v>
      </c>
      <c r="J238" s="4">
        <v>13475</v>
      </c>
      <c r="K238" s="4">
        <f t="shared" si="11"/>
        <v>0</v>
      </c>
      <c r="L238" s="1">
        <v>13475</v>
      </c>
      <c r="M238" s="93">
        <f t="shared" si="12"/>
        <v>0</v>
      </c>
      <c r="N238" s="2"/>
      <c r="O238" s="97"/>
      <c r="P238" s="52"/>
    </row>
    <row r="239" spans="1:16" ht="40.950000000000003" customHeight="1" x14ac:dyDescent="0.3">
      <c r="A239" s="4">
        <v>60</v>
      </c>
      <c r="B239" s="10" t="s">
        <v>117</v>
      </c>
      <c r="C239" s="10"/>
      <c r="D239" s="10"/>
      <c r="E239" s="10"/>
      <c r="F239" s="10" t="s">
        <v>87</v>
      </c>
      <c r="G239" s="4" t="s">
        <v>39</v>
      </c>
      <c r="H239" s="4">
        <v>16</v>
      </c>
      <c r="I239" s="4">
        <f t="shared" si="10"/>
        <v>289677</v>
      </c>
      <c r="J239" s="4">
        <v>309946</v>
      </c>
      <c r="K239" s="4">
        <f t="shared" si="11"/>
        <v>0</v>
      </c>
      <c r="L239" s="1">
        <v>309946</v>
      </c>
      <c r="M239" s="93">
        <f t="shared" si="12"/>
        <v>0</v>
      </c>
      <c r="N239" s="2">
        <v>20269</v>
      </c>
      <c r="O239" s="97">
        <v>20269</v>
      </c>
      <c r="P239" s="52"/>
    </row>
    <row r="240" spans="1:16" ht="40.950000000000003" customHeight="1" x14ac:dyDescent="0.3">
      <c r="A240" s="4">
        <v>61</v>
      </c>
      <c r="B240" s="10" t="s">
        <v>152</v>
      </c>
      <c r="C240" s="10"/>
      <c r="D240" s="10"/>
      <c r="E240" s="10"/>
      <c r="F240" s="10" t="s">
        <v>87</v>
      </c>
      <c r="G240" s="4" t="s">
        <v>49</v>
      </c>
      <c r="H240" s="4">
        <v>13</v>
      </c>
      <c r="I240" s="4">
        <f t="shared" si="10"/>
        <v>268572</v>
      </c>
      <c r="J240" s="4">
        <v>286329</v>
      </c>
      <c r="K240" s="4">
        <f t="shared" si="11"/>
        <v>0</v>
      </c>
      <c r="L240" s="1">
        <v>286329</v>
      </c>
      <c r="M240" s="93">
        <f t="shared" si="12"/>
        <v>0</v>
      </c>
      <c r="N240" s="2">
        <v>17757</v>
      </c>
      <c r="O240" s="97">
        <v>17757</v>
      </c>
      <c r="P240" s="52">
        <v>0.99199999999999999</v>
      </c>
    </row>
    <row r="241" spans="1:16" ht="40.950000000000003" customHeight="1" x14ac:dyDescent="0.3">
      <c r="A241" s="4">
        <v>61</v>
      </c>
      <c r="B241" s="10" t="s">
        <v>152</v>
      </c>
      <c r="C241" s="10"/>
      <c r="D241" s="10"/>
      <c r="E241" s="10"/>
      <c r="F241" s="10" t="s">
        <v>87</v>
      </c>
      <c r="G241" s="4" t="s">
        <v>200</v>
      </c>
      <c r="H241" s="4" t="s">
        <v>650</v>
      </c>
      <c r="I241" s="4">
        <f t="shared" si="10"/>
        <v>9921</v>
      </c>
      <c r="J241" s="4">
        <v>12097</v>
      </c>
      <c r="K241" s="4">
        <f t="shared" si="11"/>
        <v>0</v>
      </c>
      <c r="L241" s="1">
        <v>12097</v>
      </c>
      <c r="M241" s="93">
        <f t="shared" si="12"/>
        <v>0</v>
      </c>
      <c r="N241" s="2">
        <v>2176</v>
      </c>
      <c r="O241" s="97">
        <f>120+480+1576</f>
        <v>2176</v>
      </c>
      <c r="P241" s="52"/>
    </row>
    <row r="242" spans="1:16" ht="40.950000000000003" customHeight="1" x14ac:dyDescent="0.3">
      <c r="A242" s="4">
        <v>61</v>
      </c>
      <c r="B242" s="10" t="s">
        <v>152</v>
      </c>
      <c r="C242" s="10"/>
      <c r="D242" s="10"/>
      <c r="E242" s="10"/>
      <c r="F242" s="10" t="s">
        <v>87</v>
      </c>
      <c r="G242" s="4" t="s">
        <v>198</v>
      </c>
      <c r="H242" s="4" t="s">
        <v>650</v>
      </c>
      <c r="I242" s="4">
        <f t="shared" si="10"/>
        <v>24226</v>
      </c>
      <c r="J242" s="4">
        <v>25186</v>
      </c>
      <c r="K242" s="4">
        <f t="shared" si="11"/>
        <v>0</v>
      </c>
      <c r="L242" s="1">
        <v>25186</v>
      </c>
      <c r="M242" s="93">
        <f t="shared" si="12"/>
        <v>0</v>
      </c>
      <c r="N242" s="2">
        <v>960</v>
      </c>
      <c r="O242" s="97">
        <f>840+120</f>
        <v>960</v>
      </c>
      <c r="P242" s="52"/>
    </row>
    <row r="243" spans="1:16" ht="40.950000000000003" customHeight="1" x14ac:dyDescent="0.3">
      <c r="A243" s="4">
        <v>62</v>
      </c>
      <c r="B243" s="10" t="s">
        <v>153</v>
      </c>
      <c r="C243" s="10" t="s">
        <v>87</v>
      </c>
      <c r="D243" s="10" t="s">
        <v>8</v>
      </c>
      <c r="E243" s="10"/>
      <c r="F243" s="10" t="s">
        <v>1321</v>
      </c>
      <c r="G243" s="4" t="s">
        <v>85</v>
      </c>
      <c r="H243" s="4">
        <v>2</v>
      </c>
      <c r="I243" s="4">
        <f t="shared" si="10"/>
        <v>2600</v>
      </c>
      <c r="J243" s="4">
        <v>2600</v>
      </c>
      <c r="K243" s="4">
        <f t="shared" si="11"/>
        <v>0</v>
      </c>
      <c r="L243" s="1">
        <v>2600</v>
      </c>
      <c r="M243" s="93">
        <f t="shared" si="12"/>
        <v>0</v>
      </c>
      <c r="N243" s="2">
        <v>0</v>
      </c>
      <c r="O243" s="97">
        <v>0</v>
      </c>
      <c r="P243" s="52">
        <v>0.85</v>
      </c>
    </row>
    <row r="244" spans="1:16" ht="40.950000000000003" customHeight="1" x14ac:dyDescent="0.3">
      <c r="A244" s="4">
        <v>62</v>
      </c>
      <c r="B244" s="10" t="s">
        <v>153</v>
      </c>
      <c r="C244" s="10"/>
      <c r="D244" s="10"/>
      <c r="E244" s="10"/>
      <c r="F244" s="10" t="s">
        <v>1321</v>
      </c>
      <c r="G244" s="4" t="s">
        <v>114</v>
      </c>
      <c r="H244" s="4">
        <v>2</v>
      </c>
      <c r="I244" s="4">
        <f t="shared" si="10"/>
        <v>2600</v>
      </c>
      <c r="J244" s="4">
        <v>2600</v>
      </c>
      <c r="K244" s="4">
        <f t="shared" si="11"/>
        <v>0</v>
      </c>
      <c r="L244" s="1">
        <v>2600</v>
      </c>
      <c r="M244" s="93">
        <f t="shared" si="12"/>
        <v>0</v>
      </c>
      <c r="N244" s="2">
        <v>0</v>
      </c>
      <c r="O244" s="97">
        <v>0</v>
      </c>
      <c r="P244" s="52">
        <v>0.85</v>
      </c>
    </row>
    <row r="245" spans="1:16" ht="40.950000000000003" customHeight="1" x14ac:dyDescent="0.3">
      <c r="A245" s="4">
        <v>62</v>
      </c>
      <c r="B245" s="10" t="s">
        <v>153</v>
      </c>
      <c r="C245" s="10"/>
      <c r="D245" s="10"/>
      <c r="E245" s="10"/>
      <c r="F245" s="10" t="s">
        <v>1321</v>
      </c>
      <c r="G245" s="4" t="s">
        <v>128</v>
      </c>
      <c r="H245" s="4">
        <v>1</v>
      </c>
      <c r="I245" s="4">
        <f t="shared" si="10"/>
        <v>2600</v>
      </c>
      <c r="J245" s="4">
        <v>2600</v>
      </c>
      <c r="K245" s="4">
        <f t="shared" si="11"/>
        <v>0</v>
      </c>
      <c r="L245" s="1">
        <v>2600</v>
      </c>
      <c r="M245" s="93">
        <f t="shared" si="12"/>
        <v>0</v>
      </c>
      <c r="N245" s="2">
        <v>0</v>
      </c>
      <c r="O245" s="97">
        <v>0</v>
      </c>
      <c r="P245" s="52">
        <v>1</v>
      </c>
    </row>
    <row r="246" spans="1:16" ht="40.950000000000003" customHeight="1" x14ac:dyDescent="0.3">
      <c r="A246" s="4">
        <v>62</v>
      </c>
      <c r="B246" s="10" t="s">
        <v>153</v>
      </c>
      <c r="C246" s="10"/>
      <c r="D246" s="10"/>
      <c r="E246" s="10"/>
      <c r="F246" s="10" t="s">
        <v>1321</v>
      </c>
      <c r="G246" s="4" t="s">
        <v>64</v>
      </c>
      <c r="H246" s="4">
        <v>1</v>
      </c>
      <c r="I246" s="4">
        <f t="shared" si="10"/>
        <v>2210</v>
      </c>
      <c r="J246" s="4">
        <v>2210</v>
      </c>
      <c r="K246" s="4">
        <f t="shared" si="11"/>
        <v>0</v>
      </c>
      <c r="L246" s="1">
        <v>2210</v>
      </c>
      <c r="M246" s="93">
        <f t="shared" si="12"/>
        <v>0</v>
      </c>
      <c r="N246" s="2">
        <v>0</v>
      </c>
      <c r="O246" s="97">
        <v>0</v>
      </c>
      <c r="P246" s="52">
        <v>0.85</v>
      </c>
    </row>
    <row r="247" spans="1:16" ht="40.950000000000003" customHeight="1" x14ac:dyDescent="0.3">
      <c r="A247" s="4">
        <v>62</v>
      </c>
      <c r="B247" s="10" t="s">
        <v>153</v>
      </c>
      <c r="C247" s="10"/>
      <c r="D247" s="10"/>
      <c r="E247" s="10"/>
      <c r="F247" s="10" t="s">
        <v>1321</v>
      </c>
      <c r="G247" s="4" t="s">
        <v>39</v>
      </c>
      <c r="H247" s="4">
        <v>1</v>
      </c>
      <c r="I247" s="4">
        <f t="shared" si="10"/>
        <v>2210</v>
      </c>
      <c r="J247" s="4">
        <v>2210</v>
      </c>
      <c r="K247" s="4">
        <f t="shared" si="11"/>
        <v>0</v>
      </c>
      <c r="L247" s="1">
        <v>2210</v>
      </c>
      <c r="M247" s="93">
        <f t="shared" si="12"/>
        <v>0</v>
      </c>
      <c r="N247" s="2">
        <v>0</v>
      </c>
      <c r="O247" s="97">
        <v>0</v>
      </c>
      <c r="P247" s="52">
        <v>0.85</v>
      </c>
    </row>
    <row r="248" spans="1:16" ht="40.950000000000003" customHeight="1" x14ac:dyDescent="0.3">
      <c r="A248" s="4">
        <v>62</v>
      </c>
      <c r="B248" s="10" t="s">
        <v>153</v>
      </c>
      <c r="C248" s="10"/>
      <c r="D248" s="10"/>
      <c r="E248" s="10"/>
      <c r="F248" s="10" t="s">
        <v>87</v>
      </c>
      <c r="G248" s="4" t="s">
        <v>8</v>
      </c>
      <c r="H248" s="4"/>
      <c r="I248" s="4">
        <f t="shared" si="10"/>
        <v>20643</v>
      </c>
      <c r="J248" s="4">
        <v>22423</v>
      </c>
      <c r="K248" s="4">
        <f t="shared" si="11"/>
        <v>0</v>
      </c>
      <c r="L248" s="1">
        <v>22423</v>
      </c>
      <c r="M248" s="93">
        <f t="shared" si="12"/>
        <v>0</v>
      </c>
      <c r="N248" s="2">
        <v>1780</v>
      </c>
      <c r="O248" s="97">
        <f>1500+280</f>
        <v>1780</v>
      </c>
      <c r="P248" s="52"/>
    </row>
    <row r="249" spans="1:16" ht="40.950000000000003" customHeight="1" x14ac:dyDescent="0.3">
      <c r="A249" s="4">
        <v>63</v>
      </c>
      <c r="B249" s="10" t="s">
        <v>148</v>
      </c>
      <c r="C249" s="10"/>
      <c r="D249" s="10"/>
      <c r="E249" s="10"/>
      <c r="F249" s="10" t="s">
        <v>87</v>
      </c>
      <c r="G249" s="4" t="s">
        <v>90</v>
      </c>
      <c r="H249" s="4">
        <v>15</v>
      </c>
      <c r="I249" s="4">
        <f t="shared" si="10"/>
        <v>266004.5</v>
      </c>
      <c r="J249" s="4">
        <v>286427</v>
      </c>
      <c r="K249" s="4">
        <f t="shared" si="11"/>
        <v>0</v>
      </c>
      <c r="L249" s="1">
        <v>286427</v>
      </c>
      <c r="M249" s="93">
        <f t="shared" si="12"/>
        <v>0</v>
      </c>
      <c r="N249" s="2">
        <v>20422.5</v>
      </c>
      <c r="O249" s="97">
        <f>4715+120+1380+13317.5+890</f>
        <v>20422.5</v>
      </c>
      <c r="P249" s="52">
        <v>0.99</v>
      </c>
    </row>
    <row r="250" spans="1:16" ht="40.950000000000003" customHeight="1" x14ac:dyDescent="0.3">
      <c r="A250" s="4">
        <v>63</v>
      </c>
      <c r="B250" s="10" t="s">
        <v>148</v>
      </c>
      <c r="C250" s="10"/>
      <c r="D250" s="10"/>
      <c r="E250" s="10"/>
      <c r="F250" s="10" t="s">
        <v>87</v>
      </c>
      <c r="G250" s="4" t="s">
        <v>128</v>
      </c>
      <c r="H250" s="4">
        <v>9</v>
      </c>
      <c r="I250" s="4">
        <f t="shared" si="10"/>
        <v>141522</v>
      </c>
      <c r="J250" s="4">
        <v>153767</v>
      </c>
      <c r="K250" s="4">
        <f t="shared" si="11"/>
        <v>0</v>
      </c>
      <c r="L250" s="1">
        <v>153767</v>
      </c>
      <c r="M250" s="93">
        <f t="shared" si="12"/>
        <v>0</v>
      </c>
      <c r="N250" s="2">
        <v>12245</v>
      </c>
      <c r="O250" s="97">
        <f>1020+1845+1040+7840+500</f>
        <v>12245</v>
      </c>
      <c r="P250" s="52"/>
    </row>
    <row r="251" spans="1:16" ht="40.950000000000003" customHeight="1" x14ac:dyDescent="0.3">
      <c r="A251" s="4">
        <v>64</v>
      </c>
      <c r="B251" s="10" t="s">
        <v>123</v>
      </c>
      <c r="C251" s="10"/>
      <c r="D251" s="10"/>
      <c r="E251" s="10"/>
      <c r="F251" s="10" t="s">
        <v>87</v>
      </c>
      <c r="G251" s="4" t="s">
        <v>22</v>
      </c>
      <c r="H251" s="4" t="s">
        <v>650</v>
      </c>
      <c r="I251" s="4">
        <f t="shared" si="10"/>
        <v>303509</v>
      </c>
      <c r="J251" s="4">
        <v>315921</v>
      </c>
      <c r="K251" s="4">
        <f t="shared" si="11"/>
        <v>0</v>
      </c>
      <c r="L251" s="1">
        <v>315921</v>
      </c>
      <c r="M251" s="93">
        <f t="shared" si="12"/>
        <v>0</v>
      </c>
      <c r="N251" s="2">
        <v>12412</v>
      </c>
      <c r="O251" s="97">
        <f>120+3500+440+1520+300+1310+1120+8650+135+6045+910+2195+260-14093</f>
        <v>12412</v>
      </c>
      <c r="P251" s="52"/>
    </row>
    <row r="252" spans="1:16" ht="40.950000000000003" customHeight="1" x14ac:dyDescent="0.3">
      <c r="A252" s="4">
        <v>64</v>
      </c>
      <c r="B252" s="10" t="s">
        <v>123</v>
      </c>
      <c r="C252" s="10"/>
      <c r="D252" s="10"/>
      <c r="E252" s="10"/>
      <c r="F252" s="10" t="s">
        <v>87</v>
      </c>
      <c r="G252" s="4" t="s">
        <v>114</v>
      </c>
      <c r="H252" s="4" t="s">
        <v>650</v>
      </c>
      <c r="I252" s="4">
        <f t="shared" si="10"/>
        <v>306467</v>
      </c>
      <c r="J252" s="4">
        <v>315938</v>
      </c>
      <c r="K252" s="4">
        <f t="shared" si="11"/>
        <v>0</v>
      </c>
      <c r="L252" s="1">
        <v>315938</v>
      </c>
      <c r="M252" s="93">
        <f t="shared" si="12"/>
        <v>0</v>
      </c>
      <c r="N252" s="2">
        <v>9471</v>
      </c>
      <c r="O252" s="97">
        <f>180+240+2340+1860+3300+2686+600-3935+2000+200</f>
        <v>9471</v>
      </c>
      <c r="P252" s="52"/>
    </row>
    <row r="253" spans="1:16" ht="40.950000000000003" customHeight="1" x14ac:dyDescent="0.3">
      <c r="A253" s="4">
        <v>64</v>
      </c>
      <c r="B253" s="10" t="s">
        <v>123</v>
      </c>
      <c r="C253" s="10"/>
      <c r="D253" s="10"/>
      <c r="E253" s="10"/>
      <c r="F253" s="10" t="s">
        <v>87</v>
      </c>
      <c r="G253" s="4" t="s">
        <v>8</v>
      </c>
      <c r="H253" s="4" t="s">
        <v>650</v>
      </c>
      <c r="I253" s="4">
        <f t="shared" si="10"/>
        <v>43223.5</v>
      </c>
      <c r="J253" s="4">
        <v>45763.5</v>
      </c>
      <c r="K253" s="4">
        <f t="shared" si="11"/>
        <v>0</v>
      </c>
      <c r="L253" s="1">
        <v>45763.5</v>
      </c>
      <c r="M253" s="93">
        <f t="shared" si="12"/>
        <v>0</v>
      </c>
      <c r="N253" s="2">
        <v>2540</v>
      </c>
      <c r="O253" s="97">
        <v>2540</v>
      </c>
      <c r="P253" s="52"/>
    </row>
    <row r="254" spans="1:16" ht="40.950000000000003" customHeight="1" x14ac:dyDescent="0.3">
      <c r="A254" s="4">
        <v>65</v>
      </c>
      <c r="B254" s="10" t="s">
        <v>119</v>
      </c>
      <c r="C254" s="10"/>
      <c r="D254" s="10"/>
      <c r="E254" s="10"/>
      <c r="F254" s="10" t="s">
        <v>87</v>
      </c>
      <c r="G254" s="4" t="s">
        <v>70</v>
      </c>
      <c r="H254" s="4">
        <v>17</v>
      </c>
      <c r="I254" s="4">
        <f t="shared" si="10"/>
        <v>284138</v>
      </c>
      <c r="J254" s="4">
        <v>310063</v>
      </c>
      <c r="K254" s="4">
        <f t="shared" si="11"/>
        <v>0</v>
      </c>
      <c r="L254" s="1">
        <v>310063</v>
      </c>
      <c r="M254" s="93">
        <f t="shared" si="12"/>
        <v>0</v>
      </c>
      <c r="N254" s="2">
        <v>25925</v>
      </c>
      <c r="O254" s="97">
        <f>120+2510+1845+4620+300+560+15510+460</f>
        <v>25925</v>
      </c>
      <c r="P254" s="52">
        <v>0.99</v>
      </c>
    </row>
    <row r="255" spans="1:16" ht="40.950000000000003" customHeight="1" x14ac:dyDescent="0.3">
      <c r="A255" s="4">
        <v>65</v>
      </c>
      <c r="B255" s="10" t="s">
        <v>119</v>
      </c>
      <c r="C255" s="10"/>
      <c r="D255" s="10"/>
      <c r="E255" s="10"/>
      <c r="F255" s="10" t="s">
        <v>87</v>
      </c>
      <c r="G255" s="4" t="s">
        <v>48</v>
      </c>
      <c r="H255" s="4"/>
      <c r="I255" s="4">
        <f t="shared" si="10"/>
        <v>144075</v>
      </c>
      <c r="J255" s="4">
        <v>157085</v>
      </c>
      <c r="K255" s="4">
        <f t="shared" si="11"/>
        <v>0</v>
      </c>
      <c r="L255" s="1">
        <v>157085</v>
      </c>
      <c r="M255" s="93">
        <f t="shared" si="12"/>
        <v>0</v>
      </c>
      <c r="N255" s="2">
        <v>13010</v>
      </c>
      <c r="O255" s="97">
        <f>450+1640+840+1350+8730</f>
        <v>13010</v>
      </c>
      <c r="P255" s="52"/>
    </row>
    <row r="256" spans="1:16" ht="40.950000000000003" customHeight="1" x14ac:dyDescent="0.3">
      <c r="A256" s="4">
        <v>66</v>
      </c>
      <c r="B256" s="10" t="s">
        <v>161</v>
      </c>
      <c r="C256" s="10"/>
      <c r="D256" s="10"/>
      <c r="E256" s="10"/>
      <c r="F256" s="10" t="s">
        <v>87</v>
      </c>
      <c r="G256" s="4" t="s">
        <v>8</v>
      </c>
      <c r="H256" s="4" t="s">
        <v>650</v>
      </c>
      <c r="I256" s="4">
        <f t="shared" si="10"/>
        <v>237904</v>
      </c>
      <c r="J256" s="4">
        <v>247279</v>
      </c>
      <c r="K256" s="4">
        <f t="shared" si="11"/>
        <v>0</v>
      </c>
      <c r="L256" s="1">
        <v>247279</v>
      </c>
      <c r="M256" s="93">
        <f t="shared" si="12"/>
        <v>0</v>
      </c>
      <c r="N256" s="2">
        <v>9375</v>
      </c>
      <c r="O256" s="97">
        <f>120+270+465+1560+6700+260</f>
        <v>9375</v>
      </c>
      <c r="P256" s="52">
        <v>1</v>
      </c>
    </row>
    <row r="257" spans="1:17" ht="40.950000000000003" customHeight="1" x14ac:dyDescent="0.3">
      <c r="A257" s="4">
        <v>66</v>
      </c>
      <c r="B257" s="10" t="s">
        <v>161</v>
      </c>
      <c r="C257" s="10"/>
      <c r="D257" s="10"/>
      <c r="E257" s="10"/>
      <c r="F257" s="10" t="s">
        <v>87</v>
      </c>
      <c r="G257" s="4" t="s">
        <v>64</v>
      </c>
      <c r="H257" s="4" t="s">
        <v>650</v>
      </c>
      <c r="I257" s="4">
        <f t="shared" si="10"/>
        <v>106204</v>
      </c>
      <c r="J257" s="4">
        <v>108464</v>
      </c>
      <c r="K257" s="4">
        <f t="shared" si="11"/>
        <v>0</v>
      </c>
      <c r="L257" s="1">
        <v>108464</v>
      </c>
      <c r="M257" s="93">
        <f t="shared" si="12"/>
        <v>0</v>
      </c>
      <c r="N257" s="2">
        <v>2260</v>
      </c>
      <c r="O257" s="97">
        <v>2260</v>
      </c>
      <c r="P257" s="52">
        <v>1</v>
      </c>
    </row>
    <row r="258" spans="1:17" ht="40.950000000000003" customHeight="1" x14ac:dyDescent="0.3">
      <c r="A258" s="4">
        <v>67</v>
      </c>
      <c r="B258" s="10" t="s">
        <v>118</v>
      </c>
      <c r="C258" s="10"/>
      <c r="D258" s="10"/>
      <c r="E258" s="10"/>
      <c r="F258" s="10" t="s">
        <v>87</v>
      </c>
      <c r="G258" s="4" t="s">
        <v>11</v>
      </c>
      <c r="H258" s="4" t="s">
        <v>650</v>
      </c>
      <c r="I258" s="4">
        <f t="shared" si="10"/>
        <v>301207</v>
      </c>
      <c r="J258" s="4">
        <v>315920</v>
      </c>
      <c r="K258" s="4">
        <f t="shared" si="11"/>
        <v>0</v>
      </c>
      <c r="L258" s="1">
        <v>315920</v>
      </c>
      <c r="M258" s="93">
        <f t="shared" si="12"/>
        <v>0</v>
      </c>
      <c r="N258" s="2">
        <v>14713</v>
      </c>
      <c r="O258" s="97">
        <v>14713</v>
      </c>
      <c r="P258" s="52">
        <v>1</v>
      </c>
      <c r="Q258" s="6">
        <f>L258-O258</f>
        <v>301207</v>
      </c>
    </row>
    <row r="259" spans="1:17" ht="40.950000000000003" customHeight="1" x14ac:dyDescent="0.3">
      <c r="A259" s="4">
        <v>67</v>
      </c>
      <c r="B259" s="10" t="s">
        <v>118</v>
      </c>
      <c r="C259" s="10"/>
      <c r="D259" s="10"/>
      <c r="E259" s="10"/>
      <c r="F259" s="10" t="s">
        <v>87</v>
      </c>
      <c r="G259" s="4" t="s">
        <v>7</v>
      </c>
      <c r="H259" s="4" t="s">
        <v>650</v>
      </c>
      <c r="I259" s="4">
        <f t="shared" si="10"/>
        <v>27240</v>
      </c>
      <c r="J259" s="4">
        <v>27500</v>
      </c>
      <c r="K259" s="4">
        <f t="shared" si="11"/>
        <v>0</v>
      </c>
      <c r="L259" s="1">
        <v>27500</v>
      </c>
      <c r="M259" s="93">
        <f t="shared" si="12"/>
        <v>0</v>
      </c>
      <c r="N259" s="2">
        <v>260</v>
      </c>
      <c r="O259" s="97">
        <f>260</f>
        <v>260</v>
      </c>
      <c r="P259" s="52">
        <v>1</v>
      </c>
      <c r="Q259" s="6">
        <f t="shared" ref="Q259:Q261" si="13">L259-O259</f>
        <v>27240</v>
      </c>
    </row>
    <row r="260" spans="1:17" ht="40.950000000000003" customHeight="1" x14ac:dyDescent="0.3">
      <c r="A260" s="4">
        <v>67</v>
      </c>
      <c r="B260" s="10" t="s">
        <v>118</v>
      </c>
      <c r="C260" s="10"/>
      <c r="D260" s="10"/>
      <c r="E260" s="10"/>
      <c r="F260" s="10" t="s">
        <v>87</v>
      </c>
      <c r="G260" s="4" t="s">
        <v>48</v>
      </c>
      <c r="H260" s="4" t="s">
        <v>650</v>
      </c>
      <c r="I260" s="4">
        <f t="shared" si="10"/>
        <v>151736</v>
      </c>
      <c r="J260" s="4">
        <v>158836</v>
      </c>
      <c r="K260" s="4">
        <f t="shared" si="11"/>
        <v>0</v>
      </c>
      <c r="L260" s="1">
        <v>158836</v>
      </c>
      <c r="M260" s="93">
        <f t="shared" si="12"/>
        <v>0</v>
      </c>
      <c r="N260" s="2">
        <v>7100</v>
      </c>
      <c r="O260" s="97">
        <v>7100</v>
      </c>
      <c r="P260" s="52">
        <v>1</v>
      </c>
      <c r="Q260" s="6">
        <f t="shared" si="13"/>
        <v>151736</v>
      </c>
    </row>
    <row r="261" spans="1:17" ht="40.950000000000003" customHeight="1" x14ac:dyDescent="0.3">
      <c r="A261" s="4">
        <v>67</v>
      </c>
      <c r="B261" s="10" t="s">
        <v>118</v>
      </c>
      <c r="C261" s="10"/>
      <c r="D261" s="10"/>
      <c r="E261" s="10"/>
      <c r="F261" s="10" t="s">
        <v>87</v>
      </c>
      <c r="G261" s="4" t="s">
        <v>49</v>
      </c>
      <c r="H261" s="4" t="s">
        <v>650</v>
      </c>
      <c r="I261" s="4">
        <f t="shared" si="10"/>
        <v>25040</v>
      </c>
      <c r="J261" s="4">
        <v>27500</v>
      </c>
      <c r="K261" s="4">
        <f t="shared" si="11"/>
        <v>0</v>
      </c>
      <c r="L261" s="1">
        <v>27500</v>
      </c>
      <c r="M261" s="93">
        <f t="shared" si="12"/>
        <v>0</v>
      </c>
      <c r="N261" s="2">
        <v>2460</v>
      </c>
      <c r="O261" s="97">
        <f>2460</f>
        <v>2460</v>
      </c>
      <c r="P261" s="52">
        <v>1</v>
      </c>
      <c r="Q261" s="6">
        <f t="shared" si="13"/>
        <v>25040</v>
      </c>
    </row>
    <row r="262" spans="1:17" ht="40.950000000000003" customHeight="1" x14ac:dyDescent="0.3">
      <c r="A262" s="4">
        <v>68</v>
      </c>
      <c r="B262" s="10" t="s">
        <v>168</v>
      </c>
      <c r="C262" s="10"/>
      <c r="D262" s="10"/>
      <c r="E262" s="10"/>
      <c r="F262" s="10" t="s">
        <v>87</v>
      </c>
      <c r="G262" s="4" t="s">
        <v>50</v>
      </c>
      <c r="H262" s="4"/>
      <c r="I262" s="4">
        <f t="shared" si="10"/>
        <v>294342</v>
      </c>
      <c r="J262" s="4">
        <v>309624</v>
      </c>
      <c r="K262" s="4">
        <f t="shared" si="11"/>
        <v>0</v>
      </c>
      <c r="L262" s="1">
        <v>309624</v>
      </c>
      <c r="M262" s="93">
        <f t="shared" si="12"/>
        <v>0</v>
      </c>
      <c r="N262" s="12">
        <v>15282</v>
      </c>
      <c r="O262" s="98">
        <f>180+4820+600+1440+960+420+840+760+830+2430+2002</f>
        <v>15282</v>
      </c>
      <c r="P262" s="53"/>
    </row>
    <row r="263" spans="1:17" ht="40.950000000000003" customHeight="1" x14ac:dyDescent="0.3">
      <c r="A263" s="4">
        <v>68</v>
      </c>
      <c r="B263" s="10" t="s">
        <v>168</v>
      </c>
      <c r="C263" s="10"/>
      <c r="D263" s="10"/>
      <c r="E263" s="10"/>
      <c r="F263" s="10" t="s">
        <v>87</v>
      </c>
      <c r="G263" s="4" t="s">
        <v>181</v>
      </c>
      <c r="H263" s="4">
        <v>12</v>
      </c>
      <c r="I263" s="4">
        <f t="shared" si="10"/>
        <v>60650</v>
      </c>
      <c r="J263" s="4">
        <v>61610</v>
      </c>
      <c r="K263" s="4">
        <f t="shared" si="11"/>
        <v>0</v>
      </c>
      <c r="L263" s="1">
        <v>61610</v>
      </c>
      <c r="M263" s="93">
        <f t="shared" si="12"/>
        <v>0</v>
      </c>
      <c r="N263" s="12">
        <v>960</v>
      </c>
      <c r="O263" s="98">
        <f>120+240+240+360</f>
        <v>960</v>
      </c>
      <c r="P263" s="53"/>
    </row>
    <row r="264" spans="1:17" ht="40.950000000000003" customHeight="1" x14ac:dyDescent="0.3">
      <c r="A264" s="4">
        <v>68</v>
      </c>
      <c r="B264" s="10" t="s">
        <v>168</v>
      </c>
      <c r="C264" s="10"/>
      <c r="D264" s="10"/>
      <c r="E264" s="10"/>
      <c r="F264" s="10" t="s">
        <v>87</v>
      </c>
      <c r="G264" s="4" t="s">
        <v>51</v>
      </c>
      <c r="H264" s="4">
        <v>20</v>
      </c>
      <c r="I264" s="4">
        <f t="shared" si="10"/>
        <v>297136</v>
      </c>
      <c r="J264" s="4">
        <v>309624</v>
      </c>
      <c r="K264" s="4">
        <f t="shared" si="11"/>
        <v>0</v>
      </c>
      <c r="L264" s="1">
        <v>309624</v>
      </c>
      <c r="M264" s="93">
        <f t="shared" si="12"/>
        <v>0</v>
      </c>
      <c r="N264" s="12">
        <v>12488</v>
      </c>
      <c r="O264" s="98">
        <v>12488</v>
      </c>
      <c r="P264" s="53"/>
    </row>
    <row r="265" spans="1:17" ht="40.950000000000003" customHeight="1" x14ac:dyDescent="0.3">
      <c r="A265" s="4">
        <v>69</v>
      </c>
      <c r="B265" s="10" t="s">
        <v>86</v>
      </c>
      <c r="C265" s="10"/>
      <c r="D265" s="10"/>
      <c r="E265" s="10"/>
      <c r="F265" s="10" t="s">
        <v>87</v>
      </c>
      <c r="G265" s="4" t="s">
        <v>7</v>
      </c>
      <c r="H265" s="4">
        <v>12</v>
      </c>
      <c r="I265" s="4">
        <f t="shared" si="10"/>
        <v>277183</v>
      </c>
      <c r="J265" s="4">
        <v>284673</v>
      </c>
      <c r="K265" s="4">
        <f t="shared" si="11"/>
        <v>0</v>
      </c>
      <c r="L265" s="1">
        <v>284673</v>
      </c>
      <c r="M265" s="93">
        <f t="shared" si="12"/>
        <v>0</v>
      </c>
      <c r="N265" s="2">
        <v>7490</v>
      </c>
      <c r="O265" s="97">
        <f>350+540+240+120+240+240+900+4660+200</f>
        <v>7490</v>
      </c>
      <c r="P265" s="52">
        <v>0.99</v>
      </c>
    </row>
    <row r="266" spans="1:17" ht="40.950000000000003" customHeight="1" x14ac:dyDescent="0.3">
      <c r="A266" s="4">
        <v>69</v>
      </c>
      <c r="B266" s="10" t="s">
        <v>86</v>
      </c>
      <c r="C266" s="10"/>
      <c r="D266" s="10"/>
      <c r="E266" s="10"/>
      <c r="F266" s="10" t="s">
        <v>87</v>
      </c>
      <c r="G266" s="4" t="s">
        <v>128</v>
      </c>
      <c r="H266" s="4"/>
      <c r="I266" s="4">
        <f t="shared" si="10"/>
        <v>142005</v>
      </c>
      <c r="J266" s="4">
        <v>158805</v>
      </c>
      <c r="K266" s="4">
        <f t="shared" si="11"/>
        <v>0</v>
      </c>
      <c r="L266" s="1">
        <v>158805</v>
      </c>
      <c r="M266" s="93">
        <f t="shared" si="12"/>
        <v>0</v>
      </c>
      <c r="N266" s="2">
        <v>16800</v>
      </c>
      <c r="O266" s="97">
        <f>3980+720+1600+2060+350+540+1410+6140</f>
        <v>16800</v>
      </c>
      <c r="P266" s="52"/>
    </row>
    <row r="267" spans="1:17" ht="40.950000000000003" customHeight="1" x14ac:dyDescent="0.3">
      <c r="A267" s="4">
        <v>69</v>
      </c>
      <c r="B267" s="10" t="s">
        <v>86</v>
      </c>
      <c r="C267" s="10"/>
      <c r="D267" s="10"/>
      <c r="E267" s="10"/>
      <c r="F267" s="10" t="s">
        <v>87</v>
      </c>
      <c r="G267" s="4" t="s">
        <v>143</v>
      </c>
      <c r="H267" s="4"/>
      <c r="I267" s="4">
        <f t="shared" si="10"/>
        <v>13475</v>
      </c>
      <c r="J267" s="4">
        <v>13475</v>
      </c>
      <c r="K267" s="4">
        <f t="shared" si="11"/>
        <v>0</v>
      </c>
      <c r="L267" s="1">
        <v>13475</v>
      </c>
      <c r="M267" s="93">
        <f t="shared" si="12"/>
        <v>0</v>
      </c>
      <c r="N267" s="2"/>
      <c r="O267" s="97"/>
      <c r="P267" s="52"/>
    </row>
    <row r="268" spans="1:17" ht="40.950000000000003" customHeight="1" x14ac:dyDescent="0.3">
      <c r="A268" s="4">
        <v>70</v>
      </c>
      <c r="B268" s="10" t="s">
        <v>180</v>
      </c>
      <c r="C268" s="10"/>
      <c r="D268" s="10"/>
      <c r="E268" s="10"/>
      <c r="F268" s="10" t="s">
        <v>87</v>
      </c>
      <c r="G268" s="4" t="s">
        <v>143</v>
      </c>
      <c r="H268" s="4"/>
      <c r="I268" s="4">
        <f t="shared" si="10"/>
        <v>270443</v>
      </c>
      <c r="J268" s="4">
        <v>282673</v>
      </c>
      <c r="K268" s="4">
        <f t="shared" si="11"/>
        <v>0</v>
      </c>
      <c r="L268" s="1">
        <v>282673</v>
      </c>
      <c r="M268" s="93">
        <f t="shared" si="12"/>
        <v>0</v>
      </c>
      <c r="N268" s="2">
        <v>12230</v>
      </c>
      <c r="O268" s="97">
        <f>120+60+120+1480+10450</f>
        <v>12230</v>
      </c>
      <c r="P268" s="52"/>
    </row>
    <row r="269" spans="1:17" ht="40.950000000000003" customHeight="1" x14ac:dyDescent="0.3">
      <c r="A269" s="4">
        <v>71</v>
      </c>
      <c r="B269" s="10" t="s">
        <v>1778</v>
      </c>
      <c r="C269" s="10"/>
      <c r="D269" s="10"/>
      <c r="E269" s="10"/>
      <c r="F269" s="10" t="s">
        <v>87</v>
      </c>
      <c r="G269" s="4" t="s">
        <v>122</v>
      </c>
      <c r="H269" s="4">
        <v>16</v>
      </c>
      <c r="I269" s="4">
        <f t="shared" si="10"/>
        <v>318302</v>
      </c>
      <c r="J269" s="4">
        <v>322542</v>
      </c>
      <c r="K269" s="4">
        <f t="shared" si="11"/>
        <v>0</v>
      </c>
      <c r="L269" s="1">
        <v>322542</v>
      </c>
      <c r="M269" s="93">
        <f t="shared" si="12"/>
        <v>0</v>
      </c>
      <c r="N269" s="2">
        <v>4240</v>
      </c>
      <c r="O269" s="97">
        <f>60+360+370+3450</f>
        <v>4240</v>
      </c>
      <c r="P269" s="52">
        <v>1</v>
      </c>
    </row>
    <row r="270" spans="1:17" ht="40.950000000000003" customHeight="1" x14ac:dyDescent="0.3">
      <c r="A270" s="4">
        <v>72</v>
      </c>
      <c r="B270" s="10" t="s">
        <v>341</v>
      </c>
      <c r="C270" s="10"/>
      <c r="D270" s="10"/>
      <c r="E270" s="10"/>
      <c r="F270" s="10" t="s">
        <v>87</v>
      </c>
      <c r="G270" s="4" t="s">
        <v>200</v>
      </c>
      <c r="H270" s="4"/>
      <c r="I270" s="4">
        <f t="shared" ref="I270:I343" si="14">J270-O270</f>
        <v>22037</v>
      </c>
      <c r="J270" s="4">
        <v>22157</v>
      </c>
      <c r="K270" s="4">
        <f t="shared" ref="K270:K343" si="15">L270-J270</f>
        <v>0</v>
      </c>
      <c r="L270" s="1">
        <v>22157</v>
      </c>
      <c r="M270" s="93">
        <f t="shared" ref="M270:M341" si="16">O270-N270</f>
        <v>0</v>
      </c>
      <c r="N270" s="2">
        <v>120</v>
      </c>
      <c r="O270" s="97">
        <v>120</v>
      </c>
      <c r="P270" s="52"/>
    </row>
    <row r="271" spans="1:17" ht="40.950000000000003" customHeight="1" x14ac:dyDescent="0.3">
      <c r="A271" s="4">
        <v>72</v>
      </c>
      <c r="B271" s="10" t="s">
        <v>341</v>
      </c>
      <c r="C271" s="10"/>
      <c r="D271" s="10"/>
      <c r="E271" s="10"/>
      <c r="F271" s="10" t="s">
        <v>87</v>
      </c>
      <c r="G271" s="4" t="s">
        <v>169</v>
      </c>
      <c r="H271" s="4"/>
      <c r="I271" s="4">
        <f t="shared" si="14"/>
        <v>24300</v>
      </c>
      <c r="J271" s="4">
        <v>24300</v>
      </c>
      <c r="K271" s="4">
        <f t="shared" si="15"/>
        <v>0</v>
      </c>
      <c r="L271" s="1">
        <v>24300</v>
      </c>
      <c r="M271" s="93">
        <f t="shared" si="16"/>
        <v>0</v>
      </c>
      <c r="N271" s="2"/>
      <c r="O271" s="97"/>
      <c r="P271" s="52"/>
    </row>
    <row r="272" spans="1:17" ht="40.950000000000003" customHeight="1" x14ac:dyDescent="0.3">
      <c r="A272" s="4">
        <v>72</v>
      </c>
      <c r="B272" s="10" t="s">
        <v>341</v>
      </c>
      <c r="C272" s="10"/>
      <c r="D272" s="10"/>
      <c r="E272" s="10"/>
      <c r="F272" s="10" t="s">
        <v>87</v>
      </c>
      <c r="G272" s="4" t="s">
        <v>199</v>
      </c>
      <c r="H272" s="4"/>
      <c r="I272" s="4">
        <f t="shared" si="14"/>
        <v>5765</v>
      </c>
      <c r="J272" s="4">
        <v>5765</v>
      </c>
      <c r="K272" s="4">
        <f t="shared" si="15"/>
        <v>0</v>
      </c>
      <c r="L272" s="1">
        <v>5765</v>
      </c>
      <c r="M272" s="93">
        <f t="shared" si="16"/>
        <v>0</v>
      </c>
      <c r="N272" s="2"/>
      <c r="O272" s="97"/>
      <c r="P272" s="52"/>
    </row>
    <row r="273" spans="1:16" ht="40.950000000000003" customHeight="1" x14ac:dyDescent="0.3">
      <c r="A273" s="4">
        <v>72</v>
      </c>
      <c r="B273" s="10" t="s">
        <v>341</v>
      </c>
      <c r="C273" s="10"/>
      <c r="D273" s="10"/>
      <c r="E273" s="10"/>
      <c r="F273" s="10" t="s">
        <v>87</v>
      </c>
      <c r="G273" s="4" t="s">
        <v>198</v>
      </c>
      <c r="H273" s="4"/>
      <c r="I273" s="4">
        <f t="shared" si="14"/>
        <v>800</v>
      </c>
      <c r="J273" s="4">
        <v>800</v>
      </c>
      <c r="K273" s="4">
        <f t="shared" si="15"/>
        <v>0</v>
      </c>
      <c r="L273" s="1">
        <v>800</v>
      </c>
      <c r="M273" s="93">
        <f t="shared" si="16"/>
        <v>0</v>
      </c>
      <c r="N273" s="2"/>
      <c r="O273" s="97"/>
      <c r="P273" s="52"/>
    </row>
    <row r="274" spans="1:16" ht="40.950000000000003" customHeight="1" x14ac:dyDescent="0.3">
      <c r="A274" s="4">
        <v>72</v>
      </c>
      <c r="B274" s="10" t="s">
        <v>341</v>
      </c>
      <c r="C274" s="10"/>
      <c r="D274" s="10"/>
      <c r="E274" s="10"/>
      <c r="F274" s="10" t="s">
        <v>87</v>
      </c>
      <c r="G274" s="4" t="s">
        <v>368</v>
      </c>
      <c r="H274" s="4"/>
      <c r="I274" s="4">
        <f t="shared" si="14"/>
        <v>16630</v>
      </c>
      <c r="J274" s="4">
        <v>16630</v>
      </c>
      <c r="K274" s="4">
        <f t="shared" si="15"/>
        <v>0</v>
      </c>
      <c r="L274" s="1">
        <v>16630</v>
      </c>
      <c r="M274" s="93">
        <f t="shared" si="16"/>
        <v>0</v>
      </c>
      <c r="N274" s="2"/>
      <c r="O274" s="97"/>
      <c r="P274" s="52"/>
    </row>
    <row r="275" spans="1:16" ht="40.950000000000003" customHeight="1" x14ac:dyDescent="0.3">
      <c r="A275" s="4">
        <v>72</v>
      </c>
      <c r="B275" s="10" t="s">
        <v>341</v>
      </c>
      <c r="C275" s="10"/>
      <c r="D275" s="10"/>
      <c r="E275" s="10"/>
      <c r="F275" s="10" t="s">
        <v>87</v>
      </c>
      <c r="G275" s="4" t="s">
        <v>411</v>
      </c>
      <c r="H275" s="4"/>
      <c r="I275" s="4">
        <f t="shared" si="14"/>
        <v>3487</v>
      </c>
      <c r="J275" s="4">
        <v>3487</v>
      </c>
      <c r="K275" s="4">
        <f t="shared" si="15"/>
        <v>0</v>
      </c>
      <c r="L275" s="1">
        <v>3487</v>
      </c>
      <c r="M275" s="93">
        <f t="shared" si="16"/>
        <v>0</v>
      </c>
      <c r="N275" s="2"/>
      <c r="O275" s="97"/>
      <c r="P275" s="52"/>
    </row>
    <row r="276" spans="1:16" ht="40.950000000000003" customHeight="1" x14ac:dyDescent="0.3">
      <c r="A276" s="4">
        <v>72</v>
      </c>
      <c r="B276" s="10" t="s">
        <v>341</v>
      </c>
      <c r="C276" s="10"/>
      <c r="D276" s="10"/>
      <c r="E276" s="10"/>
      <c r="F276" s="10" t="s">
        <v>87</v>
      </c>
      <c r="G276" s="4" t="s">
        <v>446</v>
      </c>
      <c r="H276" s="4"/>
      <c r="I276" s="4">
        <f t="shared" si="14"/>
        <v>12347</v>
      </c>
      <c r="J276" s="4">
        <v>12347</v>
      </c>
      <c r="K276" s="4">
        <f t="shared" si="15"/>
        <v>0</v>
      </c>
      <c r="L276" s="1">
        <v>12347</v>
      </c>
      <c r="M276" s="93">
        <f t="shared" si="16"/>
        <v>0</v>
      </c>
      <c r="N276" s="2"/>
      <c r="O276" s="97"/>
      <c r="P276" s="52"/>
    </row>
    <row r="277" spans="1:16" ht="40.950000000000003" customHeight="1" x14ac:dyDescent="0.3">
      <c r="A277" s="4">
        <v>72</v>
      </c>
      <c r="B277" s="10" t="s">
        <v>341</v>
      </c>
      <c r="C277" s="10"/>
      <c r="D277" s="10"/>
      <c r="E277" s="10"/>
      <c r="F277" s="10" t="s">
        <v>87</v>
      </c>
      <c r="G277" s="4" t="s">
        <v>391</v>
      </c>
      <c r="H277" s="4"/>
      <c r="I277" s="4">
        <f t="shared" si="14"/>
        <v>13966</v>
      </c>
      <c r="J277" s="4">
        <v>14326</v>
      </c>
      <c r="K277" s="4">
        <f t="shared" si="15"/>
        <v>0</v>
      </c>
      <c r="L277" s="1">
        <v>14326</v>
      </c>
      <c r="M277" s="93">
        <f t="shared" si="16"/>
        <v>0</v>
      </c>
      <c r="N277" s="2">
        <v>360</v>
      </c>
      <c r="O277" s="97">
        <v>360</v>
      </c>
      <c r="P277" s="52"/>
    </row>
    <row r="278" spans="1:16" ht="40.950000000000003" customHeight="1" x14ac:dyDescent="0.3">
      <c r="A278" s="4">
        <v>72</v>
      </c>
      <c r="B278" s="10" t="s">
        <v>341</v>
      </c>
      <c r="C278" s="10"/>
      <c r="D278" s="10"/>
      <c r="E278" s="10"/>
      <c r="F278" s="10" t="s">
        <v>87</v>
      </c>
      <c r="G278" s="4" t="s">
        <v>362</v>
      </c>
      <c r="H278" s="4"/>
      <c r="I278" s="4">
        <f t="shared" si="14"/>
        <v>6257</v>
      </c>
      <c r="J278" s="4">
        <v>6257</v>
      </c>
      <c r="K278" s="4">
        <f t="shared" si="15"/>
        <v>0</v>
      </c>
      <c r="L278" s="1">
        <v>6257</v>
      </c>
      <c r="M278" s="93">
        <f t="shared" si="16"/>
        <v>0</v>
      </c>
      <c r="N278" s="2"/>
      <c r="O278" s="97"/>
      <c r="P278" s="52"/>
    </row>
    <row r="279" spans="1:16" ht="40.950000000000003" customHeight="1" x14ac:dyDescent="0.3">
      <c r="A279" s="4">
        <v>72</v>
      </c>
      <c r="B279" s="10" t="s">
        <v>341</v>
      </c>
      <c r="C279" s="10"/>
      <c r="D279" s="10"/>
      <c r="E279" s="10"/>
      <c r="F279" s="10" t="s">
        <v>1158</v>
      </c>
      <c r="G279" s="4" t="s">
        <v>90</v>
      </c>
      <c r="H279" s="4">
        <v>2</v>
      </c>
      <c r="I279" s="4">
        <f t="shared" si="14"/>
        <v>2600</v>
      </c>
      <c r="J279" s="4">
        <v>2600</v>
      </c>
      <c r="K279" s="4">
        <f t="shared" si="15"/>
        <v>0</v>
      </c>
      <c r="L279" s="1">
        <v>2600</v>
      </c>
      <c r="M279" s="93">
        <f t="shared" si="16"/>
        <v>0</v>
      </c>
      <c r="N279" s="2"/>
      <c r="O279" s="97"/>
      <c r="P279" s="52">
        <v>1</v>
      </c>
    </row>
    <row r="280" spans="1:16" ht="40.950000000000003" customHeight="1" x14ac:dyDescent="0.3">
      <c r="A280" s="4">
        <v>72</v>
      </c>
      <c r="B280" s="10" t="s">
        <v>341</v>
      </c>
      <c r="C280" s="10"/>
      <c r="D280" s="10"/>
      <c r="E280" s="10"/>
      <c r="F280" s="10" t="s">
        <v>1158</v>
      </c>
      <c r="G280" s="4" t="s">
        <v>22</v>
      </c>
      <c r="H280" s="4">
        <v>2</v>
      </c>
      <c r="I280" s="4">
        <f t="shared" si="14"/>
        <v>2600</v>
      </c>
      <c r="J280" s="4">
        <v>2600</v>
      </c>
      <c r="K280" s="4">
        <f t="shared" si="15"/>
        <v>0</v>
      </c>
      <c r="L280" s="1">
        <v>2600</v>
      </c>
      <c r="M280" s="93">
        <f t="shared" si="16"/>
        <v>0</v>
      </c>
      <c r="N280" s="2"/>
      <c r="O280" s="97"/>
      <c r="P280" s="52">
        <v>1</v>
      </c>
    </row>
    <row r="281" spans="1:16" ht="40.950000000000003" customHeight="1" x14ac:dyDescent="0.3">
      <c r="A281" s="4">
        <v>72</v>
      </c>
      <c r="B281" s="10" t="s">
        <v>341</v>
      </c>
      <c r="C281" s="10"/>
      <c r="D281" s="10"/>
      <c r="E281" s="10"/>
      <c r="F281" s="10" t="s">
        <v>1158</v>
      </c>
      <c r="G281" s="4" t="s">
        <v>70</v>
      </c>
      <c r="H281" s="4">
        <v>2</v>
      </c>
      <c r="I281" s="4">
        <f t="shared" si="14"/>
        <v>2600</v>
      </c>
      <c r="J281" s="4">
        <v>2600</v>
      </c>
      <c r="K281" s="4">
        <f t="shared" si="15"/>
        <v>0</v>
      </c>
      <c r="L281" s="1">
        <v>2600</v>
      </c>
      <c r="M281" s="93">
        <f t="shared" si="16"/>
        <v>0</v>
      </c>
      <c r="N281" s="2"/>
      <c r="O281" s="97"/>
      <c r="P281" s="52">
        <v>0.85</v>
      </c>
    </row>
    <row r="282" spans="1:16" ht="40.950000000000003" customHeight="1" x14ac:dyDescent="0.3">
      <c r="A282" s="4">
        <v>72</v>
      </c>
      <c r="B282" s="10" t="s">
        <v>341</v>
      </c>
      <c r="C282" s="10"/>
      <c r="D282" s="10"/>
      <c r="E282" s="10"/>
      <c r="F282" s="10" t="s">
        <v>1158</v>
      </c>
      <c r="G282" s="4" t="s">
        <v>9</v>
      </c>
      <c r="H282" s="4">
        <v>2</v>
      </c>
      <c r="I282" s="4">
        <f t="shared" si="14"/>
        <v>2600</v>
      </c>
      <c r="J282" s="4">
        <v>2600</v>
      </c>
      <c r="K282" s="4">
        <f t="shared" si="15"/>
        <v>0</v>
      </c>
      <c r="L282" s="1">
        <v>2600</v>
      </c>
      <c r="M282" s="93">
        <f t="shared" si="16"/>
        <v>0</v>
      </c>
      <c r="N282" s="2"/>
      <c r="O282" s="97"/>
      <c r="P282" s="52">
        <v>1</v>
      </c>
    </row>
    <row r="283" spans="1:16" ht="40.950000000000003" customHeight="1" x14ac:dyDescent="0.3">
      <c r="A283" s="4">
        <v>72</v>
      </c>
      <c r="B283" s="10" t="s">
        <v>341</v>
      </c>
      <c r="C283" s="10"/>
      <c r="D283" s="10"/>
      <c r="E283" s="10"/>
      <c r="F283" s="10" t="s">
        <v>1158</v>
      </c>
      <c r="G283" s="4" t="s">
        <v>48</v>
      </c>
      <c r="H283" s="4">
        <v>2</v>
      </c>
      <c r="I283" s="4">
        <f t="shared" si="14"/>
        <v>2600</v>
      </c>
      <c r="J283" s="4">
        <v>2600</v>
      </c>
      <c r="K283" s="4">
        <f t="shared" si="15"/>
        <v>0</v>
      </c>
      <c r="L283" s="1">
        <v>2600</v>
      </c>
      <c r="M283" s="93">
        <f t="shared" si="16"/>
        <v>0</v>
      </c>
      <c r="N283" s="2"/>
      <c r="O283" s="97"/>
      <c r="P283" s="52">
        <v>1</v>
      </c>
    </row>
    <row r="284" spans="1:16" ht="40.950000000000003" customHeight="1" x14ac:dyDescent="0.3">
      <c r="A284" s="4">
        <v>72</v>
      </c>
      <c r="B284" s="10" t="s">
        <v>341</v>
      </c>
      <c r="C284" s="10"/>
      <c r="D284" s="10"/>
      <c r="E284" s="10"/>
      <c r="F284" s="10" t="s">
        <v>1158</v>
      </c>
      <c r="G284" s="4" t="s">
        <v>8</v>
      </c>
      <c r="H284" s="4">
        <v>2</v>
      </c>
      <c r="I284" s="4">
        <f t="shared" si="14"/>
        <v>2600</v>
      </c>
      <c r="J284" s="4">
        <v>2600</v>
      </c>
      <c r="K284" s="4">
        <f t="shared" si="15"/>
        <v>0</v>
      </c>
      <c r="L284" s="1">
        <v>2600</v>
      </c>
      <c r="M284" s="93">
        <f t="shared" si="16"/>
        <v>0</v>
      </c>
      <c r="N284" s="2"/>
      <c r="O284" s="97"/>
      <c r="P284" s="52">
        <v>1</v>
      </c>
    </row>
    <row r="285" spans="1:16" ht="40.950000000000003" customHeight="1" x14ac:dyDescent="0.3">
      <c r="A285" s="4">
        <v>72</v>
      </c>
      <c r="B285" s="10" t="s">
        <v>341</v>
      </c>
      <c r="C285" s="10"/>
      <c r="D285" s="10"/>
      <c r="E285" s="10"/>
      <c r="F285" s="10" t="s">
        <v>1158</v>
      </c>
      <c r="G285" s="4" t="s">
        <v>7</v>
      </c>
      <c r="H285" s="4">
        <v>2</v>
      </c>
      <c r="I285" s="4">
        <f t="shared" si="14"/>
        <v>2600</v>
      </c>
      <c r="J285" s="4">
        <v>2600</v>
      </c>
      <c r="K285" s="4">
        <f t="shared" si="15"/>
        <v>0</v>
      </c>
      <c r="L285" s="1">
        <v>2600</v>
      </c>
      <c r="M285" s="93">
        <f t="shared" si="16"/>
        <v>0</v>
      </c>
      <c r="N285" s="2"/>
      <c r="O285" s="97"/>
      <c r="P285" s="52">
        <v>1</v>
      </c>
    </row>
    <row r="286" spans="1:16" ht="40.950000000000003" customHeight="1" x14ac:dyDescent="0.3">
      <c r="A286" s="4">
        <v>72</v>
      </c>
      <c r="B286" s="10" t="s">
        <v>341</v>
      </c>
      <c r="C286" s="10"/>
      <c r="D286" s="10"/>
      <c r="E286" s="10"/>
      <c r="F286" s="10" t="s">
        <v>1158</v>
      </c>
      <c r="G286" s="4" t="s">
        <v>51</v>
      </c>
      <c r="H286" s="4">
        <v>1</v>
      </c>
      <c r="I286" s="4">
        <f t="shared" si="14"/>
        <v>2210</v>
      </c>
      <c r="J286" s="4">
        <v>2210</v>
      </c>
      <c r="K286" s="4">
        <f t="shared" si="15"/>
        <v>0</v>
      </c>
      <c r="L286" s="1">
        <v>2210</v>
      </c>
      <c r="M286" s="93">
        <f t="shared" si="16"/>
        <v>0</v>
      </c>
      <c r="N286" s="2"/>
      <c r="O286" s="97"/>
      <c r="P286" s="52">
        <v>0.85</v>
      </c>
    </row>
    <row r="287" spans="1:16" ht="40.950000000000003" customHeight="1" x14ac:dyDescent="0.3">
      <c r="A287" s="4">
        <v>72</v>
      </c>
      <c r="B287" s="10" t="s">
        <v>341</v>
      </c>
      <c r="C287" s="10"/>
      <c r="D287" s="10"/>
      <c r="E287" s="10"/>
      <c r="F287" s="10" t="s">
        <v>1158</v>
      </c>
      <c r="G287" s="4" t="s">
        <v>49</v>
      </c>
      <c r="H287" s="4">
        <v>4</v>
      </c>
      <c r="I287" s="4">
        <f t="shared" si="14"/>
        <v>2600</v>
      </c>
      <c r="J287" s="4">
        <v>2600</v>
      </c>
      <c r="K287" s="4">
        <f t="shared" si="15"/>
        <v>0</v>
      </c>
      <c r="L287" s="1">
        <v>2600</v>
      </c>
      <c r="M287" s="93">
        <f t="shared" si="16"/>
        <v>0</v>
      </c>
      <c r="N287" s="2"/>
      <c r="O287" s="97"/>
      <c r="P287" s="52">
        <v>1</v>
      </c>
    </row>
    <row r="288" spans="1:16" ht="40.950000000000003" customHeight="1" x14ac:dyDescent="0.3">
      <c r="A288" s="4">
        <v>72</v>
      </c>
      <c r="B288" s="10" t="s">
        <v>341</v>
      </c>
      <c r="C288" s="10"/>
      <c r="D288" s="10"/>
      <c r="E288" s="10"/>
      <c r="F288" s="10" t="s">
        <v>1158</v>
      </c>
      <c r="G288" s="4" t="s">
        <v>11</v>
      </c>
      <c r="H288" s="4">
        <v>2</v>
      </c>
      <c r="I288" s="4">
        <f t="shared" si="14"/>
        <v>2600</v>
      </c>
      <c r="J288" s="4">
        <v>2600</v>
      </c>
      <c r="K288" s="4">
        <f t="shared" si="15"/>
        <v>0</v>
      </c>
      <c r="L288" s="1">
        <v>2600</v>
      </c>
      <c r="M288" s="93">
        <f t="shared" si="16"/>
        <v>0</v>
      </c>
      <c r="N288" s="2"/>
      <c r="O288" s="97"/>
      <c r="P288" s="52">
        <v>1</v>
      </c>
    </row>
    <row r="289" spans="1:16" ht="40.950000000000003" customHeight="1" x14ac:dyDescent="0.3">
      <c r="A289" s="4">
        <v>73</v>
      </c>
      <c r="B289" s="10" t="s">
        <v>452</v>
      </c>
      <c r="C289" s="10"/>
      <c r="D289" s="10"/>
      <c r="E289" s="10"/>
      <c r="F289" s="10" t="s">
        <v>87</v>
      </c>
      <c r="G289" s="4" t="s">
        <v>7</v>
      </c>
      <c r="H289" s="4"/>
      <c r="I289" s="4">
        <f t="shared" si="14"/>
        <v>4130</v>
      </c>
      <c r="J289" s="4">
        <v>4250</v>
      </c>
      <c r="K289" s="4">
        <f t="shared" si="15"/>
        <v>0</v>
      </c>
      <c r="L289" s="1">
        <v>4250</v>
      </c>
      <c r="M289" s="93">
        <f t="shared" si="16"/>
        <v>0</v>
      </c>
      <c r="N289" s="2">
        <v>120</v>
      </c>
      <c r="O289" s="97">
        <v>120</v>
      </c>
      <c r="P289" s="52"/>
    </row>
    <row r="290" spans="1:16" ht="40.950000000000003" customHeight="1" x14ac:dyDescent="0.3">
      <c r="A290" s="4">
        <v>73</v>
      </c>
      <c r="B290" s="10" t="s">
        <v>452</v>
      </c>
      <c r="C290" s="10"/>
      <c r="D290" s="10"/>
      <c r="E290" s="10"/>
      <c r="F290" s="10" t="s">
        <v>87</v>
      </c>
      <c r="G290" s="4" t="s">
        <v>8</v>
      </c>
      <c r="H290" s="4"/>
      <c r="I290" s="4">
        <f t="shared" si="14"/>
        <v>4250</v>
      </c>
      <c r="J290" s="4">
        <v>4250</v>
      </c>
      <c r="K290" s="4">
        <f t="shared" si="15"/>
        <v>0</v>
      </c>
      <c r="L290" s="1">
        <v>4250</v>
      </c>
      <c r="M290" s="93">
        <f t="shared" si="16"/>
        <v>0</v>
      </c>
      <c r="N290" s="2"/>
      <c r="O290" s="97"/>
      <c r="P290" s="52"/>
    </row>
    <row r="291" spans="1:16" ht="40.950000000000003" customHeight="1" x14ac:dyDescent="0.3">
      <c r="A291" s="4">
        <v>73</v>
      </c>
      <c r="B291" s="10" t="s">
        <v>452</v>
      </c>
      <c r="C291" s="10"/>
      <c r="D291" s="10"/>
      <c r="E291" s="10"/>
      <c r="F291" s="10" t="s">
        <v>87</v>
      </c>
      <c r="G291" s="4" t="s">
        <v>22</v>
      </c>
      <c r="H291" s="4" t="s">
        <v>650</v>
      </c>
      <c r="I291" s="4">
        <f t="shared" si="14"/>
        <v>3110</v>
      </c>
      <c r="J291" s="4">
        <v>3230</v>
      </c>
      <c r="K291" s="4">
        <f t="shared" si="15"/>
        <v>0</v>
      </c>
      <c r="L291" s="1">
        <v>3230</v>
      </c>
      <c r="M291" s="93">
        <f t="shared" si="16"/>
        <v>0</v>
      </c>
      <c r="N291" s="2">
        <v>120</v>
      </c>
      <c r="O291" s="97">
        <v>120</v>
      </c>
      <c r="P291" s="52"/>
    </row>
    <row r="292" spans="1:16" ht="40.950000000000003" customHeight="1" x14ac:dyDescent="0.3">
      <c r="A292" s="4">
        <v>73</v>
      </c>
      <c r="B292" s="10" t="s">
        <v>452</v>
      </c>
      <c r="C292" s="10"/>
      <c r="D292" s="10"/>
      <c r="E292" s="10"/>
      <c r="F292" s="10" t="s">
        <v>87</v>
      </c>
      <c r="G292" s="4" t="s">
        <v>70</v>
      </c>
      <c r="H292" s="4"/>
      <c r="I292" s="4">
        <f t="shared" si="14"/>
        <v>4250</v>
      </c>
      <c r="J292" s="4">
        <v>4250</v>
      </c>
      <c r="K292" s="4">
        <f t="shared" si="15"/>
        <v>0</v>
      </c>
      <c r="L292" s="1">
        <v>4250</v>
      </c>
      <c r="M292" s="93">
        <f t="shared" si="16"/>
        <v>0</v>
      </c>
      <c r="N292" s="2"/>
      <c r="O292" s="97"/>
      <c r="P292" s="52"/>
    </row>
    <row r="293" spans="1:16" ht="40.950000000000003" customHeight="1" x14ac:dyDescent="0.3">
      <c r="A293" s="4">
        <v>73</v>
      </c>
      <c r="B293" s="10" t="s">
        <v>452</v>
      </c>
      <c r="C293" s="10"/>
      <c r="D293" s="10"/>
      <c r="E293" s="10"/>
      <c r="F293" s="10" t="s">
        <v>87</v>
      </c>
      <c r="G293" s="4" t="s">
        <v>90</v>
      </c>
      <c r="H293" s="4"/>
      <c r="I293" s="4">
        <f t="shared" si="14"/>
        <v>3230</v>
      </c>
      <c r="J293" s="4">
        <v>3230</v>
      </c>
      <c r="K293" s="4">
        <f t="shared" si="15"/>
        <v>0</v>
      </c>
      <c r="L293" s="1">
        <v>3230</v>
      </c>
      <c r="M293" s="93">
        <f t="shared" si="16"/>
        <v>0</v>
      </c>
      <c r="N293" s="2"/>
      <c r="O293" s="97"/>
      <c r="P293" s="52"/>
    </row>
    <row r="294" spans="1:16" ht="40.950000000000003" customHeight="1" x14ac:dyDescent="0.3">
      <c r="A294" s="4">
        <v>73</v>
      </c>
      <c r="B294" s="10" t="s">
        <v>452</v>
      </c>
      <c r="C294" s="10"/>
      <c r="D294" s="10"/>
      <c r="E294" s="10"/>
      <c r="F294" s="10" t="s">
        <v>87</v>
      </c>
      <c r="G294" s="4" t="s">
        <v>48</v>
      </c>
      <c r="H294" s="4"/>
      <c r="I294" s="4">
        <f t="shared" si="14"/>
        <v>3230</v>
      </c>
      <c r="J294" s="4">
        <v>3230</v>
      </c>
      <c r="K294" s="4">
        <f t="shared" si="15"/>
        <v>0</v>
      </c>
      <c r="L294" s="1">
        <v>3230</v>
      </c>
      <c r="M294" s="93">
        <f t="shared" si="16"/>
        <v>0</v>
      </c>
      <c r="N294" s="2"/>
      <c r="O294" s="97"/>
      <c r="P294" s="52"/>
    </row>
    <row r="295" spans="1:16" ht="40.950000000000003" customHeight="1" x14ac:dyDescent="0.3">
      <c r="A295" s="4">
        <v>73</v>
      </c>
      <c r="B295" s="10" t="s">
        <v>452</v>
      </c>
      <c r="C295" s="10"/>
      <c r="D295" s="10"/>
      <c r="E295" s="10"/>
      <c r="F295" s="10" t="s">
        <v>87</v>
      </c>
      <c r="G295" s="4" t="s">
        <v>49</v>
      </c>
      <c r="H295" s="4"/>
      <c r="I295" s="4">
        <f t="shared" si="14"/>
        <v>3230</v>
      </c>
      <c r="J295" s="4">
        <v>3230</v>
      </c>
      <c r="K295" s="4">
        <f t="shared" si="15"/>
        <v>0</v>
      </c>
      <c r="L295" s="1">
        <v>3230</v>
      </c>
      <c r="M295" s="93">
        <f t="shared" si="16"/>
        <v>0</v>
      </c>
      <c r="N295" s="2"/>
      <c r="O295" s="97"/>
      <c r="P295" s="52"/>
    </row>
    <row r="296" spans="1:16" ht="40.950000000000003" customHeight="1" x14ac:dyDescent="0.3">
      <c r="A296" s="4">
        <v>73</v>
      </c>
      <c r="B296" s="10" t="s">
        <v>452</v>
      </c>
      <c r="C296" s="10"/>
      <c r="D296" s="10"/>
      <c r="E296" s="10"/>
      <c r="F296" s="10" t="s">
        <v>87</v>
      </c>
      <c r="G296" s="4" t="s">
        <v>50</v>
      </c>
      <c r="H296" s="4"/>
      <c r="I296" s="4">
        <f t="shared" si="14"/>
        <v>3230</v>
      </c>
      <c r="J296" s="4">
        <v>3230</v>
      </c>
      <c r="K296" s="4">
        <f t="shared" si="15"/>
        <v>0</v>
      </c>
      <c r="L296" s="1">
        <v>3230</v>
      </c>
      <c r="M296" s="93">
        <f t="shared" si="16"/>
        <v>0</v>
      </c>
      <c r="N296" s="2"/>
      <c r="O296" s="97"/>
      <c r="P296" s="52"/>
    </row>
    <row r="297" spans="1:16" ht="40.950000000000003" customHeight="1" x14ac:dyDescent="0.3">
      <c r="A297" s="4">
        <v>73</v>
      </c>
      <c r="B297" s="10" t="s">
        <v>452</v>
      </c>
      <c r="C297" s="10"/>
      <c r="D297" s="10"/>
      <c r="E297" s="10"/>
      <c r="F297" s="10" t="s">
        <v>87</v>
      </c>
      <c r="G297" s="4" t="s">
        <v>51</v>
      </c>
      <c r="H297" s="4"/>
      <c r="I297" s="4">
        <f t="shared" si="14"/>
        <v>3230</v>
      </c>
      <c r="J297" s="4">
        <v>3230</v>
      </c>
      <c r="K297" s="4">
        <f t="shared" si="15"/>
        <v>0</v>
      </c>
      <c r="L297" s="1">
        <v>3230</v>
      </c>
      <c r="M297" s="93">
        <f t="shared" si="16"/>
        <v>0</v>
      </c>
      <c r="N297" s="2"/>
      <c r="O297" s="97"/>
      <c r="P297" s="52"/>
    </row>
    <row r="298" spans="1:16" ht="40.950000000000003" customHeight="1" x14ac:dyDescent="0.3">
      <c r="A298" s="4">
        <v>73</v>
      </c>
      <c r="B298" s="10" t="s">
        <v>452</v>
      </c>
      <c r="C298" s="10"/>
      <c r="D298" s="10"/>
      <c r="E298" s="10"/>
      <c r="F298" s="10" t="s">
        <v>87</v>
      </c>
      <c r="G298" s="4" t="s">
        <v>39</v>
      </c>
      <c r="H298" s="4"/>
      <c r="I298" s="4">
        <f t="shared" si="14"/>
        <v>2810</v>
      </c>
      <c r="J298" s="4">
        <v>3230</v>
      </c>
      <c r="K298" s="4">
        <f t="shared" si="15"/>
        <v>0</v>
      </c>
      <c r="L298" s="1">
        <v>3230</v>
      </c>
      <c r="M298" s="93">
        <f t="shared" si="16"/>
        <v>0</v>
      </c>
      <c r="N298" s="2">
        <v>420</v>
      </c>
      <c r="O298" s="97">
        <f>240+180</f>
        <v>420</v>
      </c>
      <c r="P298" s="52"/>
    </row>
    <row r="299" spans="1:16" ht="40.950000000000003" customHeight="1" x14ac:dyDescent="0.3">
      <c r="A299" s="4">
        <v>73</v>
      </c>
      <c r="B299" s="10" t="s">
        <v>452</v>
      </c>
      <c r="C299" s="10"/>
      <c r="D299" s="10"/>
      <c r="E299" s="10"/>
      <c r="F299" s="10" t="s">
        <v>87</v>
      </c>
      <c r="G299" s="4" t="s">
        <v>114</v>
      </c>
      <c r="H299" s="4"/>
      <c r="I299" s="4">
        <f t="shared" si="14"/>
        <v>3230</v>
      </c>
      <c r="J299" s="4">
        <v>3230</v>
      </c>
      <c r="K299" s="4">
        <f t="shared" si="15"/>
        <v>0</v>
      </c>
      <c r="L299" s="1">
        <v>3230</v>
      </c>
      <c r="M299" s="93">
        <f t="shared" si="16"/>
        <v>0</v>
      </c>
      <c r="N299" s="2"/>
      <c r="O299" s="97"/>
      <c r="P299" s="52"/>
    </row>
    <row r="300" spans="1:16" ht="40.950000000000003" customHeight="1" x14ac:dyDescent="0.3">
      <c r="A300" s="4">
        <v>73</v>
      </c>
      <c r="B300" s="10" t="s">
        <v>452</v>
      </c>
      <c r="C300" s="10"/>
      <c r="D300" s="10"/>
      <c r="E300" s="10"/>
      <c r="F300" s="10" t="s">
        <v>87</v>
      </c>
      <c r="G300" s="4" t="s">
        <v>85</v>
      </c>
      <c r="H300" s="4"/>
      <c r="I300" s="4">
        <f t="shared" si="14"/>
        <v>3230</v>
      </c>
      <c r="J300" s="4">
        <v>3230</v>
      </c>
      <c r="K300" s="4">
        <f t="shared" si="15"/>
        <v>0</v>
      </c>
      <c r="L300" s="1">
        <v>3230</v>
      </c>
      <c r="M300" s="93">
        <f t="shared" si="16"/>
        <v>0</v>
      </c>
      <c r="N300" s="2"/>
      <c r="O300" s="97"/>
      <c r="P300" s="52"/>
    </row>
    <row r="301" spans="1:16" ht="40.950000000000003" customHeight="1" x14ac:dyDescent="0.3">
      <c r="A301" s="4">
        <v>73</v>
      </c>
      <c r="B301" s="10" t="s">
        <v>452</v>
      </c>
      <c r="C301" s="10"/>
      <c r="D301" s="10"/>
      <c r="E301" s="10"/>
      <c r="F301" s="10" t="s">
        <v>87</v>
      </c>
      <c r="G301" s="4" t="s">
        <v>128</v>
      </c>
      <c r="H301" s="4"/>
      <c r="I301" s="4">
        <f t="shared" si="14"/>
        <v>2990</v>
      </c>
      <c r="J301" s="4">
        <v>3230</v>
      </c>
      <c r="K301" s="4">
        <f t="shared" si="15"/>
        <v>0</v>
      </c>
      <c r="L301" s="1">
        <v>3230</v>
      </c>
      <c r="M301" s="93">
        <f t="shared" si="16"/>
        <v>0</v>
      </c>
      <c r="N301" s="2">
        <v>240</v>
      </c>
      <c r="O301" s="97">
        <v>240</v>
      </c>
      <c r="P301" s="52"/>
    </row>
    <row r="302" spans="1:16" ht="40.950000000000003" customHeight="1" x14ac:dyDescent="0.3">
      <c r="A302" s="4">
        <v>73</v>
      </c>
      <c r="B302" s="10" t="s">
        <v>452</v>
      </c>
      <c r="C302" s="10"/>
      <c r="D302" s="10"/>
      <c r="E302" s="10"/>
      <c r="F302" s="10" t="s">
        <v>87</v>
      </c>
      <c r="G302" s="4" t="s">
        <v>64</v>
      </c>
      <c r="H302" s="4"/>
      <c r="I302" s="4">
        <f t="shared" si="14"/>
        <v>3230</v>
      </c>
      <c r="J302" s="4">
        <v>3230</v>
      </c>
      <c r="K302" s="4">
        <f t="shared" si="15"/>
        <v>0</v>
      </c>
      <c r="L302" s="1">
        <v>3230</v>
      </c>
      <c r="M302" s="93">
        <f t="shared" si="16"/>
        <v>0</v>
      </c>
      <c r="N302" s="2"/>
      <c r="O302" s="97"/>
      <c r="P302" s="52"/>
    </row>
    <row r="303" spans="1:16" ht="40.950000000000003" customHeight="1" x14ac:dyDescent="0.3">
      <c r="A303" s="4">
        <v>73</v>
      </c>
      <c r="B303" s="10" t="s">
        <v>452</v>
      </c>
      <c r="C303" s="10"/>
      <c r="D303" s="10"/>
      <c r="E303" s="10"/>
      <c r="F303" s="10" t="s">
        <v>87</v>
      </c>
      <c r="G303" s="4" t="s">
        <v>122</v>
      </c>
      <c r="H303" s="4"/>
      <c r="I303" s="4">
        <f t="shared" si="14"/>
        <v>3230</v>
      </c>
      <c r="J303" s="4">
        <v>3230</v>
      </c>
      <c r="K303" s="4">
        <f t="shared" si="15"/>
        <v>0</v>
      </c>
      <c r="L303" s="1">
        <v>3230</v>
      </c>
      <c r="M303" s="93">
        <f t="shared" si="16"/>
        <v>0</v>
      </c>
      <c r="N303" s="2"/>
      <c r="O303" s="97"/>
      <c r="P303" s="52"/>
    </row>
    <row r="304" spans="1:16" ht="40.950000000000003" customHeight="1" x14ac:dyDescent="0.3">
      <c r="A304" s="4">
        <v>73</v>
      </c>
      <c r="B304" s="10" t="s">
        <v>452</v>
      </c>
      <c r="C304" s="10"/>
      <c r="D304" s="10"/>
      <c r="E304" s="10"/>
      <c r="F304" s="10" t="s">
        <v>87</v>
      </c>
      <c r="G304" s="4" t="s">
        <v>143</v>
      </c>
      <c r="H304" s="4"/>
      <c r="I304" s="4">
        <f t="shared" si="14"/>
        <v>3230</v>
      </c>
      <c r="J304" s="4">
        <v>3230</v>
      </c>
      <c r="K304" s="4">
        <f t="shared" si="15"/>
        <v>0</v>
      </c>
      <c r="L304" s="1">
        <v>3230</v>
      </c>
      <c r="M304" s="93">
        <f t="shared" si="16"/>
        <v>0</v>
      </c>
      <c r="N304" s="2"/>
      <c r="O304" s="97"/>
      <c r="P304" s="52"/>
    </row>
    <row r="305" spans="1:16" ht="40.950000000000003" customHeight="1" x14ac:dyDescent="0.3">
      <c r="A305" s="4">
        <v>73</v>
      </c>
      <c r="B305" s="10" t="s">
        <v>452</v>
      </c>
      <c r="C305" s="10"/>
      <c r="D305" s="10"/>
      <c r="E305" s="10"/>
      <c r="F305" s="10" t="s">
        <v>87</v>
      </c>
      <c r="G305" s="4" t="s">
        <v>11</v>
      </c>
      <c r="H305" s="4"/>
      <c r="I305" s="4">
        <f t="shared" si="14"/>
        <v>4010</v>
      </c>
      <c r="J305" s="4">
        <v>4250</v>
      </c>
      <c r="K305" s="4">
        <f t="shared" si="15"/>
        <v>0</v>
      </c>
      <c r="L305" s="1">
        <v>4250</v>
      </c>
      <c r="M305" s="93">
        <f t="shared" si="16"/>
        <v>0</v>
      </c>
      <c r="N305" s="2">
        <v>240</v>
      </c>
      <c r="O305" s="97">
        <f>120+120</f>
        <v>240</v>
      </c>
      <c r="P305" s="52"/>
    </row>
    <row r="306" spans="1:16" ht="40.950000000000003" customHeight="1" x14ac:dyDescent="0.3">
      <c r="A306" s="4">
        <v>73</v>
      </c>
      <c r="B306" s="10" t="s">
        <v>452</v>
      </c>
      <c r="C306" s="10"/>
      <c r="D306" s="10"/>
      <c r="E306" s="10"/>
      <c r="F306" s="10" t="s">
        <v>87</v>
      </c>
      <c r="G306" s="4" t="s">
        <v>9</v>
      </c>
      <c r="H306" s="4"/>
      <c r="I306" s="4">
        <f t="shared" si="14"/>
        <v>3110</v>
      </c>
      <c r="J306" s="4">
        <v>3230</v>
      </c>
      <c r="K306" s="4">
        <f t="shared" si="15"/>
        <v>0</v>
      </c>
      <c r="L306" s="1">
        <v>3230</v>
      </c>
      <c r="M306" s="93">
        <f t="shared" si="16"/>
        <v>0</v>
      </c>
      <c r="N306" s="2">
        <v>120</v>
      </c>
      <c r="O306" s="97">
        <v>120</v>
      </c>
      <c r="P306" s="52"/>
    </row>
    <row r="307" spans="1:16" ht="40.950000000000003" customHeight="1" x14ac:dyDescent="0.3">
      <c r="A307" s="4">
        <v>74</v>
      </c>
      <c r="B307" s="10" t="s">
        <v>453</v>
      </c>
      <c r="C307" s="10"/>
      <c r="D307" s="10"/>
      <c r="E307" s="10"/>
      <c r="F307" s="10" t="s">
        <v>87</v>
      </c>
      <c r="G307" s="4" t="s">
        <v>7</v>
      </c>
      <c r="H307" s="4"/>
      <c r="I307" s="4">
        <f t="shared" si="14"/>
        <v>3000</v>
      </c>
      <c r="J307" s="4">
        <v>3000</v>
      </c>
      <c r="K307" s="4">
        <f t="shared" si="15"/>
        <v>0</v>
      </c>
      <c r="L307" s="1">
        <v>3000</v>
      </c>
      <c r="M307" s="93">
        <f t="shared" si="16"/>
        <v>0</v>
      </c>
      <c r="N307" s="2"/>
      <c r="O307" s="97"/>
      <c r="P307" s="52"/>
    </row>
    <row r="308" spans="1:16" ht="40.950000000000003" customHeight="1" x14ac:dyDescent="0.3">
      <c r="A308" s="4">
        <v>74</v>
      </c>
      <c r="B308" s="10" t="s">
        <v>453</v>
      </c>
      <c r="C308" s="10"/>
      <c r="D308" s="10"/>
      <c r="E308" s="10"/>
      <c r="F308" s="10" t="s">
        <v>87</v>
      </c>
      <c r="G308" s="4" t="s">
        <v>8</v>
      </c>
      <c r="H308" s="4"/>
      <c r="I308" s="4">
        <f t="shared" si="14"/>
        <v>3000</v>
      </c>
      <c r="J308" s="4">
        <v>3000</v>
      </c>
      <c r="K308" s="4">
        <f t="shared" si="15"/>
        <v>0</v>
      </c>
      <c r="L308" s="1">
        <v>3000</v>
      </c>
      <c r="M308" s="93">
        <f t="shared" si="16"/>
        <v>0</v>
      </c>
      <c r="N308" s="2"/>
      <c r="O308" s="97"/>
      <c r="P308" s="52"/>
    </row>
    <row r="309" spans="1:16" ht="40.950000000000003" customHeight="1" x14ac:dyDescent="0.3">
      <c r="A309" s="4">
        <v>74</v>
      </c>
      <c r="B309" s="10" t="s">
        <v>453</v>
      </c>
      <c r="C309" s="10"/>
      <c r="D309" s="10"/>
      <c r="E309" s="10"/>
      <c r="F309" s="10" t="s">
        <v>87</v>
      </c>
      <c r="G309" s="4" t="s">
        <v>9</v>
      </c>
      <c r="H309" s="4"/>
      <c r="I309" s="4">
        <f t="shared" si="14"/>
        <v>3000</v>
      </c>
      <c r="J309" s="4">
        <v>3000</v>
      </c>
      <c r="K309" s="4">
        <f t="shared" si="15"/>
        <v>0</v>
      </c>
      <c r="L309" s="1">
        <v>3000</v>
      </c>
      <c r="M309" s="93">
        <f t="shared" si="16"/>
        <v>0</v>
      </c>
      <c r="N309" s="2"/>
      <c r="O309" s="97"/>
      <c r="P309" s="52"/>
    </row>
    <row r="310" spans="1:16" ht="40.950000000000003" customHeight="1" x14ac:dyDescent="0.3">
      <c r="A310" s="4">
        <v>74</v>
      </c>
      <c r="B310" s="10" t="s">
        <v>453</v>
      </c>
      <c r="C310" s="10"/>
      <c r="D310" s="10"/>
      <c r="E310" s="10"/>
      <c r="F310" s="10" t="s">
        <v>87</v>
      </c>
      <c r="G310" s="4" t="s">
        <v>11</v>
      </c>
      <c r="H310" s="4"/>
      <c r="I310" s="4">
        <f t="shared" si="14"/>
        <v>3000</v>
      </c>
      <c r="J310" s="4">
        <v>3000</v>
      </c>
      <c r="K310" s="4">
        <f t="shared" si="15"/>
        <v>0</v>
      </c>
      <c r="L310" s="1">
        <v>3000</v>
      </c>
      <c r="M310" s="93">
        <f t="shared" si="16"/>
        <v>0</v>
      </c>
      <c r="N310" s="2"/>
      <c r="O310" s="97"/>
      <c r="P310" s="52"/>
    </row>
    <row r="311" spans="1:16" ht="40.950000000000003" customHeight="1" x14ac:dyDescent="0.3">
      <c r="A311" s="4">
        <v>74</v>
      </c>
      <c r="B311" s="10" t="s">
        <v>453</v>
      </c>
      <c r="C311" s="10"/>
      <c r="D311" s="10"/>
      <c r="E311" s="10"/>
      <c r="F311" s="10" t="s">
        <v>87</v>
      </c>
      <c r="G311" s="4" t="s">
        <v>22</v>
      </c>
      <c r="H311" s="4"/>
      <c r="I311" s="4">
        <f t="shared" si="14"/>
        <v>3000</v>
      </c>
      <c r="J311" s="4">
        <v>3000</v>
      </c>
      <c r="K311" s="4">
        <f t="shared" si="15"/>
        <v>0</v>
      </c>
      <c r="L311" s="1">
        <v>3000</v>
      </c>
      <c r="M311" s="93">
        <f t="shared" si="16"/>
        <v>0</v>
      </c>
      <c r="N311" s="2"/>
      <c r="O311" s="97"/>
      <c r="P311" s="52"/>
    </row>
    <row r="312" spans="1:16" ht="40.950000000000003" customHeight="1" x14ac:dyDescent="0.3">
      <c r="A312" s="4">
        <v>74</v>
      </c>
      <c r="B312" s="10" t="s">
        <v>453</v>
      </c>
      <c r="C312" s="10"/>
      <c r="D312" s="10"/>
      <c r="E312" s="10"/>
      <c r="F312" s="10" t="s">
        <v>87</v>
      </c>
      <c r="G312" s="4" t="s">
        <v>70</v>
      </c>
      <c r="H312" s="4"/>
      <c r="I312" s="4">
        <f t="shared" si="14"/>
        <v>3000</v>
      </c>
      <c r="J312" s="4">
        <v>3000</v>
      </c>
      <c r="K312" s="4">
        <f t="shared" si="15"/>
        <v>0</v>
      </c>
      <c r="L312" s="1">
        <v>3000</v>
      </c>
      <c r="M312" s="93">
        <f t="shared" si="16"/>
        <v>0</v>
      </c>
      <c r="N312" s="2"/>
      <c r="O312" s="97"/>
      <c r="P312" s="52"/>
    </row>
    <row r="313" spans="1:16" ht="40.950000000000003" customHeight="1" x14ac:dyDescent="0.3">
      <c r="A313" s="4">
        <v>74</v>
      </c>
      <c r="B313" s="10" t="s">
        <v>453</v>
      </c>
      <c r="C313" s="10"/>
      <c r="D313" s="10"/>
      <c r="E313" s="10"/>
      <c r="F313" s="10" t="s">
        <v>87</v>
      </c>
      <c r="G313" s="4" t="s">
        <v>90</v>
      </c>
      <c r="H313" s="4"/>
      <c r="I313" s="4">
        <f t="shared" si="14"/>
        <v>3000</v>
      </c>
      <c r="J313" s="4">
        <v>3000</v>
      </c>
      <c r="K313" s="4">
        <f t="shared" si="15"/>
        <v>0</v>
      </c>
      <c r="L313" s="1">
        <v>3000</v>
      </c>
      <c r="M313" s="93">
        <f t="shared" si="16"/>
        <v>0</v>
      </c>
      <c r="N313" s="2"/>
      <c r="O313" s="97"/>
      <c r="P313" s="52"/>
    </row>
    <row r="314" spans="1:16" ht="40.950000000000003" customHeight="1" x14ac:dyDescent="0.3">
      <c r="A314" s="4">
        <v>74</v>
      </c>
      <c r="B314" s="10" t="s">
        <v>453</v>
      </c>
      <c r="C314" s="10"/>
      <c r="D314" s="10"/>
      <c r="E314" s="10"/>
      <c r="F314" s="10" t="s">
        <v>87</v>
      </c>
      <c r="G314" s="4" t="s">
        <v>48</v>
      </c>
      <c r="H314" s="4"/>
      <c r="I314" s="4">
        <f t="shared" si="14"/>
        <v>3000</v>
      </c>
      <c r="J314" s="4">
        <v>3000</v>
      </c>
      <c r="K314" s="4">
        <f t="shared" si="15"/>
        <v>0</v>
      </c>
      <c r="L314" s="1">
        <v>3000</v>
      </c>
      <c r="M314" s="93">
        <f t="shared" si="16"/>
        <v>0</v>
      </c>
      <c r="N314" s="2"/>
      <c r="O314" s="97"/>
      <c r="P314" s="52"/>
    </row>
    <row r="315" spans="1:16" ht="40.950000000000003" customHeight="1" x14ac:dyDescent="0.3">
      <c r="A315" s="4">
        <v>74</v>
      </c>
      <c r="B315" s="10" t="s">
        <v>453</v>
      </c>
      <c r="C315" s="10"/>
      <c r="D315" s="10"/>
      <c r="E315" s="10"/>
      <c r="F315" s="10" t="s">
        <v>87</v>
      </c>
      <c r="G315" s="4" t="s">
        <v>49</v>
      </c>
      <c r="H315" s="4"/>
      <c r="I315" s="4">
        <f t="shared" si="14"/>
        <v>3000</v>
      </c>
      <c r="J315" s="4">
        <v>3000</v>
      </c>
      <c r="K315" s="4">
        <f t="shared" si="15"/>
        <v>0</v>
      </c>
      <c r="L315" s="1">
        <v>3000</v>
      </c>
      <c r="M315" s="93">
        <f t="shared" si="16"/>
        <v>0</v>
      </c>
      <c r="N315" s="2"/>
      <c r="O315" s="97"/>
      <c r="P315" s="52"/>
    </row>
    <row r="316" spans="1:16" ht="40.950000000000003" customHeight="1" x14ac:dyDescent="0.3">
      <c r="A316" s="4">
        <v>74</v>
      </c>
      <c r="B316" s="10" t="s">
        <v>453</v>
      </c>
      <c r="C316" s="10"/>
      <c r="D316" s="10"/>
      <c r="E316" s="10"/>
      <c r="F316" s="10" t="s">
        <v>87</v>
      </c>
      <c r="G316" s="4" t="s">
        <v>50</v>
      </c>
      <c r="H316" s="4"/>
      <c r="I316" s="4">
        <f t="shared" si="14"/>
        <v>3000</v>
      </c>
      <c r="J316" s="4">
        <v>3000</v>
      </c>
      <c r="K316" s="4">
        <f t="shared" si="15"/>
        <v>0</v>
      </c>
      <c r="L316" s="1">
        <v>3000</v>
      </c>
      <c r="M316" s="93">
        <f t="shared" si="16"/>
        <v>0</v>
      </c>
      <c r="N316" s="2"/>
      <c r="O316" s="97"/>
      <c r="P316" s="52"/>
    </row>
    <row r="317" spans="1:16" ht="40.950000000000003" customHeight="1" x14ac:dyDescent="0.3">
      <c r="A317" s="4">
        <v>74</v>
      </c>
      <c r="B317" s="10" t="s">
        <v>453</v>
      </c>
      <c r="C317" s="10"/>
      <c r="D317" s="10"/>
      <c r="E317" s="10"/>
      <c r="F317" s="10" t="s">
        <v>87</v>
      </c>
      <c r="G317" s="4" t="s">
        <v>51</v>
      </c>
      <c r="H317" s="4"/>
      <c r="I317" s="4">
        <f t="shared" si="14"/>
        <v>3000</v>
      </c>
      <c r="J317" s="4">
        <v>3000</v>
      </c>
      <c r="K317" s="4">
        <f t="shared" si="15"/>
        <v>0</v>
      </c>
      <c r="L317" s="1">
        <v>3000</v>
      </c>
      <c r="M317" s="93">
        <f t="shared" si="16"/>
        <v>0</v>
      </c>
      <c r="N317" s="2"/>
      <c r="O317" s="97"/>
      <c r="P317" s="52"/>
    </row>
    <row r="318" spans="1:16" ht="40.950000000000003" customHeight="1" x14ac:dyDescent="0.3">
      <c r="A318" s="4">
        <v>74</v>
      </c>
      <c r="B318" s="10" t="s">
        <v>453</v>
      </c>
      <c r="C318" s="10"/>
      <c r="D318" s="10"/>
      <c r="E318" s="10"/>
      <c r="F318" s="10" t="s">
        <v>87</v>
      </c>
      <c r="G318" s="4" t="s">
        <v>39</v>
      </c>
      <c r="H318" s="4"/>
      <c r="I318" s="4">
        <f t="shared" si="14"/>
        <v>3000</v>
      </c>
      <c r="J318" s="4">
        <v>3000</v>
      </c>
      <c r="K318" s="4">
        <f t="shared" si="15"/>
        <v>0</v>
      </c>
      <c r="L318" s="1">
        <v>3000</v>
      </c>
      <c r="M318" s="93">
        <f t="shared" si="16"/>
        <v>0</v>
      </c>
      <c r="N318" s="2"/>
      <c r="O318" s="97"/>
      <c r="P318" s="52"/>
    </row>
    <row r="319" spans="1:16" ht="40.950000000000003" customHeight="1" x14ac:dyDescent="0.3">
      <c r="A319" s="4">
        <v>74</v>
      </c>
      <c r="B319" s="10" t="s">
        <v>453</v>
      </c>
      <c r="C319" s="10"/>
      <c r="D319" s="10"/>
      <c r="E319" s="10"/>
      <c r="F319" s="10" t="s">
        <v>87</v>
      </c>
      <c r="G319" s="4" t="s">
        <v>114</v>
      </c>
      <c r="H319" s="4"/>
      <c r="I319" s="4">
        <f t="shared" si="14"/>
        <v>3000</v>
      </c>
      <c r="J319" s="4">
        <v>3000</v>
      </c>
      <c r="K319" s="4">
        <f t="shared" si="15"/>
        <v>0</v>
      </c>
      <c r="L319" s="1">
        <v>3000</v>
      </c>
      <c r="M319" s="93">
        <f t="shared" si="16"/>
        <v>0</v>
      </c>
      <c r="N319" s="2"/>
      <c r="O319" s="97"/>
      <c r="P319" s="52"/>
    </row>
    <row r="320" spans="1:16" ht="40.950000000000003" customHeight="1" x14ac:dyDescent="0.3">
      <c r="A320" s="4">
        <v>74</v>
      </c>
      <c r="B320" s="10" t="s">
        <v>453</v>
      </c>
      <c r="C320" s="10"/>
      <c r="D320" s="10"/>
      <c r="E320" s="10"/>
      <c r="F320" s="10" t="s">
        <v>87</v>
      </c>
      <c r="G320" s="4" t="s">
        <v>85</v>
      </c>
      <c r="H320" s="4"/>
      <c r="I320" s="4">
        <f t="shared" si="14"/>
        <v>3000</v>
      </c>
      <c r="J320" s="4">
        <v>3000</v>
      </c>
      <c r="K320" s="4">
        <f t="shared" si="15"/>
        <v>0</v>
      </c>
      <c r="L320" s="1">
        <v>3000</v>
      </c>
      <c r="M320" s="93">
        <f t="shared" si="16"/>
        <v>0</v>
      </c>
      <c r="N320" s="2"/>
      <c r="O320" s="97"/>
      <c r="P320" s="52"/>
    </row>
    <row r="321" spans="1:16" ht="40.950000000000003" customHeight="1" x14ac:dyDescent="0.3">
      <c r="A321" s="4">
        <v>74</v>
      </c>
      <c r="B321" s="10" t="s">
        <v>453</v>
      </c>
      <c r="C321" s="10"/>
      <c r="D321" s="10"/>
      <c r="E321" s="10"/>
      <c r="F321" s="10" t="s">
        <v>87</v>
      </c>
      <c r="G321" s="4" t="s">
        <v>128</v>
      </c>
      <c r="H321" s="4"/>
      <c r="I321" s="4">
        <f t="shared" si="14"/>
        <v>3000</v>
      </c>
      <c r="J321" s="4">
        <v>3000</v>
      </c>
      <c r="K321" s="4">
        <f t="shared" si="15"/>
        <v>0</v>
      </c>
      <c r="L321" s="1">
        <v>3000</v>
      </c>
      <c r="M321" s="93">
        <f t="shared" si="16"/>
        <v>0</v>
      </c>
      <c r="N321" s="2"/>
      <c r="O321" s="97"/>
      <c r="P321" s="52"/>
    </row>
    <row r="322" spans="1:16" ht="40.950000000000003" customHeight="1" x14ac:dyDescent="0.3">
      <c r="A322" s="4">
        <v>74</v>
      </c>
      <c r="B322" s="10" t="s">
        <v>453</v>
      </c>
      <c r="C322" s="10"/>
      <c r="D322" s="10"/>
      <c r="E322" s="10"/>
      <c r="F322" s="10" t="s">
        <v>87</v>
      </c>
      <c r="G322" s="4" t="s">
        <v>64</v>
      </c>
      <c r="H322" s="4"/>
      <c r="I322" s="4">
        <f t="shared" si="14"/>
        <v>3000</v>
      </c>
      <c r="J322" s="4">
        <v>3000</v>
      </c>
      <c r="K322" s="4">
        <f t="shared" si="15"/>
        <v>0</v>
      </c>
      <c r="L322" s="1">
        <v>3000</v>
      </c>
      <c r="M322" s="93">
        <f t="shared" si="16"/>
        <v>0</v>
      </c>
      <c r="N322" s="2"/>
      <c r="O322" s="97"/>
      <c r="P322" s="52"/>
    </row>
    <row r="323" spans="1:16" ht="40.950000000000003" customHeight="1" x14ac:dyDescent="0.3">
      <c r="A323" s="4">
        <v>74</v>
      </c>
      <c r="B323" s="10" t="s">
        <v>453</v>
      </c>
      <c r="C323" s="10"/>
      <c r="D323" s="10"/>
      <c r="E323" s="10"/>
      <c r="F323" s="10" t="s">
        <v>87</v>
      </c>
      <c r="G323" s="4" t="s">
        <v>122</v>
      </c>
      <c r="H323" s="4"/>
      <c r="I323" s="4">
        <f t="shared" si="14"/>
        <v>3000</v>
      </c>
      <c r="J323" s="4">
        <v>3000</v>
      </c>
      <c r="K323" s="4">
        <f t="shared" si="15"/>
        <v>0</v>
      </c>
      <c r="L323" s="1">
        <v>3000</v>
      </c>
      <c r="M323" s="93">
        <f t="shared" si="16"/>
        <v>0</v>
      </c>
      <c r="N323" s="2"/>
      <c r="O323" s="97"/>
      <c r="P323" s="52"/>
    </row>
    <row r="324" spans="1:16" ht="40.950000000000003" customHeight="1" x14ac:dyDescent="0.3">
      <c r="A324" s="4">
        <v>74</v>
      </c>
      <c r="B324" s="10" t="s">
        <v>453</v>
      </c>
      <c r="C324" s="10"/>
      <c r="D324" s="10"/>
      <c r="E324" s="10"/>
      <c r="F324" s="10" t="s">
        <v>87</v>
      </c>
      <c r="G324" s="4" t="s">
        <v>143</v>
      </c>
      <c r="H324" s="4"/>
      <c r="I324" s="4">
        <f t="shared" si="14"/>
        <v>3000</v>
      </c>
      <c r="J324" s="4">
        <v>3000</v>
      </c>
      <c r="K324" s="4">
        <f t="shared" si="15"/>
        <v>0</v>
      </c>
      <c r="L324" s="1">
        <v>3000</v>
      </c>
      <c r="M324" s="93">
        <f t="shared" si="16"/>
        <v>0</v>
      </c>
      <c r="N324" s="2"/>
      <c r="O324" s="97"/>
      <c r="P324" s="52"/>
    </row>
    <row r="325" spans="1:16" ht="40.950000000000003" customHeight="1" x14ac:dyDescent="0.3">
      <c r="A325" s="4">
        <v>75</v>
      </c>
      <c r="B325" s="10" t="s">
        <v>121</v>
      </c>
      <c r="C325" s="10"/>
      <c r="D325" s="10"/>
      <c r="E325" s="10"/>
      <c r="F325" s="10" t="s">
        <v>89</v>
      </c>
      <c r="G325" s="4" t="s">
        <v>50</v>
      </c>
      <c r="H325" s="4">
        <v>13</v>
      </c>
      <c r="I325" s="4">
        <f t="shared" si="14"/>
        <v>60612.3</v>
      </c>
      <c r="J325" s="4">
        <v>75167.3</v>
      </c>
      <c r="K325" s="4">
        <f>L325-J325</f>
        <v>0</v>
      </c>
      <c r="L325" s="1">
        <v>75167.3</v>
      </c>
      <c r="M325" s="93">
        <f t="shared" si="16"/>
        <v>0</v>
      </c>
      <c r="N325" s="2">
        <v>14555</v>
      </c>
      <c r="O325" s="97">
        <f>420+120+240+120+180+540+840+12095</f>
        <v>14555</v>
      </c>
      <c r="P325" s="52"/>
    </row>
    <row r="326" spans="1:16" ht="40.950000000000003" customHeight="1" x14ac:dyDescent="0.3">
      <c r="A326" s="4">
        <v>75</v>
      </c>
      <c r="B326" s="10" t="s">
        <v>121</v>
      </c>
      <c r="C326" s="10"/>
      <c r="D326" s="10"/>
      <c r="E326" s="10"/>
      <c r="F326" s="10" t="s">
        <v>89</v>
      </c>
      <c r="G326" s="4" t="s">
        <v>49</v>
      </c>
      <c r="H326" s="4">
        <v>16</v>
      </c>
      <c r="I326" s="4">
        <f t="shared" si="14"/>
        <v>66678</v>
      </c>
      <c r="J326" s="4">
        <v>81017</v>
      </c>
      <c r="K326" s="4">
        <f t="shared" si="15"/>
        <v>0</v>
      </c>
      <c r="L326" s="1">
        <v>81017</v>
      </c>
      <c r="M326" s="93">
        <f t="shared" si="16"/>
        <v>0</v>
      </c>
      <c r="N326" s="2">
        <v>14339</v>
      </c>
      <c r="O326" s="97">
        <v>14339</v>
      </c>
      <c r="P326" s="52" t="s">
        <v>1352</v>
      </c>
    </row>
    <row r="327" spans="1:16" ht="40.950000000000003" customHeight="1" x14ac:dyDescent="0.3">
      <c r="A327" s="4">
        <v>75</v>
      </c>
      <c r="B327" s="10" t="s">
        <v>121</v>
      </c>
      <c r="C327" s="10"/>
      <c r="D327" s="10"/>
      <c r="E327" s="10"/>
      <c r="F327" s="10" t="s">
        <v>89</v>
      </c>
      <c r="G327" s="4" t="s">
        <v>128</v>
      </c>
      <c r="H327" s="4">
        <v>15</v>
      </c>
      <c r="I327" s="4">
        <f t="shared" si="14"/>
        <v>66261</v>
      </c>
      <c r="J327" s="4">
        <v>83794</v>
      </c>
      <c r="K327" s="4">
        <f t="shared" si="15"/>
        <v>0</v>
      </c>
      <c r="L327" s="1">
        <v>83794</v>
      </c>
      <c r="M327" s="93">
        <f t="shared" si="16"/>
        <v>0</v>
      </c>
      <c r="N327" s="2">
        <v>17533</v>
      </c>
      <c r="O327" s="97">
        <f>60+120+240+600+355+360+120+120+15558</f>
        <v>17533</v>
      </c>
      <c r="P327" s="52"/>
    </row>
    <row r="328" spans="1:16" ht="40.950000000000003" customHeight="1" x14ac:dyDescent="0.3">
      <c r="A328" s="4">
        <v>75</v>
      </c>
      <c r="B328" s="10" t="s">
        <v>121</v>
      </c>
      <c r="C328" s="10"/>
      <c r="D328" s="10"/>
      <c r="E328" s="10"/>
      <c r="F328" s="10" t="s">
        <v>89</v>
      </c>
      <c r="G328" s="4" t="s">
        <v>64</v>
      </c>
      <c r="H328" s="4">
        <v>14</v>
      </c>
      <c r="I328" s="4">
        <f t="shared" si="14"/>
        <v>73296</v>
      </c>
      <c r="J328" s="4">
        <v>85166</v>
      </c>
      <c r="K328" s="4">
        <f>L328-J328</f>
        <v>0</v>
      </c>
      <c r="L328" s="1">
        <v>85166</v>
      </c>
      <c r="M328" s="93">
        <f t="shared" si="16"/>
        <v>0</v>
      </c>
      <c r="N328" s="2">
        <v>11870</v>
      </c>
      <c r="O328" s="97">
        <f>360+480+300+960+2300+240+360+6870</f>
        <v>11870</v>
      </c>
      <c r="P328" s="52"/>
    </row>
    <row r="329" spans="1:16" ht="40.950000000000003" customHeight="1" x14ac:dyDescent="0.3">
      <c r="A329" s="4">
        <v>75</v>
      </c>
      <c r="B329" s="10" t="s">
        <v>121</v>
      </c>
      <c r="C329" s="10"/>
      <c r="D329" s="10"/>
      <c r="E329" s="10"/>
      <c r="F329" s="10" t="s">
        <v>89</v>
      </c>
      <c r="G329" s="4" t="s">
        <v>51</v>
      </c>
      <c r="H329" s="4">
        <v>14</v>
      </c>
      <c r="I329" s="4">
        <f t="shared" si="14"/>
        <v>60493</v>
      </c>
      <c r="J329" s="4">
        <v>81573</v>
      </c>
      <c r="K329" s="4">
        <f t="shared" si="15"/>
        <v>0</v>
      </c>
      <c r="L329" s="1">
        <v>81573</v>
      </c>
      <c r="M329" s="93">
        <f t="shared" si="16"/>
        <v>0</v>
      </c>
      <c r="N329" s="2">
        <v>21080</v>
      </c>
      <c r="O329" s="97">
        <f>900+480+240+420+180+120+750+800+240+16950</f>
        <v>21080</v>
      </c>
      <c r="P329" s="52"/>
    </row>
    <row r="330" spans="1:16" ht="40.950000000000003" customHeight="1" x14ac:dyDescent="0.3">
      <c r="A330" s="4">
        <v>75</v>
      </c>
      <c r="B330" s="10" t="s">
        <v>121</v>
      </c>
      <c r="C330" s="10"/>
      <c r="D330" s="10"/>
      <c r="E330" s="10"/>
      <c r="F330" s="10" t="s">
        <v>89</v>
      </c>
      <c r="G330" s="4" t="s">
        <v>48</v>
      </c>
      <c r="H330" s="4">
        <v>17</v>
      </c>
      <c r="I330" s="4">
        <f t="shared" si="14"/>
        <v>70298</v>
      </c>
      <c r="J330" s="4">
        <v>82878</v>
      </c>
      <c r="K330" s="4">
        <f t="shared" si="15"/>
        <v>0</v>
      </c>
      <c r="L330" s="1">
        <v>82878</v>
      </c>
      <c r="M330" s="93">
        <f t="shared" si="16"/>
        <v>0</v>
      </c>
      <c r="N330" s="2">
        <v>12580</v>
      </c>
      <c r="O330" s="97">
        <v>12580</v>
      </c>
      <c r="P330" s="52"/>
    </row>
    <row r="331" spans="1:16" ht="40.950000000000003" customHeight="1" x14ac:dyDescent="0.3">
      <c r="A331" s="4">
        <v>76</v>
      </c>
      <c r="B331" s="10" t="s">
        <v>88</v>
      </c>
      <c r="C331" s="10" t="s">
        <v>324</v>
      </c>
      <c r="D331" s="10" t="s">
        <v>323</v>
      </c>
      <c r="E331" s="10">
        <v>28408</v>
      </c>
      <c r="F331" s="10" t="s">
        <v>89</v>
      </c>
      <c r="G331" s="4" t="s">
        <v>7</v>
      </c>
      <c r="H331" s="4">
        <v>39</v>
      </c>
      <c r="I331" s="4">
        <f t="shared" si="14"/>
        <v>161555</v>
      </c>
      <c r="J331" s="4">
        <v>176965</v>
      </c>
      <c r="K331" s="4">
        <f t="shared" si="15"/>
        <v>0</v>
      </c>
      <c r="L331" s="1">
        <v>176965</v>
      </c>
      <c r="M331" s="93">
        <f t="shared" si="16"/>
        <v>0</v>
      </c>
      <c r="N331" s="2">
        <v>15410</v>
      </c>
      <c r="O331" s="97">
        <v>15410</v>
      </c>
      <c r="P331" s="52" t="s">
        <v>1350</v>
      </c>
    </row>
    <row r="332" spans="1:16" ht="40.950000000000003" customHeight="1" x14ac:dyDescent="0.3">
      <c r="A332" s="4">
        <v>76</v>
      </c>
      <c r="B332" s="10" t="s">
        <v>88</v>
      </c>
      <c r="C332" s="10" t="s">
        <v>324</v>
      </c>
      <c r="D332" s="10" t="s">
        <v>323</v>
      </c>
      <c r="E332" s="10">
        <v>28408</v>
      </c>
      <c r="F332" s="10" t="s">
        <v>89</v>
      </c>
      <c r="G332" s="4" t="s">
        <v>8</v>
      </c>
      <c r="H332" s="4">
        <v>40</v>
      </c>
      <c r="I332" s="4">
        <f t="shared" si="14"/>
        <v>163748</v>
      </c>
      <c r="J332" s="4">
        <v>179955</v>
      </c>
      <c r="K332" s="4">
        <f t="shared" si="15"/>
        <v>0</v>
      </c>
      <c r="L332" s="1">
        <v>179955</v>
      </c>
      <c r="M332" s="93">
        <f t="shared" si="16"/>
        <v>0</v>
      </c>
      <c r="N332" s="2">
        <v>16207</v>
      </c>
      <c r="O332" s="97">
        <v>16207</v>
      </c>
      <c r="P332" s="52" t="s">
        <v>1350</v>
      </c>
    </row>
    <row r="333" spans="1:16" ht="40.950000000000003" customHeight="1" x14ac:dyDescent="0.3">
      <c r="A333" s="4">
        <v>76</v>
      </c>
      <c r="B333" s="10" t="s">
        <v>88</v>
      </c>
      <c r="C333" s="10" t="s">
        <v>324</v>
      </c>
      <c r="D333" s="10" t="s">
        <v>323</v>
      </c>
      <c r="E333" s="10">
        <v>28408</v>
      </c>
      <c r="F333" s="10" t="s">
        <v>89</v>
      </c>
      <c r="G333" s="4" t="s">
        <v>9</v>
      </c>
      <c r="H333" s="4">
        <v>37</v>
      </c>
      <c r="I333" s="4">
        <f t="shared" si="14"/>
        <v>162382</v>
      </c>
      <c r="J333" s="4">
        <v>174360</v>
      </c>
      <c r="K333" s="4">
        <f t="shared" si="15"/>
        <v>0</v>
      </c>
      <c r="L333" s="1">
        <v>174360</v>
      </c>
      <c r="M333" s="93">
        <f t="shared" si="16"/>
        <v>0</v>
      </c>
      <c r="N333" s="2">
        <v>11978</v>
      </c>
      <c r="O333" s="97">
        <v>11978</v>
      </c>
      <c r="P333" s="52" t="s">
        <v>1350</v>
      </c>
    </row>
    <row r="334" spans="1:16" ht="40.950000000000003" customHeight="1" x14ac:dyDescent="0.3">
      <c r="A334" s="4">
        <v>76</v>
      </c>
      <c r="B334" s="10" t="s">
        <v>88</v>
      </c>
      <c r="C334" s="10" t="s">
        <v>324</v>
      </c>
      <c r="D334" s="10" t="s">
        <v>323</v>
      </c>
      <c r="E334" s="10">
        <v>28408</v>
      </c>
      <c r="F334" s="10" t="s">
        <v>89</v>
      </c>
      <c r="G334" s="4" t="s">
        <v>11</v>
      </c>
      <c r="H334" s="4">
        <v>39</v>
      </c>
      <c r="I334" s="4">
        <f t="shared" si="14"/>
        <v>154094</v>
      </c>
      <c r="J334" s="4">
        <v>179585</v>
      </c>
      <c r="K334" s="4">
        <f t="shared" si="15"/>
        <v>0</v>
      </c>
      <c r="L334" s="1">
        <v>179585</v>
      </c>
      <c r="M334" s="93">
        <f t="shared" si="16"/>
        <v>0</v>
      </c>
      <c r="N334" s="2">
        <v>25491</v>
      </c>
      <c r="O334" s="97">
        <v>25491</v>
      </c>
      <c r="P334" s="52" t="s">
        <v>1350</v>
      </c>
    </row>
    <row r="335" spans="1:16" ht="40.950000000000003" customHeight="1" x14ac:dyDescent="0.3">
      <c r="A335" s="4">
        <v>76</v>
      </c>
      <c r="B335" s="10" t="s">
        <v>88</v>
      </c>
      <c r="C335" s="10" t="s">
        <v>324</v>
      </c>
      <c r="D335" s="10" t="s">
        <v>323</v>
      </c>
      <c r="E335" s="10">
        <v>28408</v>
      </c>
      <c r="F335" s="10" t="s">
        <v>89</v>
      </c>
      <c r="G335" s="4" t="s">
        <v>22</v>
      </c>
      <c r="H335" s="4">
        <v>40</v>
      </c>
      <c r="I335" s="4">
        <f t="shared" si="14"/>
        <v>157191</v>
      </c>
      <c r="J335" s="4">
        <v>175691</v>
      </c>
      <c r="K335" s="4">
        <f t="shared" si="15"/>
        <v>0</v>
      </c>
      <c r="L335" s="1">
        <v>175691</v>
      </c>
      <c r="M335" s="93">
        <f t="shared" si="16"/>
        <v>0</v>
      </c>
      <c r="N335" s="2">
        <v>18500</v>
      </c>
      <c r="O335" s="97">
        <v>18500</v>
      </c>
      <c r="P335" s="52" t="s">
        <v>1351</v>
      </c>
    </row>
    <row r="336" spans="1:16" ht="40.950000000000003" customHeight="1" x14ac:dyDescent="0.3">
      <c r="A336" s="4">
        <v>76</v>
      </c>
      <c r="B336" s="10" t="s">
        <v>88</v>
      </c>
      <c r="C336" s="10" t="s">
        <v>324</v>
      </c>
      <c r="D336" s="10" t="s">
        <v>323</v>
      </c>
      <c r="E336" s="10">
        <v>28408</v>
      </c>
      <c r="F336" s="10" t="s">
        <v>89</v>
      </c>
      <c r="G336" s="4" t="s">
        <v>70</v>
      </c>
      <c r="H336" s="4">
        <v>9</v>
      </c>
      <c r="I336" s="4">
        <f t="shared" si="14"/>
        <v>20302</v>
      </c>
      <c r="J336" s="4">
        <v>27555</v>
      </c>
      <c r="K336" s="4">
        <f t="shared" si="15"/>
        <v>0</v>
      </c>
      <c r="L336" s="1">
        <v>27555</v>
      </c>
      <c r="M336" s="93">
        <f t="shared" si="16"/>
        <v>0</v>
      </c>
      <c r="N336" s="2">
        <v>7253</v>
      </c>
      <c r="O336" s="97">
        <v>7253</v>
      </c>
      <c r="P336" s="52" t="s">
        <v>1351</v>
      </c>
    </row>
    <row r="337" spans="1:16" ht="40.950000000000003" customHeight="1" x14ac:dyDescent="0.3">
      <c r="A337" s="4">
        <v>76</v>
      </c>
      <c r="B337" s="10" t="s">
        <v>88</v>
      </c>
      <c r="C337" s="10" t="s">
        <v>324</v>
      </c>
      <c r="D337" s="10" t="s">
        <v>323</v>
      </c>
      <c r="E337" s="10">
        <v>28408</v>
      </c>
      <c r="F337" s="10" t="s">
        <v>89</v>
      </c>
      <c r="G337" s="4" t="s">
        <v>90</v>
      </c>
      <c r="H337" s="4">
        <v>38</v>
      </c>
      <c r="I337" s="4">
        <f t="shared" si="14"/>
        <v>159037</v>
      </c>
      <c r="J337" s="4">
        <v>177069</v>
      </c>
      <c r="K337" s="4">
        <f t="shared" si="15"/>
        <v>0</v>
      </c>
      <c r="L337" s="1">
        <v>177069</v>
      </c>
      <c r="M337" s="93">
        <f t="shared" si="16"/>
        <v>0</v>
      </c>
      <c r="N337" s="2">
        <v>18032</v>
      </c>
      <c r="O337" s="97">
        <v>18032</v>
      </c>
      <c r="P337" s="52" t="s">
        <v>1561</v>
      </c>
    </row>
    <row r="338" spans="1:16" ht="40.950000000000003" customHeight="1" x14ac:dyDescent="0.3">
      <c r="A338" s="4">
        <v>76</v>
      </c>
      <c r="B338" s="10" t="s">
        <v>88</v>
      </c>
      <c r="C338" s="10" t="s">
        <v>324</v>
      </c>
      <c r="D338" s="10" t="s">
        <v>323</v>
      </c>
      <c r="E338" s="10">
        <v>28408</v>
      </c>
      <c r="F338" s="10" t="s">
        <v>89</v>
      </c>
      <c r="G338" s="4" t="s">
        <v>49</v>
      </c>
      <c r="H338" s="4">
        <v>26</v>
      </c>
      <c r="I338" s="4">
        <f t="shared" si="14"/>
        <v>91416</v>
      </c>
      <c r="J338" s="4">
        <v>107402</v>
      </c>
      <c r="K338" s="4">
        <f t="shared" si="15"/>
        <v>0</v>
      </c>
      <c r="L338" s="1">
        <v>107402</v>
      </c>
      <c r="M338" s="93">
        <f t="shared" si="16"/>
        <v>0</v>
      </c>
      <c r="N338" s="2">
        <v>15986</v>
      </c>
      <c r="O338" s="97">
        <v>15986</v>
      </c>
      <c r="P338" s="52" t="s">
        <v>1387</v>
      </c>
    </row>
    <row r="339" spans="1:16" ht="40.950000000000003" customHeight="1" x14ac:dyDescent="0.3">
      <c r="A339" s="4">
        <v>76</v>
      </c>
      <c r="B339" s="10" t="s">
        <v>88</v>
      </c>
      <c r="C339" s="10" t="s">
        <v>324</v>
      </c>
      <c r="D339" s="10" t="s">
        <v>323</v>
      </c>
      <c r="E339" s="10">
        <v>28408</v>
      </c>
      <c r="F339" s="10" t="s">
        <v>89</v>
      </c>
      <c r="G339" s="4" t="s">
        <v>39</v>
      </c>
      <c r="H339" s="4">
        <v>38</v>
      </c>
      <c r="I339" s="4">
        <f t="shared" si="14"/>
        <v>163496</v>
      </c>
      <c r="J339" s="4">
        <v>180566</v>
      </c>
      <c r="K339" s="4">
        <f t="shared" si="15"/>
        <v>0</v>
      </c>
      <c r="L339" s="1">
        <v>180566</v>
      </c>
      <c r="M339" s="93">
        <f t="shared" si="16"/>
        <v>0</v>
      </c>
      <c r="N339" s="2">
        <v>17070</v>
      </c>
      <c r="O339" s="97">
        <v>17070</v>
      </c>
      <c r="P339" s="52" t="s">
        <v>1562</v>
      </c>
    </row>
    <row r="340" spans="1:16" ht="40.950000000000003" customHeight="1" x14ac:dyDescent="0.3">
      <c r="A340" s="4">
        <v>76</v>
      </c>
      <c r="B340" s="10" t="s">
        <v>88</v>
      </c>
      <c r="C340" s="10" t="s">
        <v>324</v>
      </c>
      <c r="D340" s="10" t="s">
        <v>323</v>
      </c>
      <c r="E340" s="10">
        <v>28408</v>
      </c>
      <c r="F340" s="10" t="s">
        <v>89</v>
      </c>
      <c r="G340" s="4" t="s">
        <v>143</v>
      </c>
      <c r="H340" s="4">
        <v>38</v>
      </c>
      <c r="I340" s="4">
        <f t="shared" si="14"/>
        <v>155127</v>
      </c>
      <c r="J340" s="4">
        <v>175821</v>
      </c>
      <c r="K340" s="4">
        <f t="shared" si="15"/>
        <v>0</v>
      </c>
      <c r="L340" s="1">
        <v>175821</v>
      </c>
      <c r="M340" s="93">
        <f t="shared" si="16"/>
        <v>0</v>
      </c>
      <c r="N340" s="2">
        <v>20694</v>
      </c>
      <c r="O340" s="97">
        <v>20694</v>
      </c>
      <c r="P340" s="52" t="s">
        <v>1388</v>
      </c>
    </row>
    <row r="341" spans="1:16" ht="40.950000000000003" customHeight="1" x14ac:dyDescent="0.3">
      <c r="A341" s="4">
        <v>76</v>
      </c>
      <c r="B341" s="10" t="s">
        <v>88</v>
      </c>
      <c r="C341" s="10" t="s">
        <v>324</v>
      </c>
      <c r="D341" s="10" t="s">
        <v>323</v>
      </c>
      <c r="E341" s="10">
        <v>28408</v>
      </c>
      <c r="F341" s="10" t="s">
        <v>89</v>
      </c>
      <c r="G341" s="4" t="s">
        <v>184</v>
      </c>
      <c r="H341" s="4"/>
      <c r="I341" s="4">
        <f t="shared" si="14"/>
        <v>5304</v>
      </c>
      <c r="J341" s="4">
        <v>5304</v>
      </c>
      <c r="K341" s="4">
        <f t="shared" si="15"/>
        <v>0</v>
      </c>
      <c r="L341" s="1">
        <v>5304</v>
      </c>
      <c r="M341" s="93">
        <f t="shared" si="16"/>
        <v>0</v>
      </c>
      <c r="N341" s="2"/>
      <c r="O341" s="97"/>
      <c r="P341" s="52"/>
    </row>
    <row r="342" spans="1:16" ht="40.950000000000003" customHeight="1" x14ac:dyDescent="0.3">
      <c r="A342" s="4">
        <v>77</v>
      </c>
      <c r="B342" s="10" t="s">
        <v>164</v>
      </c>
      <c r="C342" s="10"/>
      <c r="D342" s="10"/>
      <c r="E342" s="10"/>
      <c r="F342" s="10" t="s">
        <v>89</v>
      </c>
      <c r="G342" s="146" t="s">
        <v>114</v>
      </c>
      <c r="H342" s="4">
        <v>27</v>
      </c>
      <c r="I342" s="4">
        <f t="shared" si="14"/>
        <v>158394</v>
      </c>
      <c r="J342" s="4">
        <v>175224</v>
      </c>
      <c r="K342" s="4">
        <f t="shared" si="15"/>
        <v>0</v>
      </c>
      <c r="L342" s="1">
        <v>175224</v>
      </c>
      <c r="M342" s="93">
        <f t="shared" ref="M342:M405" si="17">O342-N342</f>
        <v>0</v>
      </c>
      <c r="N342" s="2">
        <v>16830</v>
      </c>
      <c r="O342" s="97">
        <v>16830</v>
      </c>
      <c r="P342" s="52" t="s">
        <v>1351</v>
      </c>
    </row>
    <row r="343" spans="1:16" ht="40.950000000000003" customHeight="1" x14ac:dyDescent="0.3">
      <c r="A343" s="4">
        <v>77</v>
      </c>
      <c r="B343" s="10" t="s">
        <v>164</v>
      </c>
      <c r="C343" s="10"/>
      <c r="D343" s="10"/>
      <c r="E343" s="10"/>
      <c r="F343" s="10" t="s">
        <v>89</v>
      </c>
      <c r="G343" s="146" t="s">
        <v>85</v>
      </c>
      <c r="H343" s="4">
        <v>31</v>
      </c>
      <c r="I343" s="4">
        <f t="shared" si="14"/>
        <v>161340</v>
      </c>
      <c r="J343" s="4">
        <v>172846</v>
      </c>
      <c r="K343" s="4">
        <f t="shared" si="15"/>
        <v>0</v>
      </c>
      <c r="L343" s="1">
        <v>172846</v>
      </c>
      <c r="M343" s="93">
        <f t="shared" si="17"/>
        <v>0</v>
      </c>
      <c r="N343" s="2">
        <v>11506</v>
      </c>
      <c r="O343" s="97">
        <v>11506</v>
      </c>
      <c r="P343" s="52" t="s">
        <v>1388</v>
      </c>
    </row>
    <row r="344" spans="1:16" ht="40.950000000000003" customHeight="1" x14ac:dyDescent="0.3">
      <c r="A344" s="4">
        <v>77</v>
      </c>
      <c r="B344" s="10" t="s">
        <v>164</v>
      </c>
      <c r="C344" s="10"/>
      <c r="D344" s="10"/>
      <c r="E344" s="10"/>
      <c r="F344" s="10" t="s">
        <v>89</v>
      </c>
      <c r="G344" s="146" t="s">
        <v>9</v>
      </c>
      <c r="H344" s="4"/>
      <c r="I344" s="4">
        <f t="shared" ref="I344:I407" si="18">J344-O344</f>
        <v>1980</v>
      </c>
      <c r="J344" s="4">
        <v>2160</v>
      </c>
      <c r="K344" s="4">
        <f t="shared" ref="K344:K407" si="19">L344-J344</f>
        <v>0</v>
      </c>
      <c r="L344" s="1">
        <v>2160</v>
      </c>
      <c r="M344" s="93">
        <f t="shared" si="17"/>
        <v>0</v>
      </c>
      <c r="N344" s="2">
        <v>180</v>
      </c>
      <c r="O344" s="97">
        <f>120+60</f>
        <v>180</v>
      </c>
      <c r="P344" s="52"/>
    </row>
    <row r="345" spans="1:16" ht="40.950000000000003" customHeight="1" x14ac:dyDescent="0.3">
      <c r="A345" s="4">
        <v>77</v>
      </c>
      <c r="B345" s="10" t="s">
        <v>164</v>
      </c>
      <c r="C345" s="10"/>
      <c r="D345" s="10"/>
      <c r="E345" s="10"/>
      <c r="F345" s="10" t="s">
        <v>89</v>
      </c>
      <c r="G345" s="146" t="s">
        <v>198</v>
      </c>
      <c r="H345" s="4">
        <v>5</v>
      </c>
      <c r="I345" s="4">
        <f t="shared" si="18"/>
        <v>15100</v>
      </c>
      <c r="J345" s="4">
        <v>15840</v>
      </c>
      <c r="K345" s="4">
        <f t="shared" si="19"/>
        <v>0</v>
      </c>
      <c r="L345" s="1">
        <v>15840</v>
      </c>
      <c r="M345" s="93">
        <f t="shared" si="17"/>
        <v>0</v>
      </c>
      <c r="N345" s="2">
        <v>740</v>
      </c>
      <c r="O345" s="97">
        <v>740</v>
      </c>
      <c r="P345" s="52">
        <v>0.9</v>
      </c>
    </row>
    <row r="346" spans="1:16" ht="40.950000000000003" customHeight="1" x14ac:dyDescent="0.3">
      <c r="A346" s="4">
        <v>77</v>
      </c>
      <c r="B346" s="10" t="s">
        <v>164</v>
      </c>
      <c r="C346" s="10"/>
      <c r="D346" s="10"/>
      <c r="E346" s="10"/>
      <c r="F346" s="10" t="s">
        <v>89</v>
      </c>
      <c r="G346" s="146" t="s">
        <v>381</v>
      </c>
      <c r="H346" s="4">
        <v>4</v>
      </c>
      <c r="I346" s="4">
        <f t="shared" si="18"/>
        <v>2349</v>
      </c>
      <c r="J346" s="4">
        <v>2349</v>
      </c>
      <c r="K346" s="4">
        <f t="shared" si="19"/>
        <v>0</v>
      </c>
      <c r="L346" s="1">
        <v>2349</v>
      </c>
      <c r="M346" s="93">
        <f t="shared" si="17"/>
        <v>0</v>
      </c>
      <c r="N346" s="2"/>
      <c r="O346" s="97"/>
      <c r="P346" s="52"/>
    </row>
    <row r="347" spans="1:16" ht="40.950000000000003" customHeight="1" x14ac:dyDescent="0.3">
      <c r="A347" s="4">
        <v>77</v>
      </c>
      <c r="B347" s="10" t="s">
        <v>164</v>
      </c>
      <c r="C347" s="10"/>
      <c r="D347" s="10"/>
      <c r="E347" s="10"/>
      <c r="F347" s="10" t="s">
        <v>89</v>
      </c>
      <c r="G347" s="146" t="s">
        <v>181</v>
      </c>
      <c r="H347" s="4">
        <v>10</v>
      </c>
      <c r="I347" s="4">
        <f t="shared" si="18"/>
        <v>27807</v>
      </c>
      <c r="J347" s="4">
        <v>31267</v>
      </c>
      <c r="K347" s="4">
        <f t="shared" si="19"/>
        <v>0</v>
      </c>
      <c r="L347" s="1">
        <v>31267</v>
      </c>
      <c r="M347" s="93">
        <f t="shared" si="17"/>
        <v>0</v>
      </c>
      <c r="N347" s="2">
        <v>3460</v>
      </c>
      <c r="O347" s="97">
        <v>3460</v>
      </c>
      <c r="P347" s="52">
        <v>0.72499999999999998</v>
      </c>
    </row>
    <row r="348" spans="1:16" ht="40.950000000000003" customHeight="1" x14ac:dyDescent="0.3">
      <c r="A348" s="4">
        <v>77</v>
      </c>
      <c r="B348" s="10" t="s">
        <v>164</v>
      </c>
      <c r="C348" s="10"/>
      <c r="D348" s="10"/>
      <c r="E348" s="10"/>
      <c r="F348" s="10" t="s">
        <v>89</v>
      </c>
      <c r="G348" s="146" t="s">
        <v>368</v>
      </c>
      <c r="H348" s="4">
        <v>3</v>
      </c>
      <c r="I348" s="4">
        <f t="shared" si="18"/>
        <v>6435</v>
      </c>
      <c r="J348" s="4">
        <v>7265</v>
      </c>
      <c r="K348" s="4">
        <f t="shared" si="19"/>
        <v>0</v>
      </c>
      <c r="L348" s="1">
        <v>7265</v>
      </c>
      <c r="M348" s="93">
        <f t="shared" si="17"/>
        <v>0</v>
      </c>
      <c r="N348" s="2">
        <v>830</v>
      </c>
      <c r="O348" s="97">
        <f>300+530</f>
        <v>830</v>
      </c>
      <c r="P348" s="52"/>
    </row>
    <row r="349" spans="1:16" ht="40.950000000000003" customHeight="1" x14ac:dyDescent="0.3">
      <c r="A349" s="4">
        <v>77</v>
      </c>
      <c r="B349" s="10" t="s">
        <v>164</v>
      </c>
      <c r="C349" s="10"/>
      <c r="D349" s="10"/>
      <c r="E349" s="10"/>
      <c r="F349" s="10" t="s">
        <v>89</v>
      </c>
      <c r="G349" s="146" t="s">
        <v>391</v>
      </c>
      <c r="H349" s="4">
        <v>4</v>
      </c>
      <c r="I349" s="4">
        <f t="shared" si="18"/>
        <v>4137</v>
      </c>
      <c r="J349" s="4">
        <v>4437</v>
      </c>
      <c r="K349" s="4">
        <f t="shared" si="19"/>
        <v>0</v>
      </c>
      <c r="L349" s="1">
        <v>4437</v>
      </c>
      <c r="M349" s="93">
        <f t="shared" si="17"/>
        <v>0</v>
      </c>
      <c r="N349" s="2">
        <v>300</v>
      </c>
      <c r="O349" s="97">
        <v>300</v>
      </c>
      <c r="P349" s="52"/>
    </row>
    <row r="350" spans="1:16" ht="40.950000000000003" customHeight="1" x14ac:dyDescent="0.3">
      <c r="A350" s="4">
        <v>77</v>
      </c>
      <c r="B350" s="10" t="s">
        <v>164</v>
      </c>
      <c r="C350" s="10"/>
      <c r="D350" s="10"/>
      <c r="E350" s="10"/>
      <c r="F350" s="10" t="s">
        <v>89</v>
      </c>
      <c r="G350" s="146" t="s">
        <v>200</v>
      </c>
      <c r="H350" s="4">
        <v>5</v>
      </c>
      <c r="I350" s="4">
        <f t="shared" si="18"/>
        <v>5928</v>
      </c>
      <c r="J350" s="4">
        <v>8308</v>
      </c>
      <c r="K350" s="4">
        <f t="shared" si="19"/>
        <v>0</v>
      </c>
      <c r="L350" s="1">
        <v>8308</v>
      </c>
      <c r="M350" s="93">
        <f t="shared" si="17"/>
        <v>0</v>
      </c>
      <c r="N350" s="2">
        <v>2380</v>
      </c>
      <c r="O350" s="97">
        <v>2380</v>
      </c>
      <c r="P350" s="52"/>
    </row>
    <row r="351" spans="1:16" ht="40.950000000000003" customHeight="1" x14ac:dyDescent="0.3">
      <c r="A351" s="4">
        <v>77</v>
      </c>
      <c r="B351" s="10" t="s">
        <v>164</v>
      </c>
      <c r="C351" s="10"/>
      <c r="D351" s="10"/>
      <c r="E351" s="10"/>
      <c r="F351" s="10" t="s">
        <v>89</v>
      </c>
      <c r="G351" s="146" t="s">
        <v>238</v>
      </c>
      <c r="H351" s="4"/>
      <c r="I351" s="4">
        <f t="shared" si="18"/>
        <v>5151</v>
      </c>
      <c r="J351" s="4">
        <v>5151</v>
      </c>
      <c r="K351" s="4">
        <f t="shared" si="19"/>
        <v>0</v>
      </c>
      <c r="L351" s="1">
        <v>5151</v>
      </c>
      <c r="M351" s="93">
        <f t="shared" si="17"/>
        <v>0</v>
      </c>
      <c r="N351" s="2"/>
      <c r="O351" s="97"/>
      <c r="P351" s="52"/>
    </row>
    <row r="352" spans="1:16" ht="40.950000000000003" customHeight="1" x14ac:dyDescent="0.3">
      <c r="A352" s="4">
        <v>77</v>
      </c>
      <c r="B352" s="10" t="s">
        <v>164</v>
      </c>
      <c r="C352" s="10"/>
      <c r="D352" s="10"/>
      <c r="E352" s="10"/>
      <c r="F352" s="130" t="s">
        <v>89</v>
      </c>
      <c r="G352" s="146" t="s">
        <v>48</v>
      </c>
      <c r="H352" s="4">
        <v>20</v>
      </c>
      <c r="I352" s="4">
        <f t="shared" si="18"/>
        <v>84181</v>
      </c>
      <c r="J352" s="4">
        <v>98264</v>
      </c>
      <c r="K352" s="4">
        <f t="shared" si="19"/>
        <v>0</v>
      </c>
      <c r="L352" s="1">
        <v>98264</v>
      </c>
      <c r="M352" s="93">
        <f t="shared" si="17"/>
        <v>0</v>
      </c>
      <c r="N352" s="2">
        <v>14083</v>
      </c>
      <c r="O352" s="97">
        <v>14083</v>
      </c>
      <c r="P352" s="52" t="s">
        <v>1387</v>
      </c>
    </row>
    <row r="353" spans="1:16" ht="40.950000000000003" customHeight="1" x14ac:dyDescent="0.3">
      <c r="A353" s="4">
        <v>77</v>
      </c>
      <c r="B353" s="10" t="s">
        <v>164</v>
      </c>
      <c r="C353" s="10"/>
      <c r="D353" s="10"/>
      <c r="E353" s="10"/>
      <c r="F353" s="130" t="s">
        <v>89</v>
      </c>
      <c r="G353" s="146" t="s">
        <v>49</v>
      </c>
      <c r="H353" s="4">
        <v>7</v>
      </c>
      <c r="I353" s="4">
        <f t="shared" si="18"/>
        <v>4553</v>
      </c>
      <c r="J353" s="4">
        <v>4553</v>
      </c>
      <c r="K353" s="4">
        <f t="shared" si="19"/>
        <v>0</v>
      </c>
      <c r="L353" s="1">
        <v>4553</v>
      </c>
      <c r="M353" s="93">
        <f t="shared" si="17"/>
        <v>0</v>
      </c>
      <c r="N353" s="2"/>
      <c r="O353" s="97"/>
      <c r="P353" s="52" t="s">
        <v>1515</v>
      </c>
    </row>
    <row r="354" spans="1:16" ht="40.950000000000003" customHeight="1" x14ac:dyDescent="0.3">
      <c r="A354" s="4">
        <v>77</v>
      </c>
      <c r="B354" s="10" t="s">
        <v>164</v>
      </c>
      <c r="C354" s="10"/>
      <c r="D354" s="10"/>
      <c r="E354" s="10"/>
      <c r="F354" s="130" t="s">
        <v>89</v>
      </c>
      <c r="G354" s="146" t="s">
        <v>50</v>
      </c>
      <c r="H354" s="4">
        <v>26</v>
      </c>
      <c r="I354" s="4">
        <f t="shared" si="18"/>
        <v>90204</v>
      </c>
      <c r="J354" s="4">
        <v>99630</v>
      </c>
      <c r="K354" s="4">
        <f t="shared" si="19"/>
        <v>0</v>
      </c>
      <c r="L354" s="1">
        <v>99630</v>
      </c>
      <c r="M354" s="93">
        <f t="shared" si="17"/>
        <v>0</v>
      </c>
      <c r="N354" s="2">
        <v>9426</v>
      </c>
      <c r="O354" s="97">
        <v>9426</v>
      </c>
      <c r="P354" s="52" t="s">
        <v>1387</v>
      </c>
    </row>
    <row r="355" spans="1:16" ht="40.950000000000003" customHeight="1" x14ac:dyDescent="0.3">
      <c r="A355" s="4">
        <v>77</v>
      </c>
      <c r="B355" s="10" t="s">
        <v>164</v>
      </c>
      <c r="C355" s="10"/>
      <c r="D355" s="10"/>
      <c r="E355" s="10"/>
      <c r="F355" s="130" t="s">
        <v>89</v>
      </c>
      <c r="G355" s="146" t="s">
        <v>51</v>
      </c>
      <c r="H355" s="4">
        <v>22</v>
      </c>
      <c r="I355" s="4">
        <f t="shared" si="18"/>
        <v>84220</v>
      </c>
      <c r="J355" s="4">
        <v>104444</v>
      </c>
      <c r="K355" s="4">
        <f t="shared" si="19"/>
        <v>0</v>
      </c>
      <c r="L355" s="1">
        <v>104444</v>
      </c>
      <c r="M355" s="93">
        <f t="shared" si="17"/>
        <v>0</v>
      </c>
      <c r="N355" s="2">
        <v>20224</v>
      </c>
      <c r="O355" s="97">
        <v>20224</v>
      </c>
      <c r="P355" s="52" t="s">
        <v>1516</v>
      </c>
    </row>
    <row r="356" spans="1:16" ht="40.950000000000003" customHeight="1" x14ac:dyDescent="0.3">
      <c r="A356" s="4">
        <v>77</v>
      </c>
      <c r="B356" s="10" t="s">
        <v>164</v>
      </c>
      <c r="C356" s="10"/>
      <c r="D356" s="10"/>
      <c r="E356" s="10"/>
      <c r="F356" s="130" t="s">
        <v>89</v>
      </c>
      <c r="G356" s="146" t="s">
        <v>70</v>
      </c>
      <c r="H356" s="4">
        <v>29</v>
      </c>
      <c r="I356" s="4">
        <f t="shared" si="18"/>
        <v>131681</v>
      </c>
      <c r="J356" s="4">
        <v>153549</v>
      </c>
      <c r="K356" s="4">
        <f t="shared" si="19"/>
        <v>0</v>
      </c>
      <c r="L356" s="1">
        <v>153549</v>
      </c>
      <c r="M356" s="93">
        <f t="shared" si="17"/>
        <v>0</v>
      </c>
      <c r="N356" s="2">
        <v>21868</v>
      </c>
      <c r="O356" s="97">
        <v>21868</v>
      </c>
      <c r="P356" s="52" t="s">
        <v>1351</v>
      </c>
    </row>
    <row r="357" spans="1:16" ht="40.950000000000003" customHeight="1" x14ac:dyDescent="0.3">
      <c r="A357" s="4">
        <v>77</v>
      </c>
      <c r="B357" s="10" t="s">
        <v>164</v>
      </c>
      <c r="C357" s="10"/>
      <c r="D357" s="10"/>
      <c r="E357" s="10"/>
      <c r="F357" s="130" t="s">
        <v>89</v>
      </c>
      <c r="G357" s="146" t="s">
        <v>128</v>
      </c>
      <c r="H357" s="4">
        <v>18</v>
      </c>
      <c r="I357" s="4">
        <f t="shared" si="18"/>
        <v>89045</v>
      </c>
      <c r="J357" s="4">
        <v>95007</v>
      </c>
      <c r="K357" s="4">
        <f t="shared" si="19"/>
        <v>0</v>
      </c>
      <c r="L357" s="1">
        <v>95007</v>
      </c>
      <c r="M357" s="93">
        <f t="shared" si="17"/>
        <v>0</v>
      </c>
      <c r="N357" s="2">
        <v>5962</v>
      </c>
      <c r="O357" s="97">
        <v>5962</v>
      </c>
      <c r="P357" s="52" t="s">
        <v>1387</v>
      </c>
    </row>
    <row r="358" spans="1:16" ht="40.950000000000003" customHeight="1" x14ac:dyDescent="0.3">
      <c r="A358" s="4">
        <v>77</v>
      </c>
      <c r="B358" s="10" t="s">
        <v>164</v>
      </c>
      <c r="C358" s="10"/>
      <c r="D358" s="10"/>
      <c r="E358" s="10"/>
      <c r="F358" s="130" t="s">
        <v>89</v>
      </c>
      <c r="G358" s="146" t="s">
        <v>64</v>
      </c>
      <c r="H358" s="4">
        <v>26</v>
      </c>
      <c r="I358" s="4">
        <f t="shared" si="18"/>
        <v>93729</v>
      </c>
      <c r="J358" s="4">
        <v>101261</v>
      </c>
      <c r="K358" s="4">
        <f t="shared" si="19"/>
        <v>0</v>
      </c>
      <c r="L358" s="1">
        <v>101261</v>
      </c>
      <c r="M358" s="93">
        <f t="shared" si="17"/>
        <v>0</v>
      </c>
      <c r="N358" s="2">
        <v>7532</v>
      </c>
      <c r="O358" s="97">
        <v>7532</v>
      </c>
      <c r="P358" s="52" t="s">
        <v>1517</v>
      </c>
    </row>
    <row r="359" spans="1:16" ht="40.950000000000003" customHeight="1" x14ac:dyDescent="0.3">
      <c r="A359" s="4">
        <v>77</v>
      </c>
      <c r="B359" s="10" t="s">
        <v>164</v>
      </c>
      <c r="C359" s="10"/>
      <c r="D359" s="10"/>
      <c r="E359" s="10"/>
      <c r="F359" s="130" t="s">
        <v>89</v>
      </c>
      <c r="G359" s="146" t="s">
        <v>122</v>
      </c>
      <c r="H359" s="4">
        <v>32</v>
      </c>
      <c r="I359" s="4">
        <f t="shared" si="18"/>
        <v>142067</v>
      </c>
      <c r="J359" s="4">
        <v>167369</v>
      </c>
      <c r="K359" s="4">
        <f t="shared" si="19"/>
        <v>0</v>
      </c>
      <c r="L359" s="1">
        <v>167369</v>
      </c>
      <c r="M359" s="93">
        <f t="shared" si="17"/>
        <v>0</v>
      </c>
      <c r="N359" s="2">
        <v>25302</v>
      </c>
      <c r="O359" s="97">
        <v>25302</v>
      </c>
      <c r="P359" s="52" t="s">
        <v>1388</v>
      </c>
    </row>
    <row r="360" spans="1:16" ht="40.950000000000003" customHeight="1" x14ac:dyDescent="0.3">
      <c r="A360" s="4">
        <v>78</v>
      </c>
      <c r="B360" s="10" t="s">
        <v>213</v>
      </c>
      <c r="C360" s="10"/>
      <c r="D360" s="10"/>
      <c r="E360" s="10"/>
      <c r="F360" s="10" t="s">
        <v>89</v>
      </c>
      <c r="G360" s="4" t="s">
        <v>199</v>
      </c>
      <c r="H360" s="4"/>
      <c r="I360" s="4">
        <f t="shared" si="18"/>
        <v>21600</v>
      </c>
      <c r="J360" s="4">
        <v>21600</v>
      </c>
      <c r="K360" s="4">
        <f t="shared" si="19"/>
        <v>0</v>
      </c>
      <c r="L360" s="1">
        <v>21600</v>
      </c>
      <c r="M360" s="93">
        <f t="shared" si="17"/>
        <v>0</v>
      </c>
      <c r="N360" s="2"/>
      <c r="O360" s="97"/>
      <c r="P360" s="52"/>
    </row>
    <row r="361" spans="1:16" ht="40.950000000000003" customHeight="1" x14ac:dyDescent="0.3">
      <c r="A361" s="4">
        <v>79</v>
      </c>
      <c r="B361" s="10" t="s">
        <v>75</v>
      </c>
      <c r="C361" s="10"/>
      <c r="D361" s="10"/>
      <c r="E361" s="10"/>
      <c r="F361" s="10" t="s">
        <v>89</v>
      </c>
      <c r="G361" s="4" t="s">
        <v>14</v>
      </c>
      <c r="H361" s="4"/>
      <c r="I361" s="4">
        <f t="shared" si="18"/>
        <v>14400</v>
      </c>
      <c r="J361" s="4">
        <v>14400</v>
      </c>
      <c r="K361" s="4">
        <f t="shared" si="19"/>
        <v>0</v>
      </c>
      <c r="L361" s="1">
        <v>14400</v>
      </c>
      <c r="M361" s="93">
        <f t="shared" si="17"/>
        <v>0</v>
      </c>
      <c r="N361" s="2">
        <v>0</v>
      </c>
      <c r="O361" s="97">
        <v>0</v>
      </c>
      <c r="P361" s="52"/>
    </row>
    <row r="362" spans="1:16" ht="40.950000000000003" customHeight="1" x14ac:dyDescent="0.3">
      <c r="A362" s="4">
        <v>80</v>
      </c>
      <c r="B362" s="10" t="s">
        <v>102</v>
      </c>
      <c r="C362" s="10"/>
      <c r="D362" s="10"/>
      <c r="E362" s="10"/>
      <c r="F362" s="10" t="s">
        <v>103</v>
      </c>
      <c r="G362" s="4" t="s">
        <v>14</v>
      </c>
      <c r="H362" s="4"/>
      <c r="I362" s="4">
        <f t="shared" si="18"/>
        <v>40400</v>
      </c>
      <c r="J362" s="4">
        <v>40400</v>
      </c>
      <c r="K362" s="4">
        <f t="shared" si="19"/>
        <v>0</v>
      </c>
      <c r="L362" s="1">
        <v>40400</v>
      </c>
      <c r="M362" s="93">
        <f t="shared" si="17"/>
        <v>0</v>
      </c>
      <c r="N362" s="2"/>
      <c r="O362" s="97"/>
      <c r="P362" s="52"/>
    </row>
    <row r="363" spans="1:16" ht="40.950000000000003" customHeight="1" x14ac:dyDescent="0.3">
      <c r="A363" s="4">
        <v>81</v>
      </c>
      <c r="B363" s="10" t="s">
        <v>465</v>
      </c>
      <c r="C363" s="10"/>
      <c r="D363" s="10"/>
      <c r="E363" s="10"/>
      <c r="F363" s="10" t="s">
        <v>160</v>
      </c>
      <c r="G363" s="4" t="s">
        <v>7</v>
      </c>
      <c r="H363" s="4">
        <v>43</v>
      </c>
      <c r="I363" s="4">
        <f t="shared" si="18"/>
        <v>866104</v>
      </c>
      <c r="J363" s="4">
        <v>881589</v>
      </c>
      <c r="K363" s="4">
        <f t="shared" si="19"/>
        <v>0</v>
      </c>
      <c r="L363" s="1">
        <v>881589</v>
      </c>
      <c r="M363" s="93">
        <f t="shared" si="17"/>
        <v>0</v>
      </c>
      <c r="N363" s="2">
        <v>15485</v>
      </c>
      <c r="O363" s="97">
        <v>15485</v>
      </c>
      <c r="P363" s="52" t="s">
        <v>1496</v>
      </c>
    </row>
    <row r="364" spans="1:16" ht="40.950000000000003" customHeight="1" x14ac:dyDescent="0.3">
      <c r="A364" s="4">
        <v>82</v>
      </c>
      <c r="B364" s="10" t="s">
        <v>154</v>
      </c>
      <c r="C364" s="10"/>
      <c r="D364" s="10"/>
      <c r="E364" s="10"/>
      <c r="F364" s="10" t="s">
        <v>160</v>
      </c>
      <c r="G364" s="4" t="s">
        <v>9</v>
      </c>
      <c r="H364" s="4">
        <v>40</v>
      </c>
      <c r="I364" s="4">
        <f t="shared" si="18"/>
        <v>845833</v>
      </c>
      <c r="J364" s="4">
        <v>881455</v>
      </c>
      <c r="K364" s="4">
        <f t="shared" si="19"/>
        <v>0</v>
      </c>
      <c r="L364" s="1">
        <v>881455</v>
      </c>
      <c r="M364" s="93">
        <f t="shared" si="17"/>
        <v>0</v>
      </c>
      <c r="N364" s="2">
        <v>35622</v>
      </c>
      <c r="O364" s="97">
        <v>35622</v>
      </c>
      <c r="P364" s="52" t="s">
        <v>1130</v>
      </c>
    </row>
    <row r="365" spans="1:16" ht="40.950000000000003" customHeight="1" x14ac:dyDescent="0.3">
      <c r="A365" s="4">
        <v>82</v>
      </c>
      <c r="B365" s="10" t="s">
        <v>154</v>
      </c>
      <c r="C365" s="10"/>
      <c r="D365" s="10"/>
      <c r="E365" s="10"/>
      <c r="F365" s="10" t="s">
        <v>160</v>
      </c>
      <c r="G365" s="4" t="s">
        <v>48</v>
      </c>
      <c r="H365" s="4">
        <v>26</v>
      </c>
      <c r="I365" s="4">
        <f t="shared" si="18"/>
        <v>397076</v>
      </c>
      <c r="J365" s="4">
        <v>431196</v>
      </c>
      <c r="K365" s="4">
        <f t="shared" si="19"/>
        <v>0</v>
      </c>
      <c r="L365" s="1">
        <v>431196</v>
      </c>
      <c r="M365" s="93">
        <f t="shared" si="17"/>
        <v>0</v>
      </c>
      <c r="N365" s="2">
        <v>34120</v>
      </c>
      <c r="O365" s="97">
        <v>34120</v>
      </c>
      <c r="P365" s="52">
        <v>0.95</v>
      </c>
    </row>
    <row r="366" spans="1:16" ht="40.950000000000003" customHeight="1" x14ac:dyDescent="0.3">
      <c r="A366" s="4">
        <v>83</v>
      </c>
      <c r="B366" s="10" t="s">
        <v>157</v>
      </c>
      <c r="C366" s="10"/>
      <c r="D366" s="10"/>
      <c r="E366" s="10"/>
      <c r="F366" s="10" t="s">
        <v>160</v>
      </c>
      <c r="G366" s="4" t="s">
        <v>8</v>
      </c>
      <c r="H366" s="4">
        <v>48</v>
      </c>
      <c r="I366" s="4">
        <f t="shared" si="18"/>
        <v>860075</v>
      </c>
      <c r="J366" s="4">
        <v>885865</v>
      </c>
      <c r="K366" s="4">
        <f t="shared" si="19"/>
        <v>0</v>
      </c>
      <c r="L366" s="1">
        <v>885865</v>
      </c>
      <c r="M366" s="93">
        <f t="shared" si="17"/>
        <v>0</v>
      </c>
      <c r="N366" s="2">
        <v>25790</v>
      </c>
      <c r="O366" s="97">
        <v>25790</v>
      </c>
      <c r="P366" s="52" t="s">
        <v>1495</v>
      </c>
    </row>
    <row r="367" spans="1:16" ht="40.950000000000003" customHeight="1" x14ac:dyDescent="0.3">
      <c r="A367" s="4">
        <v>84</v>
      </c>
      <c r="B367" s="10" t="s">
        <v>255</v>
      </c>
      <c r="C367" s="10"/>
      <c r="D367" s="10"/>
      <c r="E367" s="10"/>
      <c r="F367" s="10" t="s">
        <v>160</v>
      </c>
      <c r="G367" s="4" t="s">
        <v>22</v>
      </c>
      <c r="H367" s="4">
        <v>42</v>
      </c>
      <c r="I367" s="4">
        <f t="shared" si="18"/>
        <v>845659</v>
      </c>
      <c r="J367" s="4">
        <v>886004</v>
      </c>
      <c r="K367" s="4">
        <f t="shared" si="19"/>
        <v>0</v>
      </c>
      <c r="L367" s="1">
        <v>886004</v>
      </c>
      <c r="M367" s="93">
        <f t="shared" si="17"/>
        <v>0</v>
      </c>
      <c r="N367" s="2">
        <v>40345</v>
      </c>
      <c r="O367" s="97">
        <v>40345</v>
      </c>
      <c r="P367" s="52">
        <v>0.95</v>
      </c>
    </row>
    <row r="368" spans="1:16" ht="40.950000000000003" customHeight="1" x14ac:dyDescent="0.3">
      <c r="A368" s="4">
        <v>84</v>
      </c>
      <c r="B368" s="10" t="s">
        <v>255</v>
      </c>
      <c r="C368" s="10"/>
      <c r="D368" s="10"/>
      <c r="E368" s="10"/>
      <c r="F368" s="10" t="s">
        <v>160</v>
      </c>
      <c r="G368" s="4" t="s">
        <v>48</v>
      </c>
      <c r="H368" s="4">
        <v>11</v>
      </c>
      <c r="I368" s="4">
        <f t="shared" si="18"/>
        <v>72125</v>
      </c>
      <c r="J368" s="4">
        <v>74745</v>
      </c>
      <c r="K368" s="4">
        <f t="shared" si="19"/>
        <v>0</v>
      </c>
      <c r="L368" s="1">
        <v>74745</v>
      </c>
      <c r="M368" s="93">
        <f t="shared" si="17"/>
        <v>0</v>
      </c>
      <c r="N368" s="2">
        <v>2620</v>
      </c>
      <c r="O368" s="97">
        <v>2620</v>
      </c>
      <c r="P368" s="52" t="s">
        <v>1130</v>
      </c>
    </row>
    <row r="369" spans="1:17" ht="40.950000000000003" customHeight="1" x14ac:dyDescent="0.3">
      <c r="A369" s="4">
        <v>84</v>
      </c>
      <c r="B369" s="10" t="s">
        <v>255</v>
      </c>
      <c r="C369" s="10"/>
      <c r="D369" s="10"/>
      <c r="E369" s="10"/>
      <c r="F369" s="10" t="s">
        <v>160</v>
      </c>
      <c r="G369" s="4" t="s">
        <v>49</v>
      </c>
      <c r="H369" s="4">
        <v>36</v>
      </c>
      <c r="I369" s="4">
        <f t="shared" si="18"/>
        <v>509256</v>
      </c>
      <c r="J369" s="4">
        <v>527981</v>
      </c>
      <c r="K369" s="4">
        <f t="shared" si="19"/>
        <v>0</v>
      </c>
      <c r="L369" s="1">
        <v>527981</v>
      </c>
      <c r="M369" s="93">
        <f t="shared" si="17"/>
        <v>0</v>
      </c>
      <c r="N369" s="2">
        <v>18725</v>
      </c>
      <c r="O369" s="97">
        <v>18725</v>
      </c>
      <c r="P369" s="52" t="s">
        <v>1499</v>
      </c>
    </row>
    <row r="370" spans="1:17" ht="40.950000000000003" customHeight="1" x14ac:dyDescent="0.3">
      <c r="A370" s="4">
        <v>84</v>
      </c>
      <c r="B370" s="10" t="s">
        <v>255</v>
      </c>
      <c r="C370" s="10"/>
      <c r="D370" s="10"/>
      <c r="E370" s="10"/>
      <c r="F370" s="10" t="s">
        <v>160</v>
      </c>
      <c r="G370" s="4" t="s">
        <v>128</v>
      </c>
      <c r="H370" s="4">
        <v>25</v>
      </c>
      <c r="I370" s="4">
        <f t="shared" si="18"/>
        <v>200463</v>
      </c>
      <c r="J370" s="4">
        <v>210948</v>
      </c>
      <c r="K370" s="4">
        <f t="shared" si="19"/>
        <v>0</v>
      </c>
      <c r="L370" s="1">
        <v>210948</v>
      </c>
      <c r="M370" s="93">
        <f t="shared" si="17"/>
        <v>0</v>
      </c>
      <c r="N370" s="2">
        <v>10485</v>
      </c>
      <c r="O370" s="97">
        <v>10485</v>
      </c>
      <c r="P370" s="52" t="s">
        <v>1493</v>
      </c>
    </row>
    <row r="371" spans="1:17" ht="40.950000000000003" customHeight="1" x14ac:dyDescent="0.3">
      <c r="A371" s="4">
        <v>84</v>
      </c>
      <c r="B371" s="10" t="s">
        <v>255</v>
      </c>
      <c r="C371" s="10"/>
      <c r="D371" s="10"/>
      <c r="E371" s="10"/>
      <c r="F371" s="10" t="s">
        <v>160</v>
      </c>
      <c r="G371" s="4" t="s">
        <v>143</v>
      </c>
      <c r="H371" s="4">
        <v>7</v>
      </c>
      <c r="I371" s="4">
        <f t="shared" si="18"/>
        <v>26259</v>
      </c>
      <c r="J371" s="4">
        <v>32294</v>
      </c>
      <c r="K371" s="4">
        <f t="shared" si="19"/>
        <v>0</v>
      </c>
      <c r="L371" s="1">
        <v>32294</v>
      </c>
      <c r="M371" s="93">
        <f t="shared" si="17"/>
        <v>0</v>
      </c>
      <c r="N371" s="2">
        <v>6035</v>
      </c>
      <c r="O371" s="97">
        <v>6035</v>
      </c>
      <c r="P371" s="52">
        <v>1</v>
      </c>
    </row>
    <row r="372" spans="1:17" ht="40.950000000000003" customHeight="1" x14ac:dyDescent="0.3">
      <c r="A372" s="4">
        <v>84</v>
      </c>
      <c r="B372" s="10" t="s">
        <v>255</v>
      </c>
      <c r="C372" s="10"/>
      <c r="D372" s="10"/>
      <c r="E372" s="10"/>
      <c r="F372" s="10" t="s">
        <v>160</v>
      </c>
      <c r="G372" s="4" t="s">
        <v>199</v>
      </c>
      <c r="H372" s="4">
        <v>3</v>
      </c>
      <c r="I372" s="4">
        <f t="shared" si="18"/>
        <v>5765</v>
      </c>
      <c r="J372" s="4">
        <v>5885</v>
      </c>
      <c r="K372" s="4">
        <f t="shared" si="19"/>
        <v>0</v>
      </c>
      <c r="L372" s="1">
        <v>5885</v>
      </c>
      <c r="M372" s="93">
        <f t="shared" si="17"/>
        <v>0</v>
      </c>
      <c r="N372" s="2">
        <v>120</v>
      </c>
      <c r="O372" s="97">
        <f>120</f>
        <v>120</v>
      </c>
      <c r="P372" s="52"/>
    </row>
    <row r="373" spans="1:17" ht="40.950000000000003" customHeight="1" x14ac:dyDescent="0.3">
      <c r="A373" s="4">
        <v>84</v>
      </c>
      <c r="B373" s="10" t="s">
        <v>255</v>
      </c>
      <c r="C373" s="10"/>
      <c r="D373" s="10"/>
      <c r="E373" s="10"/>
      <c r="F373" s="10" t="s">
        <v>160</v>
      </c>
      <c r="G373" s="4" t="s">
        <v>85</v>
      </c>
      <c r="H373" s="4">
        <v>41</v>
      </c>
      <c r="I373" s="4">
        <f t="shared" si="18"/>
        <v>847605</v>
      </c>
      <c r="J373" s="4">
        <v>877684</v>
      </c>
      <c r="K373" s="4">
        <f t="shared" si="19"/>
        <v>0</v>
      </c>
      <c r="L373" s="1">
        <v>877684</v>
      </c>
      <c r="M373" s="93">
        <f t="shared" si="17"/>
        <v>0</v>
      </c>
      <c r="N373" s="2">
        <v>30079</v>
      </c>
      <c r="O373" s="97">
        <v>30079</v>
      </c>
      <c r="P373" s="52" t="s">
        <v>1459</v>
      </c>
    </row>
    <row r="374" spans="1:17" ht="40.950000000000003" customHeight="1" x14ac:dyDescent="0.3">
      <c r="A374" s="4">
        <v>85</v>
      </c>
      <c r="B374" s="10" t="s">
        <v>158</v>
      </c>
      <c r="C374" s="10"/>
      <c r="D374" s="10"/>
      <c r="E374" s="10"/>
      <c r="F374" s="10" t="s">
        <v>160</v>
      </c>
      <c r="G374" s="4" t="s">
        <v>39</v>
      </c>
      <c r="H374" s="4">
        <v>27</v>
      </c>
      <c r="I374" s="4">
        <f t="shared" si="18"/>
        <v>591747</v>
      </c>
      <c r="J374" s="4">
        <v>655880</v>
      </c>
      <c r="K374" s="4">
        <f t="shared" si="19"/>
        <v>0</v>
      </c>
      <c r="L374" s="1">
        <v>655880</v>
      </c>
      <c r="M374" s="93">
        <f t="shared" si="17"/>
        <v>0</v>
      </c>
      <c r="N374" s="2">
        <v>64133</v>
      </c>
      <c r="O374" s="97">
        <v>64133</v>
      </c>
      <c r="P374" s="52" t="s">
        <v>1458</v>
      </c>
    </row>
    <row r="375" spans="1:17" ht="40.950000000000003" customHeight="1" x14ac:dyDescent="0.3">
      <c r="A375" s="4">
        <v>85</v>
      </c>
      <c r="B375" s="10" t="s">
        <v>158</v>
      </c>
      <c r="C375" s="10"/>
      <c r="D375" s="10"/>
      <c r="E375" s="10"/>
      <c r="F375" s="10" t="s">
        <v>160</v>
      </c>
      <c r="G375" s="4" t="s">
        <v>70</v>
      </c>
      <c r="H375" s="4">
        <v>9</v>
      </c>
      <c r="I375" s="4">
        <f t="shared" si="18"/>
        <v>151135</v>
      </c>
      <c r="J375" s="4">
        <v>168770</v>
      </c>
      <c r="K375" s="4">
        <f t="shared" si="19"/>
        <v>0</v>
      </c>
      <c r="L375" s="1">
        <v>168770</v>
      </c>
      <c r="M375" s="93">
        <f t="shared" si="17"/>
        <v>0</v>
      </c>
      <c r="N375" s="2">
        <v>17635</v>
      </c>
      <c r="O375" s="97">
        <f>1410+15925+300</f>
        <v>17635</v>
      </c>
      <c r="P375" s="52">
        <v>0.96</v>
      </c>
    </row>
    <row r="376" spans="1:17" ht="40.950000000000003" customHeight="1" x14ac:dyDescent="0.3">
      <c r="A376" s="4">
        <v>86</v>
      </c>
      <c r="B376" s="10" t="s">
        <v>165</v>
      </c>
      <c r="C376" s="10"/>
      <c r="D376" s="10"/>
      <c r="E376" s="10"/>
      <c r="F376" s="10" t="s">
        <v>160</v>
      </c>
      <c r="G376" s="4" t="s">
        <v>50</v>
      </c>
      <c r="H376" s="4">
        <v>33</v>
      </c>
      <c r="I376" s="4">
        <f t="shared" si="18"/>
        <v>707579</v>
      </c>
      <c r="J376" s="4">
        <v>765826</v>
      </c>
      <c r="K376" s="4">
        <f t="shared" si="19"/>
        <v>0</v>
      </c>
      <c r="L376" s="1">
        <v>765826</v>
      </c>
      <c r="M376" s="93">
        <f t="shared" si="17"/>
        <v>0</v>
      </c>
      <c r="N376" s="2">
        <v>58247</v>
      </c>
      <c r="O376" s="97">
        <v>58247</v>
      </c>
      <c r="P376" s="52" t="s">
        <v>1487</v>
      </c>
    </row>
    <row r="377" spans="1:17" ht="40.950000000000003" customHeight="1" x14ac:dyDescent="0.3">
      <c r="A377" s="4">
        <v>87</v>
      </c>
      <c r="B377" s="10" t="s">
        <v>195</v>
      </c>
      <c r="C377" s="10"/>
      <c r="D377" s="10"/>
      <c r="E377" s="10"/>
      <c r="F377" s="10" t="s">
        <v>160</v>
      </c>
      <c r="G377" s="4" t="s">
        <v>48</v>
      </c>
      <c r="H377" s="4">
        <v>4</v>
      </c>
      <c r="I377" s="4">
        <f t="shared" si="18"/>
        <v>41600</v>
      </c>
      <c r="J377" s="4">
        <v>43320</v>
      </c>
      <c r="K377" s="4">
        <f t="shared" si="19"/>
        <v>0</v>
      </c>
      <c r="L377" s="1">
        <v>43320</v>
      </c>
      <c r="M377" s="93">
        <f t="shared" si="17"/>
        <v>0</v>
      </c>
      <c r="N377" s="2">
        <v>1720</v>
      </c>
      <c r="O377" s="97">
        <f>1600+120</f>
        <v>1720</v>
      </c>
      <c r="P377" s="52">
        <v>0.95</v>
      </c>
    </row>
    <row r="378" spans="1:17" ht="40.950000000000003" customHeight="1" x14ac:dyDescent="0.3">
      <c r="A378" s="4">
        <v>88</v>
      </c>
      <c r="B378" s="10" t="s">
        <v>171</v>
      </c>
      <c r="C378" s="10"/>
      <c r="D378" s="10"/>
      <c r="E378" s="10"/>
      <c r="F378" s="10" t="s">
        <v>160</v>
      </c>
      <c r="G378" s="4" t="s">
        <v>49</v>
      </c>
      <c r="H378" s="4">
        <v>4</v>
      </c>
      <c r="I378" s="4">
        <f t="shared" si="18"/>
        <v>77505</v>
      </c>
      <c r="J378" s="4">
        <v>89285</v>
      </c>
      <c r="K378" s="4">
        <f t="shared" si="19"/>
        <v>0</v>
      </c>
      <c r="L378" s="1">
        <v>89285</v>
      </c>
      <c r="M378" s="93">
        <f t="shared" si="17"/>
        <v>0</v>
      </c>
      <c r="N378" s="2">
        <v>11780</v>
      </c>
      <c r="O378" s="97">
        <f>4100+480+7200</f>
        <v>11780</v>
      </c>
      <c r="P378" s="52"/>
    </row>
    <row r="379" spans="1:17" ht="40.950000000000003" customHeight="1" x14ac:dyDescent="0.3">
      <c r="A379" s="4">
        <v>89</v>
      </c>
      <c r="B379" s="10" t="s">
        <v>166</v>
      </c>
      <c r="C379" s="10"/>
      <c r="D379" s="10"/>
      <c r="E379" s="10"/>
      <c r="F379" s="10" t="s">
        <v>160</v>
      </c>
      <c r="G379" s="4" t="s">
        <v>90</v>
      </c>
      <c r="H379" s="4">
        <v>6</v>
      </c>
      <c r="I379" s="4">
        <f t="shared" si="18"/>
        <v>153053</v>
      </c>
      <c r="J379" s="4">
        <v>169126</v>
      </c>
      <c r="K379" s="4">
        <f t="shared" si="19"/>
        <v>0</v>
      </c>
      <c r="L379" s="1">
        <v>169126</v>
      </c>
      <c r="M379" s="93">
        <f t="shared" si="17"/>
        <v>0</v>
      </c>
      <c r="N379" s="2">
        <v>16073</v>
      </c>
      <c r="O379" s="97">
        <f>11108+4965</f>
        <v>16073</v>
      </c>
      <c r="P379" s="52"/>
    </row>
    <row r="380" spans="1:17" ht="40.950000000000003" customHeight="1" x14ac:dyDescent="0.3">
      <c r="A380" s="4">
        <v>90</v>
      </c>
      <c r="B380" s="10" t="s">
        <v>167</v>
      </c>
      <c r="C380" s="10"/>
      <c r="D380" s="10"/>
      <c r="E380" s="10"/>
      <c r="F380" s="10" t="s">
        <v>160</v>
      </c>
      <c r="G380" s="4" t="s">
        <v>70</v>
      </c>
      <c r="H380" s="4">
        <v>13</v>
      </c>
      <c r="I380" s="4">
        <f t="shared" si="18"/>
        <v>269013</v>
      </c>
      <c r="J380" s="4">
        <v>307066</v>
      </c>
      <c r="K380" s="4">
        <f t="shared" si="19"/>
        <v>0</v>
      </c>
      <c r="L380" s="1">
        <v>307066</v>
      </c>
      <c r="M380" s="93">
        <f t="shared" si="17"/>
        <v>0</v>
      </c>
      <c r="N380" s="2">
        <v>38053</v>
      </c>
      <c r="O380" s="97">
        <v>38053</v>
      </c>
      <c r="P380" s="52">
        <v>0.95</v>
      </c>
    </row>
    <row r="381" spans="1:17" ht="40.950000000000003" customHeight="1" x14ac:dyDescent="0.3">
      <c r="A381" s="4">
        <v>91</v>
      </c>
      <c r="B381" s="10" t="s">
        <v>159</v>
      </c>
      <c r="C381" s="10"/>
      <c r="D381" s="10"/>
      <c r="E381" s="10"/>
      <c r="F381" s="10" t="s">
        <v>160</v>
      </c>
      <c r="G381" s="4" t="s">
        <v>11</v>
      </c>
      <c r="H381" s="4">
        <v>42</v>
      </c>
      <c r="I381" s="4">
        <f t="shared" si="18"/>
        <v>860122</v>
      </c>
      <c r="J381" s="4">
        <v>885432</v>
      </c>
      <c r="K381" s="4">
        <f t="shared" si="19"/>
        <v>0</v>
      </c>
      <c r="L381" s="1">
        <v>885432</v>
      </c>
      <c r="M381" s="93">
        <f t="shared" si="17"/>
        <v>0</v>
      </c>
      <c r="N381" s="2">
        <v>25310</v>
      </c>
      <c r="O381" s="97">
        <v>25310</v>
      </c>
      <c r="P381" s="52" t="s">
        <v>1497</v>
      </c>
      <c r="Q381" s="150">
        <f>L381-O381</f>
        <v>860122</v>
      </c>
    </row>
    <row r="382" spans="1:17" ht="40.950000000000003" customHeight="1" x14ac:dyDescent="0.3">
      <c r="A382" s="4">
        <v>91</v>
      </c>
      <c r="B382" s="10" t="s">
        <v>159</v>
      </c>
      <c r="C382" s="10"/>
      <c r="D382" s="10"/>
      <c r="E382" s="10"/>
      <c r="F382" s="10" t="s">
        <v>160</v>
      </c>
      <c r="G382" s="4" t="s">
        <v>128</v>
      </c>
      <c r="H382" s="4">
        <v>20</v>
      </c>
      <c r="I382" s="4">
        <f t="shared" si="18"/>
        <v>127197</v>
      </c>
      <c r="J382" s="4">
        <v>133077</v>
      </c>
      <c r="K382" s="4">
        <f t="shared" si="19"/>
        <v>0</v>
      </c>
      <c r="L382" s="1">
        <v>133077</v>
      </c>
      <c r="M382" s="93">
        <f t="shared" si="17"/>
        <v>0</v>
      </c>
      <c r="N382" s="2">
        <v>5880</v>
      </c>
      <c r="O382" s="97">
        <v>5880</v>
      </c>
      <c r="P382" s="52" t="s">
        <v>1770</v>
      </c>
      <c r="Q382" s="150">
        <f t="shared" ref="Q382:Q384" si="20">L382-O382</f>
        <v>127197</v>
      </c>
    </row>
    <row r="383" spans="1:17" ht="40.950000000000003" customHeight="1" x14ac:dyDescent="0.3">
      <c r="A383" s="4">
        <v>91</v>
      </c>
      <c r="B383" s="10" t="s">
        <v>159</v>
      </c>
      <c r="C383" s="10"/>
      <c r="D383" s="10"/>
      <c r="E383" s="10"/>
      <c r="F383" s="10" t="s">
        <v>160</v>
      </c>
      <c r="G383" s="4" t="s">
        <v>143</v>
      </c>
      <c r="H383" s="4">
        <v>30</v>
      </c>
      <c r="I383" s="4">
        <f t="shared" si="18"/>
        <v>308357</v>
      </c>
      <c r="J383" s="4">
        <v>328667</v>
      </c>
      <c r="K383" s="4">
        <f t="shared" si="19"/>
        <v>0</v>
      </c>
      <c r="L383" s="1">
        <v>328667</v>
      </c>
      <c r="M383" s="93">
        <f t="shared" si="17"/>
        <v>0</v>
      </c>
      <c r="N383" s="2">
        <v>20310</v>
      </c>
      <c r="O383" s="97">
        <v>20310</v>
      </c>
      <c r="P383" s="52" t="s">
        <v>1490</v>
      </c>
      <c r="Q383" s="150">
        <f t="shared" si="20"/>
        <v>308357</v>
      </c>
    </row>
    <row r="384" spans="1:17" ht="40.950000000000003" customHeight="1" x14ac:dyDescent="0.3">
      <c r="A384" s="4">
        <v>91</v>
      </c>
      <c r="B384" s="10" t="s">
        <v>159</v>
      </c>
      <c r="C384" s="10"/>
      <c r="D384" s="10"/>
      <c r="E384" s="10"/>
      <c r="F384" s="10" t="s">
        <v>160</v>
      </c>
      <c r="G384" s="4" t="s">
        <v>122</v>
      </c>
      <c r="H384" s="4">
        <v>33</v>
      </c>
      <c r="I384" s="4">
        <f t="shared" si="18"/>
        <v>353117</v>
      </c>
      <c r="J384" s="4">
        <v>367593</v>
      </c>
      <c r="K384" s="4">
        <f t="shared" si="19"/>
        <v>0</v>
      </c>
      <c r="L384" s="1">
        <v>367593</v>
      </c>
      <c r="M384" s="93">
        <f t="shared" si="17"/>
        <v>0</v>
      </c>
      <c r="N384" s="2">
        <v>14476</v>
      </c>
      <c r="O384" s="97">
        <v>14476</v>
      </c>
      <c r="P384" s="52" t="s">
        <v>1130</v>
      </c>
      <c r="Q384" s="150">
        <f t="shared" si="20"/>
        <v>353117</v>
      </c>
    </row>
    <row r="385" spans="1:16" ht="40.950000000000003" customHeight="1" x14ac:dyDescent="0.3">
      <c r="A385" s="4">
        <v>92</v>
      </c>
      <c r="B385" s="10" t="s">
        <v>178</v>
      </c>
      <c r="C385" s="10"/>
      <c r="D385" s="10"/>
      <c r="E385" s="10"/>
      <c r="F385" s="10" t="s">
        <v>160</v>
      </c>
      <c r="G385" s="4" t="s">
        <v>51</v>
      </c>
      <c r="H385" s="4">
        <v>54</v>
      </c>
      <c r="I385" s="4">
        <f t="shared" si="18"/>
        <v>861201</v>
      </c>
      <c r="J385" s="4">
        <v>890934</v>
      </c>
      <c r="K385" s="4">
        <f t="shared" si="19"/>
        <v>0</v>
      </c>
      <c r="L385" s="1">
        <v>890934</v>
      </c>
      <c r="M385" s="93">
        <f t="shared" si="17"/>
        <v>0</v>
      </c>
      <c r="N385" s="2">
        <v>29733</v>
      </c>
      <c r="O385" s="97">
        <v>29733</v>
      </c>
      <c r="P385" s="52" t="s">
        <v>1488</v>
      </c>
    </row>
    <row r="386" spans="1:16" ht="40.950000000000003" customHeight="1" x14ac:dyDescent="0.3">
      <c r="A386" s="4">
        <v>92</v>
      </c>
      <c r="B386" s="10" t="s">
        <v>178</v>
      </c>
      <c r="C386" s="10"/>
      <c r="D386" s="10"/>
      <c r="E386" s="10"/>
      <c r="F386" s="10" t="s">
        <v>160</v>
      </c>
      <c r="G386" s="4" t="s">
        <v>200</v>
      </c>
      <c r="H386" s="4">
        <v>16</v>
      </c>
      <c r="I386" s="4">
        <f t="shared" si="18"/>
        <v>98143</v>
      </c>
      <c r="J386" s="4">
        <v>101743</v>
      </c>
      <c r="K386" s="4">
        <f t="shared" si="19"/>
        <v>0</v>
      </c>
      <c r="L386" s="1">
        <v>101743</v>
      </c>
      <c r="M386" s="93">
        <f t="shared" si="17"/>
        <v>0</v>
      </c>
      <c r="N386" s="2">
        <v>3600</v>
      </c>
      <c r="O386" s="97">
        <f>240+360+360+240+120+1980+300</f>
        <v>3600</v>
      </c>
      <c r="P386" s="52"/>
    </row>
    <row r="387" spans="1:16" ht="40.950000000000003" customHeight="1" x14ac:dyDescent="0.3">
      <c r="A387" s="4">
        <v>92</v>
      </c>
      <c r="B387" s="10" t="s">
        <v>178</v>
      </c>
      <c r="C387" s="10"/>
      <c r="D387" s="10"/>
      <c r="E387" s="10"/>
      <c r="F387" s="10" t="s">
        <v>160</v>
      </c>
      <c r="G387" s="4" t="s">
        <v>122</v>
      </c>
      <c r="H387" s="4">
        <v>38</v>
      </c>
      <c r="I387" s="4">
        <f t="shared" si="18"/>
        <v>496299</v>
      </c>
      <c r="J387" s="4">
        <v>522671</v>
      </c>
      <c r="K387" s="4">
        <f t="shared" si="19"/>
        <v>0</v>
      </c>
      <c r="L387" s="1">
        <v>522671</v>
      </c>
      <c r="M387" s="93">
        <f t="shared" si="17"/>
        <v>0</v>
      </c>
      <c r="N387" s="2">
        <v>26372</v>
      </c>
      <c r="O387" s="97">
        <v>26372</v>
      </c>
      <c r="P387" s="52" t="s">
        <v>1491</v>
      </c>
    </row>
    <row r="388" spans="1:16" ht="40.950000000000003" customHeight="1" x14ac:dyDescent="0.3">
      <c r="A388" s="4">
        <v>93</v>
      </c>
      <c r="B388" s="10" t="s">
        <v>179</v>
      </c>
      <c r="C388" s="10"/>
      <c r="D388" s="10"/>
      <c r="E388" s="10"/>
      <c r="F388" s="10" t="s">
        <v>160</v>
      </c>
      <c r="G388" s="4" t="s">
        <v>128</v>
      </c>
      <c r="H388" s="4">
        <v>6</v>
      </c>
      <c r="I388" s="4">
        <f t="shared" si="18"/>
        <v>59201</v>
      </c>
      <c r="J388" s="4">
        <v>62321</v>
      </c>
      <c r="K388" s="4">
        <f t="shared" si="19"/>
        <v>0</v>
      </c>
      <c r="L388" s="1">
        <v>62321</v>
      </c>
      <c r="M388" s="93">
        <f t="shared" si="17"/>
        <v>0</v>
      </c>
      <c r="N388" s="2">
        <v>3120</v>
      </c>
      <c r="O388" s="97">
        <f>2200+920</f>
        <v>3120</v>
      </c>
      <c r="P388" s="52">
        <v>0.91200000000000003</v>
      </c>
    </row>
    <row r="389" spans="1:16" ht="40.950000000000003" customHeight="1" x14ac:dyDescent="0.3">
      <c r="A389" s="4">
        <v>94</v>
      </c>
      <c r="B389" s="10" t="s">
        <v>250</v>
      </c>
      <c r="C389" s="10"/>
      <c r="D389" s="10"/>
      <c r="E389" s="10"/>
      <c r="F389" s="10" t="s">
        <v>160</v>
      </c>
      <c r="G389" s="4" t="s">
        <v>114</v>
      </c>
      <c r="H389" s="4">
        <v>40</v>
      </c>
      <c r="I389" s="4">
        <f t="shared" si="18"/>
        <v>849897</v>
      </c>
      <c r="J389" s="4">
        <v>877831</v>
      </c>
      <c r="K389" s="4">
        <f t="shared" si="19"/>
        <v>0</v>
      </c>
      <c r="L389" s="1">
        <v>877831</v>
      </c>
      <c r="M389" s="93">
        <f t="shared" si="17"/>
        <v>0</v>
      </c>
      <c r="N389" s="2">
        <v>27934</v>
      </c>
      <c r="O389" s="97">
        <v>27934</v>
      </c>
      <c r="P389" s="52" t="s">
        <v>1483</v>
      </c>
    </row>
    <row r="390" spans="1:16" ht="40.950000000000003" customHeight="1" x14ac:dyDescent="0.3">
      <c r="A390" s="4">
        <v>94</v>
      </c>
      <c r="B390" s="10" t="s">
        <v>250</v>
      </c>
      <c r="C390" s="10"/>
      <c r="D390" s="10"/>
      <c r="E390" s="10"/>
      <c r="F390" s="10" t="s">
        <v>160</v>
      </c>
      <c r="G390" s="4" t="s">
        <v>70</v>
      </c>
      <c r="H390" s="4">
        <v>26</v>
      </c>
      <c r="I390" s="4">
        <f t="shared" si="18"/>
        <v>396875</v>
      </c>
      <c r="J390" s="4">
        <v>411690</v>
      </c>
      <c r="K390" s="4">
        <f t="shared" si="19"/>
        <v>0</v>
      </c>
      <c r="L390" s="1">
        <v>411690</v>
      </c>
      <c r="M390" s="93">
        <f t="shared" si="17"/>
        <v>0</v>
      </c>
      <c r="N390" s="2">
        <v>14815</v>
      </c>
      <c r="O390" s="97">
        <v>14815</v>
      </c>
      <c r="P390" s="52" t="s">
        <v>1130</v>
      </c>
    </row>
    <row r="391" spans="1:16" ht="40.950000000000003" customHeight="1" x14ac:dyDescent="0.3">
      <c r="A391" s="4">
        <v>94</v>
      </c>
      <c r="B391" s="10" t="s">
        <v>250</v>
      </c>
      <c r="C391" s="10"/>
      <c r="D391" s="10"/>
      <c r="E391" s="10"/>
      <c r="F391" s="10" t="s">
        <v>160</v>
      </c>
      <c r="G391" s="4" t="s">
        <v>350</v>
      </c>
      <c r="H391" s="4">
        <v>5</v>
      </c>
      <c r="I391" s="4">
        <f t="shared" si="18"/>
        <v>50183</v>
      </c>
      <c r="J391" s="4">
        <v>53943</v>
      </c>
      <c r="K391" s="4">
        <f t="shared" si="19"/>
        <v>0</v>
      </c>
      <c r="L391" s="1">
        <v>53943</v>
      </c>
      <c r="M391" s="93">
        <f t="shared" si="17"/>
        <v>0</v>
      </c>
      <c r="N391" s="2">
        <v>3760</v>
      </c>
      <c r="O391" s="97">
        <f>120+3090+550</f>
        <v>3760</v>
      </c>
      <c r="P391" s="52" t="s">
        <v>1130</v>
      </c>
    </row>
    <row r="392" spans="1:16" ht="40.950000000000003" customHeight="1" x14ac:dyDescent="0.3">
      <c r="A392" s="4">
        <v>94</v>
      </c>
      <c r="B392" s="10" t="s">
        <v>250</v>
      </c>
      <c r="C392" s="10"/>
      <c r="D392" s="10"/>
      <c r="E392" s="10"/>
      <c r="F392" s="10" t="s">
        <v>160</v>
      </c>
      <c r="G392" s="4" t="s">
        <v>420</v>
      </c>
      <c r="H392" s="4">
        <v>16</v>
      </c>
      <c r="I392" s="4">
        <f t="shared" si="18"/>
        <v>107016</v>
      </c>
      <c r="J392" s="4">
        <v>116146</v>
      </c>
      <c r="K392" s="4">
        <f t="shared" si="19"/>
        <v>0</v>
      </c>
      <c r="L392" s="1">
        <v>116146</v>
      </c>
      <c r="M392" s="93">
        <f t="shared" si="17"/>
        <v>0</v>
      </c>
      <c r="N392" s="2">
        <v>9130</v>
      </c>
      <c r="O392" s="97">
        <v>9130</v>
      </c>
      <c r="P392" s="52" t="s">
        <v>1485</v>
      </c>
    </row>
    <row r="393" spans="1:16" ht="40.950000000000003" customHeight="1" x14ac:dyDescent="0.3">
      <c r="A393" s="4">
        <v>94</v>
      </c>
      <c r="B393" s="10" t="s">
        <v>250</v>
      </c>
      <c r="C393" s="10"/>
      <c r="D393" s="10"/>
      <c r="E393" s="10"/>
      <c r="F393" s="10" t="s">
        <v>160</v>
      </c>
      <c r="G393" s="4" t="s">
        <v>39</v>
      </c>
      <c r="H393" s="4">
        <v>20</v>
      </c>
      <c r="I393" s="4">
        <f t="shared" si="18"/>
        <v>176093</v>
      </c>
      <c r="J393" s="4">
        <v>190247</v>
      </c>
      <c r="K393" s="4">
        <f t="shared" si="19"/>
        <v>0</v>
      </c>
      <c r="L393" s="1">
        <v>190247</v>
      </c>
      <c r="M393" s="93">
        <f t="shared" si="17"/>
        <v>0</v>
      </c>
      <c r="N393" s="2">
        <v>14154</v>
      </c>
      <c r="O393" s="97">
        <v>14154</v>
      </c>
      <c r="P393" s="52" t="s">
        <v>1484</v>
      </c>
    </row>
    <row r="394" spans="1:16" ht="40.950000000000003" customHeight="1" x14ac:dyDescent="0.3">
      <c r="A394" s="4">
        <v>94</v>
      </c>
      <c r="B394" s="10" t="s">
        <v>250</v>
      </c>
      <c r="C394" s="10"/>
      <c r="D394" s="10"/>
      <c r="E394" s="10"/>
      <c r="F394" s="10" t="s">
        <v>160</v>
      </c>
      <c r="G394" s="4" t="s">
        <v>128</v>
      </c>
      <c r="H394" s="4">
        <v>10</v>
      </c>
      <c r="I394" s="4">
        <f t="shared" si="18"/>
        <v>46398</v>
      </c>
      <c r="J394" s="4">
        <v>48048</v>
      </c>
      <c r="K394" s="4">
        <f t="shared" si="19"/>
        <v>0</v>
      </c>
      <c r="L394" s="1">
        <v>48048</v>
      </c>
      <c r="M394" s="93">
        <f t="shared" si="17"/>
        <v>0</v>
      </c>
      <c r="N394" s="2">
        <v>1650</v>
      </c>
      <c r="O394" s="97">
        <v>1650</v>
      </c>
      <c r="P394" s="52" t="s">
        <v>1494</v>
      </c>
    </row>
    <row r="395" spans="1:16" ht="40.950000000000003" customHeight="1" x14ac:dyDescent="0.3">
      <c r="A395" s="4">
        <v>94</v>
      </c>
      <c r="B395" s="10" t="s">
        <v>250</v>
      </c>
      <c r="C395" s="10"/>
      <c r="D395" s="10"/>
      <c r="E395" s="10"/>
      <c r="F395" s="10" t="s">
        <v>160</v>
      </c>
      <c r="G395" s="4" t="s">
        <v>64</v>
      </c>
      <c r="H395" s="4">
        <v>16</v>
      </c>
      <c r="I395" s="4">
        <f t="shared" si="18"/>
        <v>114909</v>
      </c>
      <c r="J395" s="4">
        <v>127474</v>
      </c>
      <c r="K395" s="4">
        <f t="shared" si="19"/>
        <v>0</v>
      </c>
      <c r="L395" s="1">
        <v>127474</v>
      </c>
      <c r="M395" s="93">
        <f t="shared" si="17"/>
        <v>0</v>
      </c>
      <c r="N395" s="2">
        <v>12565</v>
      </c>
      <c r="O395" s="97">
        <v>12565</v>
      </c>
      <c r="P395" s="52" t="s">
        <v>1492</v>
      </c>
    </row>
    <row r="396" spans="1:16" ht="40.950000000000003" customHeight="1" x14ac:dyDescent="0.3">
      <c r="A396" s="4">
        <v>94</v>
      </c>
      <c r="B396" s="10" t="s">
        <v>250</v>
      </c>
      <c r="C396" s="10"/>
      <c r="D396" s="10"/>
      <c r="E396" s="10"/>
      <c r="F396" s="10" t="s">
        <v>160</v>
      </c>
      <c r="G396" s="4" t="s">
        <v>143</v>
      </c>
      <c r="H396" s="4">
        <v>24</v>
      </c>
      <c r="I396" s="4">
        <f t="shared" si="18"/>
        <v>183515</v>
      </c>
      <c r="J396" s="4">
        <v>206470</v>
      </c>
      <c r="K396" s="4">
        <f t="shared" si="19"/>
        <v>0</v>
      </c>
      <c r="L396" s="1">
        <v>206470</v>
      </c>
      <c r="M396" s="93">
        <f t="shared" si="17"/>
        <v>0</v>
      </c>
      <c r="N396" s="2">
        <v>22955</v>
      </c>
      <c r="O396" s="97">
        <v>22955</v>
      </c>
      <c r="P396" s="52" t="s">
        <v>1486</v>
      </c>
    </row>
    <row r="397" spans="1:16" ht="40.950000000000003" customHeight="1" x14ac:dyDescent="0.3">
      <c r="A397" s="4">
        <v>94</v>
      </c>
      <c r="B397" s="10" t="s">
        <v>250</v>
      </c>
      <c r="C397" s="10"/>
      <c r="D397" s="10"/>
      <c r="E397" s="10"/>
      <c r="F397" s="10" t="s">
        <v>160</v>
      </c>
      <c r="G397" s="4" t="s">
        <v>49</v>
      </c>
      <c r="H397" s="4">
        <v>15</v>
      </c>
      <c r="I397" s="4">
        <f t="shared" si="18"/>
        <v>188968</v>
      </c>
      <c r="J397" s="4">
        <v>200108</v>
      </c>
      <c r="K397" s="4">
        <f t="shared" si="19"/>
        <v>0</v>
      </c>
      <c r="L397" s="1">
        <v>200108</v>
      </c>
      <c r="M397" s="93">
        <f t="shared" si="17"/>
        <v>0</v>
      </c>
      <c r="N397" s="2">
        <v>11140</v>
      </c>
      <c r="O397" s="97">
        <v>11140</v>
      </c>
      <c r="P397" s="52" t="s">
        <v>1458</v>
      </c>
    </row>
    <row r="398" spans="1:16" ht="40.950000000000003" customHeight="1" x14ac:dyDescent="0.3">
      <c r="A398" s="4">
        <v>94</v>
      </c>
      <c r="B398" s="10" t="s">
        <v>250</v>
      </c>
      <c r="C398" s="10"/>
      <c r="D398" s="10"/>
      <c r="E398" s="10"/>
      <c r="F398" s="10" t="s">
        <v>385</v>
      </c>
      <c r="G398" s="4" t="s">
        <v>470</v>
      </c>
      <c r="H398" s="4" t="s">
        <v>650</v>
      </c>
      <c r="I398" s="4">
        <f t="shared" si="18"/>
        <v>403</v>
      </c>
      <c r="J398" s="4">
        <v>2018</v>
      </c>
      <c r="K398" s="4">
        <f t="shared" si="19"/>
        <v>0</v>
      </c>
      <c r="L398" s="1">
        <v>2018</v>
      </c>
      <c r="M398" s="93">
        <f t="shared" si="17"/>
        <v>0</v>
      </c>
      <c r="N398" s="2">
        <v>1615</v>
      </c>
      <c r="O398" s="97">
        <f>1615</f>
        <v>1615</v>
      </c>
      <c r="P398" s="52"/>
    </row>
    <row r="399" spans="1:16" ht="40.950000000000003" customHeight="1" x14ac:dyDescent="0.3">
      <c r="A399" s="4">
        <v>94</v>
      </c>
      <c r="B399" s="10" t="s">
        <v>250</v>
      </c>
      <c r="C399" s="10"/>
      <c r="D399" s="10"/>
      <c r="E399" s="10"/>
      <c r="F399" s="10" t="s">
        <v>385</v>
      </c>
      <c r="G399" s="4" t="s">
        <v>381</v>
      </c>
      <c r="H399" s="4" t="s">
        <v>650</v>
      </c>
      <c r="I399" s="4">
        <f t="shared" si="18"/>
        <v>159</v>
      </c>
      <c r="J399" s="4">
        <v>173</v>
      </c>
      <c r="K399" s="4">
        <f t="shared" si="19"/>
        <v>0</v>
      </c>
      <c r="L399" s="1">
        <v>173</v>
      </c>
      <c r="M399" s="93">
        <f t="shared" si="17"/>
        <v>0</v>
      </c>
      <c r="N399" s="2">
        <v>14</v>
      </c>
      <c r="O399" s="97">
        <f>14</f>
        <v>14</v>
      </c>
      <c r="P399" s="52"/>
    </row>
    <row r="400" spans="1:16" ht="40.950000000000003" customHeight="1" x14ac:dyDescent="0.3">
      <c r="A400" s="4">
        <v>94</v>
      </c>
      <c r="B400" s="10" t="s">
        <v>250</v>
      </c>
      <c r="C400" s="10"/>
      <c r="D400" s="10"/>
      <c r="E400" s="10"/>
      <c r="F400" s="10" t="s">
        <v>385</v>
      </c>
      <c r="G400" s="4" t="s">
        <v>368</v>
      </c>
      <c r="H400" s="4" t="s">
        <v>650</v>
      </c>
      <c r="I400" s="4">
        <f t="shared" si="18"/>
        <v>1442</v>
      </c>
      <c r="J400" s="4">
        <v>1726</v>
      </c>
      <c r="K400" s="4">
        <f t="shared" si="19"/>
        <v>0</v>
      </c>
      <c r="L400" s="1">
        <v>1726</v>
      </c>
      <c r="M400" s="93">
        <f t="shared" si="17"/>
        <v>0</v>
      </c>
      <c r="N400" s="2">
        <v>284</v>
      </c>
      <c r="O400" s="97">
        <f>284</f>
        <v>284</v>
      </c>
      <c r="P400" s="52"/>
    </row>
    <row r="401" spans="1:16" ht="40.950000000000003" customHeight="1" x14ac:dyDescent="0.3">
      <c r="A401" s="4">
        <v>94</v>
      </c>
      <c r="B401" s="10" t="s">
        <v>250</v>
      </c>
      <c r="C401" s="10"/>
      <c r="D401" s="10"/>
      <c r="E401" s="10"/>
      <c r="F401" s="10" t="s">
        <v>385</v>
      </c>
      <c r="G401" s="4" t="s">
        <v>478</v>
      </c>
      <c r="H401" s="4" t="s">
        <v>650</v>
      </c>
      <c r="I401" s="4">
        <f t="shared" si="18"/>
        <v>1172</v>
      </c>
      <c r="J401" s="4">
        <v>1295</v>
      </c>
      <c r="K401" s="4">
        <f t="shared" si="19"/>
        <v>0</v>
      </c>
      <c r="L401" s="1">
        <v>1295</v>
      </c>
      <c r="M401" s="93">
        <f t="shared" si="17"/>
        <v>0</v>
      </c>
      <c r="N401" s="2">
        <v>123</v>
      </c>
      <c r="O401" s="97">
        <f>123</f>
        <v>123</v>
      </c>
      <c r="P401" s="52"/>
    </row>
    <row r="402" spans="1:16" ht="40.950000000000003" customHeight="1" x14ac:dyDescent="0.3">
      <c r="A402" s="4">
        <v>94</v>
      </c>
      <c r="B402" s="10" t="s">
        <v>250</v>
      </c>
      <c r="C402" s="10"/>
      <c r="D402" s="10"/>
      <c r="E402" s="10"/>
      <c r="F402" s="10" t="s">
        <v>385</v>
      </c>
      <c r="G402" s="4" t="s">
        <v>169</v>
      </c>
      <c r="H402" s="4" t="s">
        <v>650</v>
      </c>
      <c r="I402" s="4">
        <f t="shared" si="18"/>
        <v>189</v>
      </c>
      <c r="J402" s="4">
        <v>216</v>
      </c>
      <c r="K402" s="4">
        <f t="shared" si="19"/>
        <v>0</v>
      </c>
      <c r="L402" s="1">
        <v>216</v>
      </c>
      <c r="M402" s="93">
        <f t="shared" si="17"/>
        <v>0</v>
      </c>
      <c r="N402" s="2">
        <v>27</v>
      </c>
      <c r="O402" s="97">
        <f>27</f>
        <v>27</v>
      </c>
      <c r="P402" s="52"/>
    </row>
    <row r="403" spans="1:16" ht="40.950000000000003" customHeight="1" x14ac:dyDescent="0.3">
      <c r="A403" s="4">
        <v>94</v>
      </c>
      <c r="B403" s="10" t="s">
        <v>250</v>
      </c>
      <c r="C403" s="10"/>
      <c r="D403" s="10"/>
      <c r="E403" s="10"/>
      <c r="F403" s="10" t="s">
        <v>385</v>
      </c>
      <c r="G403" s="4" t="s">
        <v>471</v>
      </c>
      <c r="H403" s="4">
        <v>4</v>
      </c>
      <c r="I403" s="4">
        <f t="shared" si="18"/>
        <v>22758</v>
      </c>
      <c r="J403" s="4">
        <v>24948</v>
      </c>
      <c r="K403" s="4">
        <f t="shared" si="19"/>
        <v>0</v>
      </c>
      <c r="L403" s="1">
        <v>24948</v>
      </c>
      <c r="M403" s="93">
        <f t="shared" si="17"/>
        <v>0</v>
      </c>
      <c r="N403" s="2">
        <v>2190</v>
      </c>
      <c r="O403" s="97">
        <v>2190</v>
      </c>
      <c r="P403" s="52">
        <v>0.92</v>
      </c>
    </row>
    <row r="404" spans="1:16" ht="40.950000000000003" customHeight="1" x14ac:dyDescent="0.3">
      <c r="A404" s="4">
        <v>94</v>
      </c>
      <c r="B404" s="10" t="s">
        <v>250</v>
      </c>
      <c r="C404" s="10"/>
      <c r="D404" s="10"/>
      <c r="E404" s="10"/>
      <c r="F404" s="10" t="s">
        <v>385</v>
      </c>
      <c r="G404" s="4" t="s">
        <v>398</v>
      </c>
      <c r="H404" s="4">
        <v>3</v>
      </c>
      <c r="I404" s="4">
        <f t="shared" si="18"/>
        <v>19286.5</v>
      </c>
      <c r="J404" s="4">
        <v>24948</v>
      </c>
      <c r="K404" s="4">
        <f t="shared" si="19"/>
        <v>0</v>
      </c>
      <c r="L404" s="1">
        <v>24948</v>
      </c>
      <c r="M404" s="93">
        <f t="shared" si="17"/>
        <v>0</v>
      </c>
      <c r="N404" s="2">
        <v>5661.5</v>
      </c>
      <c r="O404" s="97">
        <v>5661.5</v>
      </c>
      <c r="P404" s="52">
        <v>0.92</v>
      </c>
    </row>
    <row r="405" spans="1:16" ht="40.950000000000003" customHeight="1" x14ac:dyDescent="0.3">
      <c r="A405" s="4">
        <v>94</v>
      </c>
      <c r="B405" s="10" t="s">
        <v>250</v>
      </c>
      <c r="C405" s="10"/>
      <c r="D405" s="10"/>
      <c r="E405" s="10"/>
      <c r="F405" s="10" t="s">
        <v>385</v>
      </c>
      <c r="G405" s="4" t="s">
        <v>420</v>
      </c>
      <c r="H405" s="4">
        <v>7</v>
      </c>
      <c r="I405" s="4">
        <f t="shared" si="18"/>
        <v>23352</v>
      </c>
      <c r="J405" s="4">
        <v>24707</v>
      </c>
      <c r="K405" s="4">
        <f t="shared" si="19"/>
        <v>0</v>
      </c>
      <c r="L405" s="1">
        <v>24707</v>
      </c>
      <c r="M405" s="93">
        <f t="shared" si="17"/>
        <v>0</v>
      </c>
      <c r="N405" s="2">
        <v>1355</v>
      </c>
      <c r="O405" s="97">
        <v>1355</v>
      </c>
      <c r="P405" s="52">
        <v>0.9</v>
      </c>
    </row>
    <row r="406" spans="1:16" ht="40.950000000000003" customHeight="1" x14ac:dyDescent="0.3">
      <c r="A406" s="4">
        <v>94</v>
      </c>
      <c r="B406" s="10" t="s">
        <v>250</v>
      </c>
      <c r="C406" s="10"/>
      <c r="D406" s="10"/>
      <c r="E406" s="10"/>
      <c r="F406" s="10" t="s">
        <v>385</v>
      </c>
      <c r="G406" s="4" t="s">
        <v>477</v>
      </c>
      <c r="H406" s="4">
        <v>5</v>
      </c>
      <c r="I406" s="4">
        <f t="shared" si="18"/>
        <v>18849</v>
      </c>
      <c r="J406" s="4">
        <v>24948</v>
      </c>
      <c r="K406" s="4">
        <f t="shared" si="19"/>
        <v>0</v>
      </c>
      <c r="L406" s="1">
        <v>24948</v>
      </c>
      <c r="M406" s="93">
        <f t="shared" ref="M406:M469" si="21">O406-N406</f>
        <v>0</v>
      </c>
      <c r="N406" s="2">
        <v>6099</v>
      </c>
      <c r="O406" s="97">
        <v>6099</v>
      </c>
      <c r="P406" s="52">
        <v>0.92</v>
      </c>
    </row>
    <row r="407" spans="1:16" ht="40.950000000000003" customHeight="1" x14ac:dyDescent="0.3">
      <c r="A407" s="4">
        <v>94</v>
      </c>
      <c r="B407" s="10" t="s">
        <v>250</v>
      </c>
      <c r="C407" s="10"/>
      <c r="D407" s="10"/>
      <c r="E407" s="10"/>
      <c r="F407" s="10" t="s">
        <v>385</v>
      </c>
      <c r="G407" s="4" t="s">
        <v>39</v>
      </c>
      <c r="H407" s="4">
        <v>6</v>
      </c>
      <c r="I407" s="4">
        <f t="shared" si="18"/>
        <v>20728</v>
      </c>
      <c r="J407" s="4">
        <v>24948</v>
      </c>
      <c r="K407" s="4">
        <f t="shared" si="19"/>
        <v>0</v>
      </c>
      <c r="L407" s="1">
        <v>24948</v>
      </c>
      <c r="M407" s="93">
        <f t="shared" si="21"/>
        <v>0</v>
      </c>
      <c r="N407" s="2">
        <v>4220</v>
      </c>
      <c r="O407" s="97">
        <v>4220</v>
      </c>
      <c r="P407" s="52">
        <v>0.92</v>
      </c>
    </row>
    <row r="408" spans="1:16" ht="40.950000000000003" customHeight="1" x14ac:dyDescent="0.3">
      <c r="A408" s="4">
        <v>94</v>
      </c>
      <c r="B408" s="10" t="s">
        <v>250</v>
      </c>
      <c r="C408" s="10"/>
      <c r="D408" s="10"/>
      <c r="E408" s="10"/>
      <c r="F408" s="10" t="s">
        <v>385</v>
      </c>
      <c r="G408" s="4" t="s">
        <v>410</v>
      </c>
      <c r="H408" s="4">
        <v>4</v>
      </c>
      <c r="I408" s="4">
        <f t="shared" ref="I408:I471" si="22">J408-O408</f>
        <v>22130</v>
      </c>
      <c r="J408" s="4">
        <v>24770</v>
      </c>
      <c r="K408" s="4">
        <f t="shared" ref="K408:K482" si="23">L408-J408</f>
        <v>0</v>
      </c>
      <c r="L408" s="1">
        <v>24770</v>
      </c>
      <c r="M408" s="93">
        <f t="shared" si="21"/>
        <v>0</v>
      </c>
      <c r="N408" s="2">
        <v>2640</v>
      </c>
      <c r="O408" s="97">
        <v>2640</v>
      </c>
      <c r="P408" s="52">
        <v>0.92</v>
      </c>
    </row>
    <row r="409" spans="1:16" ht="40.950000000000003" customHeight="1" x14ac:dyDescent="0.3">
      <c r="A409" s="4">
        <v>94</v>
      </c>
      <c r="B409" s="10" t="s">
        <v>250</v>
      </c>
      <c r="C409" s="10"/>
      <c r="D409" s="10"/>
      <c r="E409" s="10"/>
      <c r="F409" s="10" t="s">
        <v>385</v>
      </c>
      <c r="G409" s="4" t="s">
        <v>70</v>
      </c>
      <c r="H409" s="4">
        <v>5</v>
      </c>
      <c r="I409" s="4">
        <f t="shared" si="22"/>
        <v>19452</v>
      </c>
      <c r="J409" s="4">
        <v>24948</v>
      </c>
      <c r="K409" s="4">
        <f t="shared" si="23"/>
        <v>0</v>
      </c>
      <c r="L409" s="1">
        <v>24948</v>
      </c>
      <c r="M409" s="93">
        <f t="shared" si="21"/>
        <v>0</v>
      </c>
      <c r="N409" s="2">
        <v>5496</v>
      </c>
      <c r="O409" s="97">
        <v>5496</v>
      </c>
      <c r="P409" s="52">
        <v>0.92</v>
      </c>
    </row>
    <row r="410" spans="1:16" ht="40.950000000000003" customHeight="1" x14ac:dyDescent="0.3">
      <c r="A410" s="4">
        <v>94</v>
      </c>
      <c r="B410" s="10" t="s">
        <v>250</v>
      </c>
      <c r="C410" s="10"/>
      <c r="D410" s="10"/>
      <c r="E410" s="10"/>
      <c r="F410" s="10" t="s">
        <v>385</v>
      </c>
      <c r="G410" s="4" t="s">
        <v>48</v>
      </c>
      <c r="H410" s="4">
        <v>4</v>
      </c>
      <c r="I410" s="4">
        <f t="shared" si="22"/>
        <v>12050.75</v>
      </c>
      <c r="J410" s="4">
        <v>13730</v>
      </c>
      <c r="K410" s="4">
        <f t="shared" si="23"/>
        <v>0</v>
      </c>
      <c r="L410" s="1">
        <v>13730</v>
      </c>
      <c r="M410" s="93">
        <f t="shared" si="21"/>
        <v>0</v>
      </c>
      <c r="N410" s="2">
        <v>1679.25</v>
      </c>
      <c r="O410" s="97">
        <v>1679.25</v>
      </c>
      <c r="P410" s="52" t="s">
        <v>1530</v>
      </c>
    </row>
    <row r="411" spans="1:16" ht="40.950000000000003" customHeight="1" x14ac:dyDescent="0.3">
      <c r="A411" s="4">
        <v>94</v>
      </c>
      <c r="B411" s="10" t="s">
        <v>250</v>
      </c>
      <c r="C411" s="10"/>
      <c r="D411" s="10"/>
      <c r="E411" s="10"/>
      <c r="F411" s="10" t="s">
        <v>385</v>
      </c>
      <c r="G411" s="4" t="s">
        <v>90</v>
      </c>
      <c r="H411" s="4">
        <v>4</v>
      </c>
      <c r="I411" s="4">
        <f t="shared" si="22"/>
        <v>22188</v>
      </c>
      <c r="J411" s="4">
        <v>24948</v>
      </c>
      <c r="K411" s="4">
        <f t="shared" si="23"/>
        <v>0</v>
      </c>
      <c r="L411" s="1">
        <v>24948</v>
      </c>
      <c r="M411" s="93">
        <f t="shared" si="21"/>
        <v>0</v>
      </c>
      <c r="N411" s="2">
        <v>2760</v>
      </c>
      <c r="O411" s="97">
        <v>2760</v>
      </c>
      <c r="P411" s="52">
        <v>0.92</v>
      </c>
    </row>
    <row r="412" spans="1:16" ht="40.950000000000003" customHeight="1" x14ac:dyDescent="0.3">
      <c r="A412" s="4">
        <v>94</v>
      </c>
      <c r="B412" s="10" t="s">
        <v>250</v>
      </c>
      <c r="C412" s="10"/>
      <c r="D412" s="10"/>
      <c r="E412" s="10"/>
      <c r="F412" s="10" t="s">
        <v>385</v>
      </c>
      <c r="G412" s="4" t="s">
        <v>114</v>
      </c>
      <c r="H412" s="4">
        <v>7</v>
      </c>
      <c r="I412" s="4">
        <f t="shared" si="22"/>
        <v>19921.25</v>
      </c>
      <c r="J412" s="4">
        <v>24948</v>
      </c>
      <c r="K412" s="4">
        <f t="shared" si="23"/>
        <v>0</v>
      </c>
      <c r="L412" s="1">
        <v>24948</v>
      </c>
      <c r="M412" s="93">
        <f t="shared" si="21"/>
        <v>0</v>
      </c>
      <c r="N412" s="2">
        <v>5026.75</v>
      </c>
      <c r="O412" s="97">
        <v>5026.75</v>
      </c>
      <c r="P412" s="52">
        <v>0.92</v>
      </c>
    </row>
    <row r="413" spans="1:16" ht="40.950000000000003" customHeight="1" x14ac:dyDescent="0.3">
      <c r="A413" s="4">
        <v>95</v>
      </c>
      <c r="B413" s="10" t="s">
        <v>201</v>
      </c>
      <c r="C413" s="10"/>
      <c r="D413" s="10"/>
      <c r="E413" s="10"/>
      <c r="F413" s="10" t="s">
        <v>160</v>
      </c>
      <c r="G413" s="4" t="s">
        <v>143</v>
      </c>
      <c r="H413" s="4">
        <v>22</v>
      </c>
      <c r="I413" s="4">
        <f t="shared" si="22"/>
        <v>290815</v>
      </c>
      <c r="J413" s="4">
        <v>329410</v>
      </c>
      <c r="K413" s="4">
        <f t="shared" si="23"/>
        <v>0</v>
      </c>
      <c r="L413" s="1">
        <v>329410</v>
      </c>
      <c r="M413" s="93">
        <f t="shared" si="21"/>
        <v>0</v>
      </c>
      <c r="N413" s="2">
        <v>38595</v>
      </c>
      <c r="O413" s="97">
        <v>38595</v>
      </c>
      <c r="P413" s="52" t="s">
        <v>1489</v>
      </c>
    </row>
    <row r="414" spans="1:16" ht="40.950000000000003" customHeight="1" x14ac:dyDescent="0.3">
      <c r="A414" s="4">
        <v>95</v>
      </c>
      <c r="B414" s="10" t="s">
        <v>201</v>
      </c>
      <c r="C414" s="10"/>
      <c r="D414" s="10"/>
      <c r="E414" s="10"/>
      <c r="F414" s="10" t="s">
        <v>160</v>
      </c>
      <c r="G414" s="4" t="s">
        <v>39</v>
      </c>
      <c r="H414" s="4">
        <v>6</v>
      </c>
      <c r="I414" s="4">
        <f t="shared" si="22"/>
        <v>16886</v>
      </c>
      <c r="J414" s="4">
        <v>18656</v>
      </c>
      <c r="K414" s="4">
        <f t="shared" si="23"/>
        <v>0</v>
      </c>
      <c r="L414" s="1">
        <v>18656</v>
      </c>
      <c r="M414" s="93">
        <f t="shared" si="21"/>
        <v>0</v>
      </c>
      <c r="N414" s="2">
        <v>1770</v>
      </c>
      <c r="O414" s="97">
        <v>1770</v>
      </c>
      <c r="P414" s="52">
        <v>0.95</v>
      </c>
    </row>
    <row r="415" spans="1:16" ht="40.950000000000003" customHeight="1" x14ac:dyDescent="0.3">
      <c r="A415" s="4">
        <v>95</v>
      </c>
      <c r="B415" s="10" t="s">
        <v>201</v>
      </c>
      <c r="C415" s="10"/>
      <c r="D415" s="10"/>
      <c r="E415" s="10"/>
      <c r="F415" s="10" t="s">
        <v>160</v>
      </c>
      <c r="G415" s="4" t="s">
        <v>350</v>
      </c>
      <c r="H415" s="4">
        <v>7</v>
      </c>
      <c r="I415" s="4">
        <f t="shared" si="22"/>
        <v>60032</v>
      </c>
      <c r="J415" s="4">
        <v>61852</v>
      </c>
      <c r="K415" s="4">
        <f t="shared" si="23"/>
        <v>0</v>
      </c>
      <c r="L415" s="1">
        <v>61852</v>
      </c>
      <c r="M415" s="93">
        <f t="shared" si="21"/>
        <v>0</v>
      </c>
      <c r="N415" s="2">
        <v>1820</v>
      </c>
      <c r="O415" s="97">
        <v>1820</v>
      </c>
      <c r="P415" s="52" t="s">
        <v>1130</v>
      </c>
    </row>
    <row r="416" spans="1:16" ht="40.950000000000003" customHeight="1" x14ac:dyDescent="0.3">
      <c r="A416" s="4">
        <v>95</v>
      </c>
      <c r="B416" s="10" t="s">
        <v>201</v>
      </c>
      <c r="C416" s="10"/>
      <c r="D416" s="10"/>
      <c r="E416" s="10"/>
      <c r="F416" s="10" t="s">
        <v>160</v>
      </c>
      <c r="G416" s="4" t="s">
        <v>49</v>
      </c>
      <c r="H416" s="4">
        <v>6</v>
      </c>
      <c r="I416" s="4">
        <f t="shared" si="22"/>
        <v>55386</v>
      </c>
      <c r="J416" s="4">
        <v>69001</v>
      </c>
      <c r="K416" s="4">
        <f t="shared" si="23"/>
        <v>0</v>
      </c>
      <c r="L416" s="1">
        <v>69001</v>
      </c>
      <c r="M416" s="93">
        <f t="shared" si="21"/>
        <v>0</v>
      </c>
      <c r="N416" s="2">
        <v>13615</v>
      </c>
      <c r="O416" s="97">
        <v>13615</v>
      </c>
      <c r="P416" s="52">
        <v>0.97</v>
      </c>
    </row>
    <row r="417" spans="1:16" ht="40.950000000000003" customHeight="1" x14ac:dyDescent="0.3">
      <c r="A417" s="4">
        <v>96</v>
      </c>
      <c r="B417" s="10" t="s">
        <v>237</v>
      </c>
      <c r="C417" s="10"/>
      <c r="D417" s="10"/>
      <c r="E417" s="10"/>
      <c r="F417" s="10" t="s">
        <v>160</v>
      </c>
      <c r="G417" s="4" t="s">
        <v>128</v>
      </c>
      <c r="H417" s="4">
        <v>15</v>
      </c>
      <c r="I417" s="4">
        <f t="shared" si="22"/>
        <v>181713</v>
      </c>
      <c r="J417" s="4">
        <v>200528</v>
      </c>
      <c r="K417" s="4">
        <f t="shared" si="23"/>
        <v>0</v>
      </c>
      <c r="L417" s="1">
        <v>200528</v>
      </c>
      <c r="M417" s="93">
        <f t="shared" si="21"/>
        <v>0</v>
      </c>
      <c r="N417" s="2">
        <v>18815</v>
      </c>
      <c r="O417" s="97">
        <v>18815</v>
      </c>
      <c r="P417" s="52">
        <v>0.99</v>
      </c>
    </row>
    <row r="418" spans="1:16" ht="40.950000000000003" customHeight="1" x14ac:dyDescent="0.3">
      <c r="A418" s="4">
        <v>97</v>
      </c>
      <c r="B418" s="10" t="s">
        <v>205</v>
      </c>
      <c r="C418" s="10"/>
      <c r="D418" s="10"/>
      <c r="E418" s="10"/>
      <c r="F418" s="10" t="s">
        <v>160</v>
      </c>
      <c r="G418" s="4" t="s">
        <v>128</v>
      </c>
      <c r="H418" s="4">
        <v>14</v>
      </c>
      <c r="I418" s="4">
        <f t="shared" si="22"/>
        <v>194685</v>
      </c>
      <c r="J418" s="4">
        <v>207835</v>
      </c>
      <c r="K418" s="4">
        <f t="shared" si="23"/>
        <v>0</v>
      </c>
      <c r="L418" s="1">
        <v>207835</v>
      </c>
      <c r="M418" s="93">
        <f t="shared" si="21"/>
        <v>0</v>
      </c>
      <c r="N418" s="2">
        <v>13150</v>
      </c>
      <c r="O418" s="97">
        <v>13150</v>
      </c>
      <c r="P418" s="52"/>
    </row>
    <row r="419" spans="1:16" ht="40.950000000000003" customHeight="1" x14ac:dyDescent="0.3">
      <c r="A419" s="4">
        <v>98</v>
      </c>
      <c r="B419" s="10" t="s">
        <v>197</v>
      </c>
      <c r="C419" s="10"/>
      <c r="D419" s="10"/>
      <c r="E419" s="10"/>
      <c r="F419" s="10" t="s">
        <v>160</v>
      </c>
      <c r="G419" s="4" t="s">
        <v>64</v>
      </c>
      <c r="H419" s="4">
        <v>28</v>
      </c>
      <c r="I419" s="4">
        <f t="shared" si="22"/>
        <v>687382</v>
      </c>
      <c r="J419" s="4">
        <v>740393</v>
      </c>
      <c r="K419" s="4">
        <f t="shared" si="23"/>
        <v>0</v>
      </c>
      <c r="L419" s="1">
        <v>740393</v>
      </c>
      <c r="M419" s="93">
        <f t="shared" si="21"/>
        <v>0</v>
      </c>
      <c r="N419" s="2">
        <v>53011</v>
      </c>
      <c r="O419" s="97">
        <v>53011</v>
      </c>
      <c r="P419" s="52" t="s">
        <v>1459</v>
      </c>
    </row>
    <row r="420" spans="1:16" ht="40.950000000000003" customHeight="1" x14ac:dyDescent="0.3">
      <c r="A420" s="4">
        <v>99</v>
      </c>
      <c r="B420" s="10" t="s">
        <v>210</v>
      </c>
      <c r="C420" s="10"/>
      <c r="D420" s="10"/>
      <c r="E420" s="10"/>
      <c r="F420" s="10" t="s">
        <v>160</v>
      </c>
      <c r="G420" s="4" t="s">
        <v>90</v>
      </c>
      <c r="H420" s="4">
        <v>46</v>
      </c>
      <c r="I420" s="4">
        <f t="shared" si="22"/>
        <v>622114</v>
      </c>
      <c r="J420" s="4">
        <v>682674</v>
      </c>
      <c r="K420" s="4">
        <f t="shared" si="23"/>
        <v>0</v>
      </c>
      <c r="L420" s="1">
        <v>682674</v>
      </c>
      <c r="M420" s="93">
        <f t="shared" si="21"/>
        <v>0</v>
      </c>
      <c r="N420" s="2">
        <v>60560</v>
      </c>
      <c r="O420" s="97">
        <v>60560</v>
      </c>
      <c r="P420" s="52" t="s">
        <v>1498</v>
      </c>
    </row>
    <row r="421" spans="1:16" ht="40.950000000000003" customHeight="1" x14ac:dyDescent="0.3">
      <c r="A421" s="4">
        <v>100</v>
      </c>
      <c r="B421" s="10" t="s">
        <v>251</v>
      </c>
      <c r="C421" s="10"/>
      <c r="D421" s="10"/>
      <c r="E421" s="10"/>
      <c r="F421" s="10" t="s">
        <v>160</v>
      </c>
      <c r="G421" s="4" t="s">
        <v>198</v>
      </c>
      <c r="H421" s="4">
        <v>11</v>
      </c>
      <c r="I421" s="4">
        <f t="shared" si="22"/>
        <v>91877</v>
      </c>
      <c r="J421" s="4">
        <v>92747</v>
      </c>
      <c r="K421" s="4">
        <f t="shared" si="23"/>
        <v>0</v>
      </c>
      <c r="L421" s="1">
        <v>92747</v>
      </c>
      <c r="M421" s="93">
        <f t="shared" si="21"/>
        <v>0</v>
      </c>
      <c r="N421" s="2">
        <v>870</v>
      </c>
      <c r="O421" s="97">
        <f>120+480+120+150</f>
        <v>870</v>
      </c>
      <c r="P421" s="52" t="s">
        <v>1302</v>
      </c>
    </row>
    <row r="422" spans="1:16" ht="40.950000000000003" customHeight="1" x14ac:dyDescent="0.3">
      <c r="A422" s="4">
        <v>100</v>
      </c>
      <c r="B422" s="10" t="s">
        <v>251</v>
      </c>
      <c r="C422" s="10"/>
      <c r="D422" s="10"/>
      <c r="E422" s="10"/>
      <c r="F422" s="10" t="s">
        <v>160</v>
      </c>
      <c r="G422" s="4" t="s">
        <v>346</v>
      </c>
      <c r="H422" s="4">
        <v>5</v>
      </c>
      <c r="I422" s="4">
        <f t="shared" si="22"/>
        <v>37226</v>
      </c>
      <c r="J422" s="4">
        <v>37226</v>
      </c>
      <c r="K422" s="4">
        <f t="shared" si="23"/>
        <v>0</v>
      </c>
      <c r="L422" s="1">
        <v>37226</v>
      </c>
      <c r="M422" s="93">
        <f t="shared" si="21"/>
        <v>0</v>
      </c>
      <c r="N422" s="2"/>
      <c r="O422" s="97"/>
      <c r="P422" s="52"/>
    </row>
    <row r="423" spans="1:16" ht="40.950000000000003" customHeight="1" x14ac:dyDescent="0.3">
      <c r="A423" s="4">
        <v>100</v>
      </c>
      <c r="B423" s="10" t="s">
        <v>251</v>
      </c>
      <c r="C423" s="10"/>
      <c r="D423" s="10"/>
      <c r="E423" s="10"/>
      <c r="F423" s="10" t="s">
        <v>160</v>
      </c>
      <c r="G423" s="4" t="s">
        <v>381</v>
      </c>
      <c r="H423" s="4">
        <v>4</v>
      </c>
      <c r="I423" s="4">
        <f t="shared" si="22"/>
        <v>13263</v>
      </c>
      <c r="J423" s="4">
        <v>13263</v>
      </c>
      <c r="K423" s="4">
        <f t="shared" si="23"/>
        <v>0</v>
      </c>
      <c r="L423" s="1">
        <v>13263</v>
      </c>
      <c r="M423" s="93">
        <f t="shared" si="21"/>
        <v>0</v>
      </c>
      <c r="N423" s="2"/>
      <c r="O423" s="97"/>
      <c r="P423" s="52"/>
    </row>
    <row r="424" spans="1:16" ht="40.950000000000003" customHeight="1" x14ac:dyDescent="0.3">
      <c r="A424" s="4">
        <v>100</v>
      </c>
      <c r="B424" s="10" t="s">
        <v>251</v>
      </c>
      <c r="C424" s="10"/>
      <c r="D424" s="10"/>
      <c r="E424" s="10"/>
      <c r="F424" s="10" t="s">
        <v>160</v>
      </c>
      <c r="G424" s="4" t="s">
        <v>368</v>
      </c>
      <c r="H424" s="4"/>
      <c r="I424" s="4">
        <f t="shared" si="22"/>
        <v>21987</v>
      </c>
      <c r="J424" s="4">
        <v>21987</v>
      </c>
      <c r="K424" s="4">
        <f t="shared" si="23"/>
        <v>0</v>
      </c>
      <c r="L424" s="1">
        <v>21987</v>
      </c>
      <c r="M424" s="93">
        <f t="shared" si="21"/>
        <v>0</v>
      </c>
      <c r="N424" s="2"/>
      <c r="O424" s="97"/>
      <c r="P424" s="52"/>
    </row>
    <row r="425" spans="1:16" ht="40.950000000000003" customHeight="1" x14ac:dyDescent="0.3">
      <c r="A425" s="4">
        <v>100</v>
      </c>
      <c r="B425" s="10" t="s">
        <v>251</v>
      </c>
      <c r="C425" s="10"/>
      <c r="D425" s="10"/>
      <c r="E425" s="10"/>
      <c r="F425" s="10" t="s">
        <v>160</v>
      </c>
      <c r="G425" s="4" t="s">
        <v>391</v>
      </c>
      <c r="H425" s="4">
        <v>6</v>
      </c>
      <c r="I425" s="4">
        <f t="shared" si="22"/>
        <v>14908</v>
      </c>
      <c r="J425" s="4">
        <v>14908</v>
      </c>
      <c r="K425" s="4">
        <f t="shared" si="23"/>
        <v>0</v>
      </c>
      <c r="L425" s="1">
        <v>14908</v>
      </c>
      <c r="M425" s="93">
        <f t="shared" si="21"/>
        <v>0</v>
      </c>
      <c r="N425" s="2"/>
      <c r="O425" s="97"/>
      <c r="P425" s="52"/>
    </row>
    <row r="426" spans="1:16" ht="40.950000000000003" customHeight="1" x14ac:dyDescent="0.3">
      <c r="A426" s="4">
        <v>100</v>
      </c>
      <c r="B426" s="10" t="s">
        <v>251</v>
      </c>
      <c r="C426" s="10"/>
      <c r="D426" s="10"/>
      <c r="E426" s="10"/>
      <c r="F426" s="10" t="s">
        <v>160</v>
      </c>
      <c r="G426" s="4" t="s">
        <v>169</v>
      </c>
      <c r="H426" s="4">
        <v>24</v>
      </c>
      <c r="I426" s="4">
        <f t="shared" si="22"/>
        <v>434931</v>
      </c>
      <c r="J426" s="4">
        <v>449466</v>
      </c>
      <c r="K426" s="4">
        <f t="shared" si="23"/>
        <v>0</v>
      </c>
      <c r="L426" s="1">
        <v>449466</v>
      </c>
      <c r="M426" s="93">
        <f t="shared" si="21"/>
        <v>0</v>
      </c>
      <c r="N426" s="2">
        <v>14535</v>
      </c>
      <c r="O426" s="97">
        <v>14535</v>
      </c>
      <c r="P426" s="52" t="s">
        <v>1500</v>
      </c>
    </row>
    <row r="427" spans="1:16" ht="40.950000000000003" customHeight="1" x14ac:dyDescent="0.3">
      <c r="A427" s="4">
        <v>101</v>
      </c>
      <c r="B427" s="10" t="s">
        <v>300</v>
      </c>
      <c r="C427" s="10" t="s">
        <v>464</v>
      </c>
      <c r="D427" s="10"/>
      <c r="E427" s="10"/>
      <c r="F427" s="10" t="s">
        <v>160</v>
      </c>
      <c r="G427" s="4" t="s">
        <v>48</v>
      </c>
      <c r="H427" s="4"/>
      <c r="I427" s="4">
        <f t="shared" si="22"/>
        <v>6075</v>
      </c>
      <c r="J427" s="4">
        <v>6075</v>
      </c>
      <c r="K427" s="4">
        <f t="shared" si="23"/>
        <v>0</v>
      </c>
      <c r="L427" s="1">
        <v>6075</v>
      </c>
      <c r="M427" s="93">
        <f t="shared" si="21"/>
        <v>0</v>
      </c>
      <c r="N427" s="2"/>
      <c r="O427" s="97"/>
      <c r="P427" s="52"/>
    </row>
    <row r="428" spans="1:16" ht="40.950000000000003" customHeight="1" x14ac:dyDescent="0.3">
      <c r="A428" s="4">
        <v>102</v>
      </c>
      <c r="B428" s="10" t="s">
        <v>301</v>
      </c>
      <c r="C428" s="10" t="s">
        <v>464</v>
      </c>
      <c r="D428" s="10"/>
      <c r="E428" s="10"/>
      <c r="F428" s="10" t="s">
        <v>160</v>
      </c>
      <c r="G428" s="4" t="s">
        <v>70</v>
      </c>
      <c r="H428" s="4"/>
      <c r="I428" s="4">
        <f t="shared" si="22"/>
        <v>6075</v>
      </c>
      <c r="J428" s="4">
        <v>6075</v>
      </c>
      <c r="K428" s="4">
        <f t="shared" si="23"/>
        <v>0</v>
      </c>
      <c r="L428" s="1">
        <v>6075</v>
      </c>
      <c r="M428" s="93">
        <f t="shared" si="21"/>
        <v>0</v>
      </c>
      <c r="N428" s="2"/>
      <c r="O428" s="97"/>
      <c r="P428" s="52"/>
    </row>
    <row r="429" spans="1:16" ht="40.950000000000003" customHeight="1" x14ac:dyDescent="0.3">
      <c r="A429" s="4">
        <v>103</v>
      </c>
      <c r="B429" s="10" t="s">
        <v>380</v>
      </c>
      <c r="C429" s="10"/>
      <c r="D429" s="10"/>
      <c r="E429" s="10"/>
      <c r="F429" s="10" t="s">
        <v>385</v>
      </c>
      <c r="G429" s="4" t="s">
        <v>48</v>
      </c>
      <c r="H429" s="4">
        <v>5</v>
      </c>
      <c r="I429" s="4">
        <f t="shared" si="22"/>
        <v>9756.5</v>
      </c>
      <c r="J429" s="4">
        <v>12120</v>
      </c>
      <c r="K429" s="4">
        <f t="shared" si="23"/>
        <v>0</v>
      </c>
      <c r="L429" s="1">
        <v>12120</v>
      </c>
      <c r="M429" s="93">
        <f t="shared" si="21"/>
        <v>0</v>
      </c>
      <c r="N429" s="2">
        <v>2363.5</v>
      </c>
      <c r="O429" s="97">
        <v>2363.5</v>
      </c>
      <c r="P429" s="52">
        <v>0.98</v>
      </c>
    </row>
    <row r="430" spans="1:16" ht="40.950000000000003" customHeight="1" x14ac:dyDescent="0.3">
      <c r="A430" s="4">
        <v>103</v>
      </c>
      <c r="B430" s="10" t="s">
        <v>380</v>
      </c>
      <c r="C430" s="10"/>
      <c r="D430" s="10"/>
      <c r="E430" s="10"/>
      <c r="F430" s="10" t="s">
        <v>160</v>
      </c>
      <c r="G430" s="4" t="s">
        <v>48</v>
      </c>
      <c r="H430" s="4">
        <v>22</v>
      </c>
      <c r="I430" s="4">
        <f t="shared" si="22"/>
        <v>205435</v>
      </c>
      <c r="J430" s="4">
        <v>215075</v>
      </c>
      <c r="K430" s="4">
        <f t="shared" si="23"/>
        <v>0</v>
      </c>
      <c r="L430" s="1">
        <v>215075</v>
      </c>
      <c r="M430" s="93">
        <f t="shared" si="21"/>
        <v>0</v>
      </c>
      <c r="N430" s="2">
        <v>9640</v>
      </c>
      <c r="O430" s="97">
        <v>9640</v>
      </c>
      <c r="P430" s="52" t="s">
        <v>1487</v>
      </c>
    </row>
    <row r="431" spans="1:16" ht="40.950000000000003" customHeight="1" x14ac:dyDescent="0.3">
      <c r="A431" s="4">
        <v>104</v>
      </c>
      <c r="B431" s="10" t="s">
        <v>409</v>
      </c>
      <c r="C431" s="10"/>
      <c r="D431" s="10"/>
      <c r="E431" s="10"/>
      <c r="F431" s="10" t="s">
        <v>160</v>
      </c>
      <c r="G431" s="4" t="s">
        <v>39</v>
      </c>
      <c r="H431" s="4">
        <v>5</v>
      </c>
      <c r="I431" s="4">
        <f t="shared" si="22"/>
        <v>14020</v>
      </c>
      <c r="J431" s="4">
        <v>14440</v>
      </c>
      <c r="K431" s="4">
        <f t="shared" si="23"/>
        <v>0</v>
      </c>
      <c r="L431" s="1">
        <v>14440</v>
      </c>
      <c r="M431" s="93">
        <f t="shared" si="21"/>
        <v>0</v>
      </c>
      <c r="N431" s="2">
        <v>420</v>
      </c>
      <c r="O431" s="97">
        <f>420</f>
        <v>420</v>
      </c>
      <c r="P431" s="52">
        <v>0.95</v>
      </c>
    </row>
    <row r="432" spans="1:16" ht="40.950000000000003" customHeight="1" x14ac:dyDescent="0.3">
      <c r="A432" s="4">
        <v>104</v>
      </c>
      <c r="B432" s="10" t="s">
        <v>409</v>
      </c>
      <c r="C432" s="10"/>
      <c r="D432" s="10"/>
      <c r="E432" s="10"/>
      <c r="F432" s="10" t="s">
        <v>160</v>
      </c>
      <c r="G432" s="4" t="s">
        <v>143</v>
      </c>
      <c r="H432" s="4">
        <v>2</v>
      </c>
      <c r="I432" s="4">
        <f t="shared" si="22"/>
        <v>4750</v>
      </c>
      <c r="J432" s="4">
        <v>4750</v>
      </c>
      <c r="K432" s="4">
        <f t="shared" si="23"/>
        <v>0</v>
      </c>
      <c r="L432" s="1">
        <v>4750</v>
      </c>
      <c r="M432" s="93">
        <f t="shared" si="21"/>
        <v>0</v>
      </c>
      <c r="N432" s="2"/>
      <c r="O432" s="97"/>
      <c r="P432" s="52">
        <v>0.95</v>
      </c>
    </row>
    <row r="433" spans="1:16" ht="40.950000000000003" customHeight="1" x14ac:dyDescent="0.3">
      <c r="A433" s="4">
        <v>105</v>
      </c>
      <c r="B433" s="10" t="s">
        <v>416</v>
      </c>
      <c r="C433" s="10"/>
      <c r="D433" s="10"/>
      <c r="E433" s="10"/>
      <c r="F433" s="10" t="s">
        <v>160</v>
      </c>
      <c r="G433" s="4" t="s">
        <v>90</v>
      </c>
      <c r="H433" s="4"/>
      <c r="I433" s="4">
        <f t="shared" si="22"/>
        <v>11700</v>
      </c>
      <c r="J433" s="4">
        <v>11700</v>
      </c>
      <c r="K433" s="4">
        <f t="shared" si="23"/>
        <v>0</v>
      </c>
      <c r="L433" s="1">
        <v>11700</v>
      </c>
      <c r="M433" s="93">
        <f t="shared" si="21"/>
        <v>0</v>
      </c>
      <c r="N433" s="2"/>
      <c r="O433" s="97"/>
      <c r="P433" s="52"/>
    </row>
    <row r="434" spans="1:16" ht="40.950000000000003" customHeight="1" x14ac:dyDescent="0.3">
      <c r="A434" s="4">
        <v>106</v>
      </c>
      <c r="B434" s="10" t="s">
        <v>417</v>
      </c>
      <c r="C434" s="10"/>
      <c r="D434" s="10"/>
      <c r="E434" s="10"/>
      <c r="F434" s="10" t="s">
        <v>160</v>
      </c>
      <c r="G434" s="4" t="s">
        <v>50</v>
      </c>
      <c r="H434" s="4"/>
      <c r="I434" s="4">
        <f t="shared" si="22"/>
        <v>7500</v>
      </c>
      <c r="J434" s="4">
        <v>7500</v>
      </c>
      <c r="K434" s="4">
        <f t="shared" si="23"/>
        <v>0</v>
      </c>
      <c r="L434" s="1">
        <v>7500</v>
      </c>
      <c r="M434" s="93">
        <f t="shared" si="21"/>
        <v>0</v>
      </c>
      <c r="N434" s="2"/>
      <c r="O434" s="97"/>
      <c r="P434" s="52"/>
    </row>
    <row r="435" spans="1:16" ht="40.950000000000003" customHeight="1" x14ac:dyDescent="0.3">
      <c r="A435" s="4">
        <v>107</v>
      </c>
      <c r="B435" s="10" t="s">
        <v>17</v>
      </c>
      <c r="C435" s="10" t="s">
        <v>321</v>
      </c>
      <c r="D435" s="10"/>
      <c r="E435" s="10">
        <v>22727</v>
      </c>
      <c r="F435" s="10" t="s">
        <v>18</v>
      </c>
      <c r="G435" s="4" t="s">
        <v>14</v>
      </c>
      <c r="H435" s="4"/>
      <c r="I435" s="4">
        <f t="shared" si="22"/>
        <v>17400</v>
      </c>
      <c r="J435" s="4">
        <v>17400</v>
      </c>
      <c r="K435" s="4">
        <f t="shared" si="23"/>
        <v>0</v>
      </c>
      <c r="L435" s="1">
        <v>17400</v>
      </c>
      <c r="M435" s="93">
        <f t="shared" si="21"/>
        <v>0</v>
      </c>
      <c r="N435" s="2">
        <v>0</v>
      </c>
      <c r="O435" s="97">
        <v>0</v>
      </c>
      <c r="P435" s="52"/>
    </row>
    <row r="436" spans="1:16" ht="40.950000000000003" customHeight="1" x14ac:dyDescent="0.3">
      <c r="A436" s="4">
        <v>107</v>
      </c>
      <c r="B436" s="10" t="s">
        <v>17</v>
      </c>
      <c r="C436" s="10" t="s">
        <v>321</v>
      </c>
      <c r="D436" s="10"/>
      <c r="E436" s="10">
        <v>22727</v>
      </c>
      <c r="F436" s="10" t="s">
        <v>18</v>
      </c>
      <c r="G436" s="4" t="s">
        <v>7</v>
      </c>
      <c r="H436" s="4">
        <v>25</v>
      </c>
      <c r="I436" s="4">
        <f t="shared" si="22"/>
        <v>156380</v>
      </c>
      <c r="J436" s="4">
        <v>159380</v>
      </c>
      <c r="K436" s="4">
        <f t="shared" si="23"/>
        <v>0</v>
      </c>
      <c r="L436" s="1">
        <v>159380</v>
      </c>
      <c r="M436" s="93">
        <f t="shared" si="21"/>
        <v>0</v>
      </c>
      <c r="N436" s="2">
        <v>3000</v>
      </c>
      <c r="O436" s="97">
        <v>3000</v>
      </c>
      <c r="P436" s="52">
        <v>0.9</v>
      </c>
    </row>
    <row r="437" spans="1:16" ht="40.950000000000003" customHeight="1" x14ac:dyDescent="0.3">
      <c r="A437" s="4">
        <v>107</v>
      </c>
      <c r="B437" s="10" t="s">
        <v>17</v>
      </c>
      <c r="C437" s="10" t="s">
        <v>321</v>
      </c>
      <c r="D437" s="10"/>
      <c r="E437" s="10">
        <v>22727</v>
      </c>
      <c r="F437" s="10" t="s">
        <v>18</v>
      </c>
      <c r="G437" s="4" t="s">
        <v>8</v>
      </c>
      <c r="H437" s="4">
        <v>27</v>
      </c>
      <c r="I437" s="4">
        <f t="shared" si="22"/>
        <v>153120</v>
      </c>
      <c r="J437" s="4">
        <v>159380</v>
      </c>
      <c r="K437" s="4">
        <f t="shared" si="23"/>
        <v>0</v>
      </c>
      <c r="L437" s="1">
        <v>159380</v>
      </c>
      <c r="M437" s="93">
        <f t="shared" si="21"/>
        <v>0</v>
      </c>
      <c r="N437" s="2">
        <v>6260</v>
      </c>
      <c r="O437" s="97">
        <v>6260</v>
      </c>
      <c r="P437" s="52">
        <v>0.9</v>
      </c>
    </row>
    <row r="438" spans="1:16" ht="40.950000000000003" customHeight="1" x14ac:dyDescent="0.3">
      <c r="A438" s="4">
        <v>107</v>
      </c>
      <c r="B438" s="10" t="s">
        <v>17</v>
      </c>
      <c r="C438" s="10" t="s">
        <v>321</v>
      </c>
      <c r="D438" s="10"/>
      <c r="E438" s="10">
        <v>22727</v>
      </c>
      <c r="F438" s="10" t="s">
        <v>18</v>
      </c>
      <c r="G438" s="4" t="s">
        <v>9</v>
      </c>
      <c r="H438" s="4">
        <v>24</v>
      </c>
      <c r="I438" s="4">
        <f t="shared" si="22"/>
        <v>150238</v>
      </c>
      <c r="J438" s="4">
        <v>155363</v>
      </c>
      <c r="K438" s="4">
        <f t="shared" si="23"/>
        <v>0</v>
      </c>
      <c r="L438" s="1">
        <v>155363</v>
      </c>
      <c r="M438" s="93">
        <f t="shared" si="21"/>
        <v>0</v>
      </c>
      <c r="N438" s="2">
        <v>5125</v>
      </c>
      <c r="O438" s="97">
        <v>5125</v>
      </c>
      <c r="P438" s="52">
        <v>0.9</v>
      </c>
    </row>
    <row r="439" spans="1:16" ht="40.950000000000003" customHeight="1" x14ac:dyDescent="0.3">
      <c r="A439" s="4">
        <v>107</v>
      </c>
      <c r="B439" s="10" t="s">
        <v>17</v>
      </c>
      <c r="C439" s="10" t="s">
        <v>321</v>
      </c>
      <c r="D439" s="10"/>
      <c r="E439" s="10">
        <v>22727</v>
      </c>
      <c r="F439" s="10" t="s">
        <v>18</v>
      </c>
      <c r="G439" s="4" t="s">
        <v>11</v>
      </c>
      <c r="H439" s="4">
        <v>29</v>
      </c>
      <c r="I439" s="4">
        <f t="shared" si="22"/>
        <v>146487</v>
      </c>
      <c r="J439" s="4">
        <v>156910</v>
      </c>
      <c r="K439" s="4">
        <f t="shared" si="23"/>
        <v>0</v>
      </c>
      <c r="L439" s="1">
        <v>156910</v>
      </c>
      <c r="M439" s="93">
        <f t="shared" si="21"/>
        <v>0</v>
      </c>
      <c r="N439" s="2">
        <v>10423</v>
      </c>
      <c r="O439" s="97">
        <v>10423</v>
      </c>
      <c r="P439" s="52">
        <v>0.9</v>
      </c>
    </row>
    <row r="440" spans="1:16" ht="40.950000000000003" customHeight="1" x14ac:dyDescent="0.3">
      <c r="A440" s="4">
        <v>107</v>
      </c>
      <c r="B440" s="10" t="s">
        <v>17</v>
      </c>
      <c r="C440" s="10" t="s">
        <v>321</v>
      </c>
      <c r="D440" s="10"/>
      <c r="E440" s="10">
        <v>22727</v>
      </c>
      <c r="F440" s="10" t="s">
        <v>18</v>
      </c>
      <c r="G440" s="4" t="s">
        <v>22</v>
      </c>
      <c r="H440" s="4">
        <v>30</v>
      </c>
      <c r="I440" s="4">
        <f t="shared" si="22"/>
        <v>141499</v>
      </c>
      <c r="J440" s="4">
        <v>153504</v>
      </c>
      <c r="K440" s="4">
        <f t="shared" si="23"/>
        <v>0</v>
      </c>
      <c r="L440" s="1">
        <v>153504</v>
      </c>
      <c r="M440" s="93">
        <f t="shared" si="21"/>
        <v>0</v>
      </c>
      <c r="N440" s="2">
        <v>12005</v>
      </c>
      <c r="O440" s="97">
        <v>12005</v>
      </c>
      <c r="P440" s="52">
        <v>0.9</v>
      </c>
    </row>
    <row r="441" spans="1:16" ht="40.950000000000003" customHeight="1" x14ac:dyDescent="0.3">
      <c r="A441" s="4">
        <v>107</v>
      </c>
      <c r="B441" s="10" t="s">
        <v>17</v>
      </c>
      <c r="C441" s="10" t="s">
        <v>321</v>
      </c>
      <c r="D441" s="10"/>
      <c r="E441" s="10">
        <v>22727</v>
      </c>
      <c r="F441" s="10" t="s">
        <v>18</v>
      </c>
      <c r="G441" s="4" t="s">
        <v>70</v>
      </c>
      <c r="H441" s="4">
        <v>24</v>
      </c>
      <c r="I441" s="4">
        <f t="shared" si="22"/>
        <v>147956</v>
      </c>
      <c r="J441" s="4">
        <v>154336</v>
      </c>
      <c r="K441" s="4">
        <f t="shared" si="23"/>
        <v>0</v>
      </c>
      <c r="L441" s="1">
        <v>154336</v>
      </c>
      <c r="M441" s="93">
        <f t="shared" si="21"/>
        <v>0</v>
      </c>
      <c r="N441" s="2">
        <v>6380</v>
      </c>
      <c r="O441" s="97">
        <v>6380</v>
      </c>
      <c r="P441" s="62">
        <v>0.9</v>
      </c>
    </row>
    <row r="442" spans="1:16" ht="40.950000000000003" customHeight="1" x14ac:dyDescent="0.3">
      <c r="A442" s="4">
        <v>107</v>
      </c>
      <c r="B442" s="10" t="s">
        <v>17</v>
      </c>
      <c r="C442" s="10" t="s">
        <v>321</v>
      </c>
      <c r="D442" s="10"/>
      <c r="E442" s="10">
        <v>22727</v>
      </c>
      <c r="F442" s="10" t="s">
        <v>18</v>
      </c>
      <c r="G442" s="4" t="s">
        <v>48</v>
      </c>
      <c r="H442" s="4">
        <v>27</v>
      </c>
      <c r="I442" s="4">
        <f t="shared" si="22"/>
        <v>148362</v>
      </c>
      <c r="J442" s="4">
        <v>153322</v>
      </c>
      <c r="K442" s="4">
        <f t="shared" si="23"/>
        <v>0</v>
      </c>
      <c r="L442" s="1">
        <v>153322</v>
      </c>
      <c r="M442" s="93">
        <f t="shared" si="21"/>
        <v>0</v>
      </c>
      <c r="N442" s="2">
        <v>4960</v>
      </c>
      <c r="O442" s="97">
        <v>4960</v>
      </c>
      <c r="P442" s="62">
        <v>0.89</v>
      </c>
    </row>
    <row r="443" spans="1:16" ht="40.950000000000003" customHeight="1" x14ac:dyDescent="0.3">
      <c r="A443" s="4">
        <v>107</v>
      </c>
      <c r="B443" s="10" t="s">
        <v>17</v>
      </c>
      <c r="C443" s="10" t="s">
        <v>321</v>
      </c>
      <c r="D443" s="10"/>
      <c r="E443" s="10">
        <v>22727</v>
      </c>
      <c r="F443" s="10" t="s">
        <v>18</v>
      </c>
      <c r="G443" s="4" t="s">
        <v>49</v>
      </c>
      <c r="H443" s="4">
        <v>26</v>
      </c>
      <c r="I443" s="4">
        <f t="shared" si="22"/>
        <v>153572</v>
      </c>
      <c r="J443" s="4">
        <v>157820</v>
      </c>
      <c r="K443" s="4">
        <f t="shared" si="23"/>
        <v>0</v>
      </c>
      <c r="L443" s="1">
        <v>157820</v>
      </c>
      <c r="M443" s="93">
        <f t="shared" si="21"/>
        <v>0</v>
      </c>
      <c r="N443" s="2">
        <v>4248</v>
      </c>
      <c r="O443" s="97">
        <v>4248</v>
      </c>
      <c r="P443" s="62">
        <v>0.9</v>
      </c>
    </row>
    <row r="444" spans="1:16" ht="40.950000000000003" customHeight="1" x14ac:dyDescent="0.3">
      <c r="A444" s="4">
        <v>107</v>
      </c>
      <c r="B444" s="10" t="s">
        <v>17</v>
      </c>
      <c r="C444" s="10" t="s">
        <v>321</v>
      </c>
      <c r="D444" s="10"/>
      <c r="E444" s="10">
        <v>22727</v>
      </c>
      <c r="F444" s="10" t="s">
        <v>18</v>
      </c>
      <c r="G444" s="4" t="s">
        <v>50</v>
      </c>
      <c r="H444" s="4">
        <v>24</v>
      </c>
      <c r="I444" s="4">
        <f t="shared" si="22"/>
        <v>140869</v>
      </c>
      <c r="J444" s="4">
        <v>147069</v>
      </c>
      <c r="K444" s="4">
        <f t="shared" si="23"/>
        <v>5031</v>
      </c>
      <c r="L444" s="1">
        <v>152100</v>
      </c>
      <c r="M444" s="93">
        <f t="shared" si="21"/>
        <v>0</v>
      </c>
      <c r="N444" s="2">
        <v>6200</v>
      </c>
      <c r="O444" s="97">
        <v>6200</v>
      </c>
      <c r="P444" s="52">
        <v>0.84</v>
      </c>
    </row>
    <row r="445" spans="1:16" ht="40.950000000000003" customHeight="1" x14ac:dyDescent="0.3">
      <c r="A445" s="4">
        <v>107</v>
      </c>
      <c r="B445" s="10" t="s">
        <v>17</v>
      </c>
      <c r="C445" s="10" t="s">
        <v>321</v>
      </c>
      <c r="D445" s="10"/>
      <c r="E445" s="10">
        <v>22727</v>
      </c>
      <c r="F445" s="10" t="s">
        <v>18</v>
      </c>
      <c r="G445" s="4" t="s">
        <v>51</v>
      </c>
      <c r="H445" s="4">
        <v>25</v>
      </c>
      <c r="I445" s="4">
        <f t="shared" si="22"/>
        <v>147545</v>
      </c>
      <c r="J445" s="4">
        <v>153095</v>
      </c>
      <c r="K445" s="4">
        <f t="shared" si="23"/>
        <v>0</v>
      </c>
      <c r="L445" s="1">
        <v>153095</v>
      </c>
      <c r="M445" s="93">
        <f t="shared" si="21"/>
        <v>0</v>
      </c>
      <c r="N445" s="2">
        <v>5550</v>
      </c>
      <c r="O445" s="97">
        <v>5550</v>
      </c>
      <c r="P445" s="62">
        <v>0.9</v>
      </c>
    </row>
    <row r="446" spans="1:16" ht="40.950000000000003" customHeight="1" x14ac:dyDescent="0.3">
      <c r="A446" s="4">
        <v>107</v>
      </c>
      <c r="B446" s="10" t="s">
        <v>17</v>
      </c>
      <c r="C446" s="10" t="s">
        <v>321</v>
      </c>
      <c r="D446" s="10"/>
      <c r="E446" s="10">
        <v>22727</v>
      </c>
      <c r="F446" s="10" t="s">
        <v>18</v>
      </c>
      <c r="G446" s="4" t="s">
        <v>39</v>
      </c>
      <c r="H446" s="4">
        <v>24</v>
      </c>
      <c r="I446" s="4">
        <f t="shared" si="22"/>
        <v>149489</v>
      </c>
      <c r="J446" s="4">
        <v>157612</v>
      </c>
      <c r="K446" s="4">
        <f t="shared" si="23"/>
        <v>0</v>
      </c>
      <c r="L446" s="1">
        <v>157612</v>
      </c>
      <c r="M446" s="93">
        <f t="shared" si="21"/>
        <v>0</v>
      </c>
      <c r="N446" s="2">
        <v>8123</v>
      </c>
      <c r="O446" s="97">
        <v>8123</v>
      </c>
      <c r="P446" s="52">
        <v>0.88500000000000001</v>
      </c>
    </row>
    <row r="447" spans="1:16" ht="40.950000000000003" customHeight="1" x14ac:dyDescent="0.3">
      <c r="A447" s="4">
        <v>107</v>
      </c>
      <c r="B447" s="10" t="s">
        <v>17</v>
      </c>
      <c r="C447" s="10" t="s">
        <v>321</v>
      </c>
      <c r="D447" s="10"/>
      <c r="E447" s="10">
        <v>22727</v>
      </c>
      <c r="F447" s="10" t="s">
        <v>18</v>
      </c>
      <c r="G447" s="4" t="s">
        <v>114</v>
      </c>
      <c r="H447" s="4">
        <v>24</v>
      </c>
      <c r="I447" s="4">
        <f t="shared" si="22"/>
        <v>142794</v>
      </c>
      <c r="J447" s="4">
        <v>155818</v>
      </c>
      <c r="K447" s="4">
        <f t="shared" si="23"/>
        <v>0</v>
      </c>
      <c r="L447" s="1">
        <v>155818</v>
      </c>
      <c r="M447" s="93">
        <f t="shared" si="21"/>
        <v>0</v>
      </c>
      <c r="N447" s="2">
        <v>13024</v>
      </c>
      <c r="O447" s="97">
        <v>13024</v>
      </c>
      <c r="P447" s="52">
        <v>0.9</v>
      </c>
    </row>
    <row r="448" spans="1:16" ht="40.950000000000003" customHeight="1" x14ac:dyDescent="0.3">
      <c r="A448" s="4">
        <v>107</v>
      </c>
      <c r="B448" s="10" t="s">
        <v>17</v>
      </c>
      <c r="C448" s="10" t="s">
        <v>321</v>
      </c>
      <c r="D448" s="10"/>
      <c r="E448" s="10">
        <v>22727</v>
      </c>
      <c r="F448" s="10" t="s">
        <v>18</v>
      </c>
      <c r="G448" s="4" t="s">
        <v>85</v>
      </c>
      <c r="H448" s="4">
        <v>26</v>
      </c>
      <c r="I448" s="4">
        <f t="shared" si="22"/>
        <v>152205</v>
      </c>
      <c r="J448" s="4">
        <v>160095</v>
      </c>
      <c r="K448" s="4">
        <f t="shared" si="23"/>
        <v>0</v>
      </c>
      <c r="L448" s="1">
        <v>160095</v>
      </c>
      <c r="M448" s="93">
        <f t="shared" si="21"/>
        <v>0</v>
      </c>
      <c r="N448" s="2">
        <v>7890</v>
      </c>
      <c r="O448" s="97">
        <v>7890</v>
      </c>
      <c r="P448" s="62">
        <v>0.89</v>
      </c>
    </row>
    <row r="449" spans="1:16" ht="40.950000000000003" customHeight="1" x14ac:dyDescent="0.3">
      <c r="A449" s="4">
        <v>107</v>
      </c>
      <c r="B449" s="10" t="s">
        <v>17</v>
      </c>
      <c r="C449" s="10" t="s">
        <v>321</v>
      </c>
      <c r="D449" s="10"/>
      <c r="E449" s="10">
        <v>22727</v>
      </c>
      <c r="F449" s="10" t="s">
        <v>18</v>
      </c>
      <c r="G449" s="4" t="s">
        <v>128</v>
      </c>
      <c r="H449" s="4">
        <v>25</v>
      </c>
      <c r="I449" s="4">
        <f t="shared" si="22"/>
        <v>155977</v>
      </c>
      <c r="J449" s="4">
        <v>159796</v>
      </c>
      <c r="K449" s="4">
        <f t="shared" si="23"/>
        <v>0</v>
      </c>
      <c r="L449" s="1">
        <v>159796</v>
      </c>
      <c r="M449" s="93">
        <f t="shared" si="21"/>
        <v>0</v>
      </c>
      <c r="N449" s="2">
        <v>3819</v>
      </c>
      <c r="O449" s="97">
        <v>3819</v>
      </c>
      <c r="P449" s="52">
        <v>0.9</v>
      </c>
    </row>
    <row r="450" spans="1:16" ht="40.950000000000003" customHeight="1" x14ac:dyDescent="0.3">
      <c r="A450" s="4">
        <v>107</v>
      </c>
      <c r="B450" s="10" t="s">
        <v>17</v>
      </c>
      <c r="C450" s="10" t="s">
        <v>321</v>
      </c>
      <c r="D450" s="10"/>
      <c r="E450" s="10">
        <v>22727</v>
      </c>
      <c r="F450" s="10" t="s">
        <v>18</v>
      </c>
      <c r="G450" s="4" t="s">
        <v>64</v>
      </c>
      <c r="H450" s="4">
        <v>27</v>
      </c>
      <c r="I450" s="4">
        <f t="shared" si="22"/>
        <v>149951</v>
      </c>
      <c r="J450" s="4">
        <v>159276</v>
      </c>
      <c r="K450" s="4">
        <f t="shared" si="23"/>
        <v>0</v>
      </c>
      <c r="L450" s="1">
        <v>159276</v>
      </c>
      <c r="M450" s="93">
        <f t="shared" si="21"/>
        <v>0</v>
      </c>
      <c r="N450" s="2">
        <v>9325</v>
      </c>
      <c r="O450" s="97">
        <v>9325</v>
      </c>
      <c r="P450" s="52">
        <v>0.9</v>
      </c>
    </row>
    <row r="451" spans="1:16" ht="40.950000000000003" customHeight="1" x14ac:dyDescent="0.3">
      <c r="A451" s="4">
        <v>107</v>
      </c>
      <c r="B451" s="10" t="s">
        <v>17</v>
      </c>
      <c r="C451" s="10" t="s">
        <v>321</v>
      </c>
      <c r="D451" s="10"/>
      <c r="E451" s="10">
        <v>22727</v>
      </c>
      <c r="F451" s="10" t="s">
        <v>18</v>
      </c>
      <c r="G451" s="4" t="s">
        <v>122</v>
      </c>
      <c r="H451" s="4">
        <v>27</v>
      </c>
      <c r="I451" s="4">
        <f t="shared" si="22"/>
        <v>142056</v>
      </c>
      <c r="J451" s="4">
        <v>149331</v>
      </c>
      <c r="K451" s="4">
        <f t="shared" si="23"/>
        <v>0</v>
      </c>
      <c r="L451" s="1">
        <v>149331</v>
      </c>
      <c r="M451" s="93">
        <f t="shared" si="21"/>
        <v>0</v>
      </c>
      <c r="N451" s="2">
        <v>7275</v>
      </c>
      <c r="O451" s="97">
        <v>7275</v>
      </c>
      <c r="P451" s="52">
        <v>0.77500000000000002</v>
      </c>
    </row>
    <row r="452" spans="1:16" ht="40.950000000000003" customHeight="1" x14ac:dyDescent="0.3">
      <c r="A452" s="4">
        <v>107</v>
      </c>
      <c r="B452" s="10" t="s">
        <v>17</v>
      </c>
      <c r="C452" s="10" t="s">
        <v>321</v>
      </c>
      <c r="D452" s="10"/>
      <c r="E452" s="10">
        <v>22727</v>
      </c>
      <c r="F452" s="10" t="s">
        <v>18</v>
      </c>
      <c r="G452" s="4" t="s">
        <v>143</v>
      </c>
      <c r="H452" s="4">
        <v>26</v>
      </c>
      <c r="I452" s="4">
        <f t="shared" si="22"/>
        <v>151415</v>
      </c>
      <c r="J452" s="4">
        <v>157417</v>
      </c>
      <c r="K452" s="4">
        <f t="shared" si="23"/>
        <v>0</v>
      </c>
      <c r="L452" s="1">
        <v>157417</v>
      </c>
      <c r="M452" s="93">
        <f t="shared" si="21"/>
        <v>0</v>
      </c>
      <c r="N452" s="2">
        <v>6002</v>
      </c>
      <c r="O452" s="97">
        <v>6002</v>
      </c>
      <c r="P452" s="62">
        <v>0.9</v>
      </c>
    </row>
    <row r="453" spans="1:16" ht="40.950000000000003" customHeight="1" x14ac:dyDescent="0.3">
      <c r="A453" s="4">
        <v>107</v>
      </c>
      <c r="B453" s="10" t="s">
        <v>17</v>
      </c>
      <c r="C453" s="10" t="s">
        <v>321</v>
      </c>
      <c r="D453" s="10"/>
      <c r="E453" s="10">
        <v>22727</v>
      </c>
      <c r="F453" s="10" t="s">
        <v>18</v>
      </c>
      <c r="G453" s="4" t="s">
        <v>90</v>
      </c>
      <c r="H453" s="4">
        <v>22</v>
      </c>
      <c r="I453" s="4">
        <f t="shared" si="22"/>
        <v>136410</v>
      </c>
      <c r="J453" s="4">
        <v>142610</v>
      </c>
      <c r="K453" s="4">
        <f t="shared" si="23"/>
        <v>0</v>
      </c>
      <c r="L453" s="1">
        <v>142610</v>
      </c>
      <c r="M453" s="93">
        <f t="shared" si="21"/>
        <v>0</v>
      </c>
      <c r="N453" s="2">
        <v>6200</v>
      </c>
      <c r="O453" s="97">
        <v>6200</v>
      </c>
      <c r="P453" s="62">
        <v>0.875</v>
      </c>
    </row>
    <row r="454" spans="1:16" ht="40.950000000000003" customHeight="1" x14ac:dyDescent="0.3">
      <c r="A454" s="4">
        <v>107</v>
      </c>
      <c r="B454" s="10" t="s">
        <v>17</v>
      </c>
      <c r="C454" s="10" t="s">
        <v>321</v>
      </c>
      <c r="D454" s="10"/>
      <c r="E454" s="10">
        <v>22727</v>
      </c>
      <c r="F454" s="10" t="s">
        <v>18</v>
      </c>
      <c r="G454" s="4" t="s">
        <v>368</v>
      </c>
      <c r="H454" s="4">
        <v>4</v>
      </c>
      <c r="I454" s="4">
        <f t="shared" si="22"/>
        <v>31481</v>
      </c>
      <c r="J454" s="4">
        <v>32121</v>
      </c>
      <c r="K454" s="4">
        <f t="shared" si="23"/>
        <v>0</v>
      </c>
      <c r="L454" s="1">
        <v>32121</v>
      </c>
      <c r="M454" s="93">
        <f t="shared" si="21"/>
        <v>0</v>
      </c>
      <c r="N454" s="2">
        <v>640</v>
      </c>
      <c r="O454" s="97">
        <f>440+200</f>
        <v>640</v>
      </c>
      <c r="P454" s="52">
        <v>0.79</v>
      </c>
    </row>
    <row r="455" spans="1:16" ht="40.950000000000003" customHeight="1" x14ac:dyDescent="0.3">
      <c r="A455" s="4">
        <v>107</v>
      </c>
      <c r="B455" s="10" t="s">
        <v>17</v>
      </c>
      <c r="C455" s="10" t="s">
        <v>321</v>
      </c>
      <c r="D455" s="10"/>
      <c r="E455" s="10">
        <v>22727</v>
      </c>
      <c r="F455" s="10" t="s">
        <v>18</v>
      </c>
      <c r="G455" s="4" t="s">
        <v>200</v>
      </c>
      <c r="H455" s="4">
        <v>4</v>
      </c>
      <c r="I455" s="4">
        <f t="shared" si="22"/>
        <v>23400</v>
      </c>
      <c r="J455" s="4">
        <v>23400</v>
      </c>
      <c r="K455" s="4">
        <f t="shared" si="23"/>
        <v>0</v>
      </c>
      <c r="L455" s="1">
        <v>23400</v>
      </c>
      <c r="M455" s="93">
        <f t="shared" si="21"/>
        <v>0</v>
      </c>
      <c r="N455" s="2"/>
      <c r="O455" s="97"/>
      <c r="P455" s="52"/>
    </row>
    <row r="456" spans="1:16" ht="40.950000000000003" customHeight="1" x14ac:dyDescent="0.3">
      <c r="A456" s="4">
        <v>107</v>
      </c>
      <c r="B456" s="10" t="s">
        <v>17</v>
      </c>
      <c r="C456" s="10" t="s">
        <v>321</v>
      </c>
      <c r="D456" s="10"/>
      <c r="E456" s="10">
        <v>22727</v>
      </c>
      <c r="F456" s="10" t="s">
        <v>18</v>
      </c>
      <c r="G456" s="4" t="s">
        <v>391</v>
      </c>
      <c r="H456" s="4"/>
      <c r="I456" s="4">
        <f t="shared" si="22"/>
        <v>20585</v>
      </c>
      <c r="J456" s="4">
        <v>20905</v>
      </c>
      <c r="K456" s="4">
        <f t="shared" si="23"/>
        <v>0</v>
      </c>
      <c r="L456" s="1">
        <v>20905</v>
      </c>
      <c r="M456" s="93">
        <f t="shared" si="21"/>
        <v>0</v>
      </c>
      <c r="N456" s="2">
        <v>320</v>
      </c>
      <c r="O456" s="97">
        <v>320</v>
      </c>
      <c r="P456" s="52"/>
    </row>
    <row r="457" spans="1:16" ht="40.950000000000003" customHeight="1" x14ac:dyDescent="0.3">
      <c r="A457" s="4">
        <v>107</v>
      </c>
      <c r="B457" s="10" t="s">
        <v>17</v>
      </c>
      <c r="C457" s="10" t="s">
        <v>321</v>
      </c>
      <c r="D457" s="10"/>
      <c r="E457" s="10">
        <v>22727</v>
      </c>
      <c r="F457" s="10" t="s">
        <v>18</v>
      </c>
      <c r="G457" s="4" t="s">
        <v>381</v>
      </c>
      <c r="H457" s="4"/>
      <c r="I457" s="4">
        <f t="shared" si="22"/>
        <v>2825</v>
      </c>
      <c r="J457" s="4">
        <v>2825</v>
      </c>
      <c r="K457" s="4">
        <f t="shared" si="23"/>
        <v>0</v>
      </c>
      <c r="L457" s="1">
        <v>2825</v>
      </c>
      <c r="M457" s="93">
        <f t="shared" si="21"/>
        <v>0</v>
      </c>
      <c r="N457" s="2"/>
      <c r="O457" s="97"/>
      <c r="P457" s="52"/>
    </row>
    <row r="458" spans="1:16" ht="40.950000000000003" customHeight="1" x14ac:dyDescent="0.3">
      <c r="A458" s="4">
        <v>107</v>
      </c>
      <c r="B458" s="10" t="s">
        <v>17</v>
      </c>
      <c r="C458" s="10" t="s">
        <v>321</v>
      </c>
      <c r="D458" s="10"/>
      <c r="E458" s="10">
        <v>22727</v>
      </c>
      <c r="F458" s="10" t="s">
        <v>18</v>
      </c>
      <c r="G458" s="4" t="s">
        <v>181</v>
      </c>
      <c r="H458" s="4">
        <v>4</v>
      </c>
      <c r="I458" s="4">
        <f t="shared" si="22"/>
        <v>50180</v>
      </c>
      <c r="J458" s="4">
        <v>51800</v>
      </c>
      <c r="K458" s="4">
        <f t="shared" si="23"/>
        <v>0</v>
      </c>
      <c r="L458" s="1">
        <v>51800</v>
      </c>
      <c r="M458" s="93">
        <f t="shared" si="21"/>
        <v>0</v>
      </c>
      <c r="N458" s="2">
        <v>1620</v>
      </c>
      <c r="O458" s="97">
        <f>1500+120</f>
        <v>1620</v>
      </c>
      <c r="P458" s="52"/>
    </row>
    <row r="459" spans="1:16" ht="40.950000000000003" customHeight="1" x14ac:dyDescent="0.3">
      <c r="A459" s="4">
        <v>107</v>
      </c>
      <c r="B459" s="10" t="s">
        <v>17</v>
      </c>
      <c r="C459" s="10" t="s">
        <v>321</v>
      </c>
      <c r="D459" s="10"/>
      <c r="E459" s="10">
        <v>22727</v>
      </c>
      <c r="F459" s="10" t="s">
        <v>18</v>
      </c>
      <c r="G459" s="4" t="s">
        <v>198</v>
      </c>
      <c r="H459" s="4">
        <v>5</v>
      </c>
      <c r="I459" s="4">
        <f t="shared" si="22"/>
        <v>18590</v>
      </c>
      <c r="J459" s="4">
        <v>20000</v>
      </c>
      <c r="K459" s="4">
        <f t="shared" si="23"/>
        <v>0</v>
      </c>
      <c r="L459" s="1">
        <v>20000</v>
      </c>
      <c r="M459" s="93">
        <f t="shared" si="21"/>
        <v>0</v>
      </c>
      <c r="N459" s="2">
        <v>1410</v>
      </c>
      <c r="O459" s="97">
        <v>1410</v>
      </c>
      <c r="P459" s="52">
        <v>0.85</v>
      </c>
    </row>
    <row r="460" spans="1:16" ht="40.950000000000003" customHeight="1" x14ac:dyDescent="0.3">
      <c r="A460" s="4">
        <v>108</v>
      </c>
      <c r="B460" s="10" t="s">
        <v>240</v>
      </c>
      <c r="C460" s="10"/>
      <c r="D460" s="10"/>
      <c r="E460" s="10"/>
      <c r="F460" s="10" t="s">
        <v>241</v>
      </c>
      <c r="G460" s="4" t="s">
        <v>22</v>
      </c>
      <c r="H460" s="4">
        <v>26</v>
      </c>
      <c r="I460" s="4">
        <f t="shared" si="22"/>
        <v>259354</v>
      </c>
      <c r="J460" s="4">
        <v>267076</v>
      </c>
      <c r="K460" s="4">
        <f t="shared" si="23"/>
        <v>0</v>
      </c>
      <c r="L460" s="1">
        <v>267076</v>
      </c>
      <c r="M460" s="93">
        <f t="shared" si="21"/>
        <v>0</v>
      </c>
      <c r="N460" s="2">
        <v>7722</v>
      </c>
      <c r="O460" s="97">
        <v>7722</v>
      </c>
      <c r="P460" s="52" t="s">
        <v>1513</v>
      </c>
    </row>
    <row r="461" spans="1:16" ht="40.950000000000003" customHeight="1" x14ac:dyDescent="0.3">
      <c r="A461" s="4">
        <v>109</v>
      </c>
      <c r="B461" s="10" t="s">
        <v>242</v>
      </c>
      <c r="C461" s="10"/>
      <c r="D461" s="10"/>
      <c r="E461" s="10"/>
      <c r="F461" s="10" t="s">
        <v>241</v>
      </c>
      <c r="G461" s="4" t="s">
        <v>11</v>
      </c>
      <c r="H461" s="4"/>
      <c r="I461" s="4">
        <f t="shared" si="22"/>
        <v>49680</v>
      </c>
      <c r="J461" s="4">
        <v>49680</v>
      </c>
      <c r="K461" s="4">
        <f t="shared" si="23"/>
        <v>0</v>
      </c>
      <c r="L461" s="1">
        <v>49680</v>
      </c>
      <c r="M461" s="93">
        <f t="shared" si="21"/>
        <v>0</v>
      </c>
      <c r="N461" s="2"/>
      <c r="O461" s="97"/>
      <c r="P461" s="52"/>
    </row>
    <row r="462" spans="1:16" ht="40.950000000000003" customHeight="1" x14ac:dyDescent="0.3">
      <c r="A462" s="424">
        <v>110</v>
      </c>
      <c r="B462" s="10" t="s">
        <v>243</v>
      </c>
      <c r="C462" s="10"/>
      <c r="D462" s="10"/>
      <c r="E462" s="10"/>
      <c r="F462" s="10" t="s">
        <v>241</v>
      </c>
      <c r="G462" s="4" t="s">
        <v>22</v>
      </c>
      <c r="H462" s="4">
        <v>14</v>
      </c>
      <c r="I462" s="4">
        <f t="shared" si="22"/>
        <v>65193</v>
      </c>
      <c r="J462" s="4">
        <v>70272</v>
      </c>
      <c r="K462" s="4">
        <f>L462-J462</f>
        <v>0</v>
      </c>
      <c r="L462" s="1">
        <v>70272</v>
      </c>
      <c r="M462" s="93">
        <f t="shared" si="21"/>
        <v>0</v>
      </c>
      <c r="N462" s="2">
        <v>5079</v>
      </c>
      <c r="O462" s="97">
        <v>5079</v>
      </c>
      <c r="P462" s="52" t="s">
        <v>1499</v>
      </c>
    </row>
    <row r="463" spans="1:16" ht="40.950000000000003" customHeight="1" x14ac:dyDescent="0.3">
      <c r="A463" s="426"/>
      <c r="B463" s="10" t="s">
        <v>243</v>
      </c>
      <c r="C463" s="10"/>
      <c r="D463" s="10"/>
      <c r="E463" s="10"/>
      <c r="F463" s="10" t="s">
        <v>241</v>
      </c>
      <c r="G463" s="4" t="s">
        <v>9</v>
      </c>
      <c r="H463" s="4">
        <v>35</v>
      </c>
      <c r="I463" s="4">
        <f t="shared" si="22"/>
        <v>295804</v>
      </c>
      <c r="J463" s="4">
        <v>300772</v>
      </c>
      <c r="K463" s="4">
        <f t="shared" si="23"/>
        <v>0</v>
      </c>
      <c r="L463" s="1">
        <v>300772</v>
      </c>
      <c r="M463" s="93">
        <f t="shared" si="21"/>
        <v>0</v>
      </c>
      <c r="N463" s="2">
        <v>4968</v>
      </c>
      <c r="O463" s="97">
        <v>4968</v>
      </c>
      <c r="P463" s="52" t="s">
        <v>1137</v>
      </c>
    </row>
    <row r="464" spans="1:16" ht="40.950000000000003" customHeight="1" x14ac:dyDescent="0.3">
      <c r="A464" s="4">
        <v>111</v>
      </c>
      <c r="B464" s="10" t="s">
        <v>244</v>
      </c>
      <c r="C464" s="10"/>
      <c r="D464" s="10"/>
      <c r="E464" s="10"/>
      <c r="F464" s="10" t="s">
        <v>241</v>
      </c>
      <c r="G464" s="4" t="s">
        <v>39</v>
      </c>
      <c r="H464" s="4">
        <v>5</v>
      </c>
      <c r="I464" s="4">
        <f t="shared" si="22"/>
        <v>12657</v>
      </c>
      <c r="J464" s="4">
        <v>15177</v>
      </c>
      <c r="K464" s="4">
        <f t="shared" si="23"/>
        <v>0</v>
      </c>
      <c r="L464" s="1">
        <v>15177</v>
      </c>
      <c r="M464" s="93">
        <f t="shared" si="21"/>
        <v>0</v>
      </c>
      <c r="N464" s="2">
        <v>2520</v>
      </c>
      <c r="O464" s="97">
        <v>2520</v>
      </c>
      <c r="P464" s="52">
        <v>0.20100000000000001</v>
      </c>
    </row>
    <row r="465" spans="1:16" ht="40.950000000000003" customHeight="1" x14ac:dyDescent="0.3">
      <c r="A465" s="4">
        <v>111</v>
      </c>
      <c r="B465" s="10" t="s">
        <v>244</v>
      </c>
      <c r="C465" s="10"/>
      <c r="D465" s="10"/>
      <c r="E465" s="10"/>
      <c r="F465" s="10" t="s">
        <v>241</v>
      </c>
      <c r="G465" s="4" t="s">
        <v>256</v>
      </c>
      <c r="H465" s="4">
        <v>4</v>
      </c>
      <c r="I465" s="4">
        <f t="shared" si="22"/>
        <v>32545</v>
      </c>
      <c r="J465" s="4">
        <v>33955</v>
      </c>
      <c r="K465" s="4">
        <f t="shared" si="23"/>
        <v>0</v>
      </c>
      <c r="L465" s="1">
        <v>33955</v>
      </c>
      <c r="M465" s="93">
        <f t="shared" si="21"/>
        <v>0</v>
      </c>
      <c r="N465" s="2">
        <v>1410</v>
      </c>
      <c r="O465" s="97">
        <v>1410</v>
      </c>
      <c r="P465" s="52"/>
    </row>
    <row r="466" spans="1:16" ht="40.950000000000003" customHeight="1" x14ac:dyDescent="0.3">
      <c r="A466" s="4">
        <v>112</v>
      </c>
      <c r="B466" s="10" t="s">
        <v>249</v>
      </c>
      <c r="C466" s="10"/>
      <c r="D466" s="10"/>
      <c r="E466" s="10"/>
      <c r="F466" s="10" t="s">
        <v>241</v>
      </c>
      <c r="G466" s="4" t="s">
        <v>48</v>
      </c>
      <c r="H466" s="4">
        <v>9</v>
      </c>
      <c r="I466" s="4">
        <f t="shared" si="22"/>
        <v>39625</v>
      </c>
      <c r="J466" s="4">
        <v>40495</v>
      </c>
      <c r="K466" s="4">
        <f t="shared" si="23"/>
        <v>0</v>
      </c>
      <c r="L466" s="1">
        <v>40495</v>
      </c>
      <c r="M466" s="93">
        <f t="shared" si="21"/>
        <v>0</v>
      </c>
      <c r="N466" s="2">
        <v>870</v>
      </c>
      <c r="O466" s="97">
        <v>870</v>
      </c>
      <c r="P466" s="52"/>
    </row>
    <row r="467" spans="1:16" ht="40.950000000000003" customHeight="1" x14ac:dyDescent="0.3">
      <c r="A467" s="4">
        <v>113</v>
      </c>
      <c r="B467" s="10" t="s">
        <v>245</v>
      </c>
      <c r="C467" s="10"/>
      <c r="D467" s="10"/>
      <c r="E467" s="10"/>
      <c r="F467" s="10" t="s">
        <v>241</v>
      </c>
      <c r="G467" s="4" t="s">
        <v>7</v>
      </c>
      <c r="H467" s="4">
        <v>40</v>
      </c>
      <c r="I467" s="4">
        <f t="shared" si="22"/>
        <v>296834</v>
      </c>
      <c r="J467" s="4">
        <v>301864</v>
      </c>
      <c r="K467" s="4">
        <f t="shared" si="23"/>
        <v>0</v>
      </c>
      <c r="L467" s="1">
        <v>301864</v>
      </c>
      <c r="M467" s="93">
        <f t="shared" si="21"/>
        <v>0</v>
      </c>
      <c r="N467" s="2">
        <v>5030</v>
      </c>
      <c r="O467" s="97">
        <v>5030</v>
      </c>
      <c r="P467" s="52" t="s">
        <v>1137</v>
      </c>
    </row>
    <row r="468" spans="1:16" ht="40.950000000000003" customHeight="1" x14ac:dyDescent="0.3">
      <c r="A468" s="4">
        <v>113</v>
      </c>
      <c r="B468" s="10" t="s">
        <v>245</v>
      </c>
      <c r="C468" s="10"/>
      <c r="D468" s="10"/>
      <c r="E468" s="10"/>
      <c r="F468" s="10" t="s">
        <v>241</v>
      </c>
      <c r="G468" s="4" t="s">
        <v>8</v>
      </c>
      <c r="H468" s="4">
        <v>33</v>
      </c>
      <c r="I468" s="4">
        <f t="shared" si="22"/>
        <v>273755</v>
      </c>
      <c r="J468" s="4">
        <v>278049</v>
      </c>
      <c r="K468" s="4">
        <f t="shared" si="23"/>
        <v>0</v>
      </c>
      <c r="L468" s="1">
        <v>278049</v>
      </c>
      <c r="M468" s="93">
        <f t="shared" si="21"/>
        <v>0</v>
      </c>
      <c r="N468" s="2">
        <v>4294</v>
      </c>
      <c r="O468" s="97">
        <v>4294</v>
      </c>
      <c r="P468" s="52" t="s">
        <v>1137</v>
      </c>
    </row>
    <row r="469" spans="1:16" ht="40.950000000000003" customHeight="1" x14ac:dyDescent="0.3">
      <c r="A469" s="4">
        <v>113</v>
      </c>
      <c r="B469" s="10" t="s">
        <v>245</v>
      </c>
      <c r="C469" s="10"/>
      <c r="D469" s="10"/>
      <c r="E469" s="10"/>
      <c r="F469" s="10" t="s">
        <v>241</v>
      </c>
      <c r="G469" s="4" t="s">
        <v>48</v>
      </c>
      <c r="H469" s="4">
        <v>15</v>
      </c>
      <c r="I469" s="4">
        <f t="shared" si="22"/>
        <v>137277</v>
      </c>
      <c r="J469" s="4">
        <v>140363</v>
      </c>
      <c r="K469" s="4">
        <f t="shared" si="23"/>
        <v>0</v>
      </c>
      <c r="L469" s="1">
        <v>140363</v>
      </c>
      <c r="M469" s="93">
        <f t="shared" si="21"/>
        <v>0</v>
      </c>
      <c r="N469" s="2">
        <v>3086</v>
      </c>
      <c r="O469" s="97">
        <v>3086</v>
      </c>
      <c r="P469" s="52" t="s">
        <v>1145</v>
      </c>
    </row>
    <row r="470" spans="1:16" ht="40.950000000000003" customHeight="1" x14ac:dyDescent="0.3">
      <c r="A470" s="4">
        <v>113</v>
      </c>
      <c r="B470" s="10" t="s">
        <v>245</v>
      </c>
      <c r="C470" s="10"/>
      <c r="D470" s="10"/>
      <c r="E470" s="10"/>
      <c r="F470" s="10" t="s">
        <v>241</v>
      </c>
      <c r="G470" s="4" t="s">
        <v>114</v>
      </c>
      <c r="H470" s="4">
        <v>17</v>
      </c>
      <c r="I470" s="4">
        <f t="shared" si="22"/>
        <v>92243</v>
      </c>
      <c r="J470" s="4">
        <v>100688</v>
      </c>
      <c r="K470" s="4">
        <f t="shared" si="23"/>
        <v>0</v>
      </c>
      <c r="L470" s="1">
        <v>100688</v>
      </c>
      <c r="M470" s="93">
        <f t="shared" ref="M470:M548" si="24">O470-N470</f>
        <v>0</v>
      </c>
      <c r="N470" s="2">
        <v>8445</v>
      </c>
      <c r="O470" s="97">
        <v>8445</v>
      </c>
      <c r="P470" s="52" t="s">
        <v>1502</v>
      </c>
    </row>
    <row r="471" spans="1:16" ht="40.950000000000003" customHeight="1" x14ac:dyDescent="0.3">
      <c r="A471" s="4">
        <v>113</v>
      </c>
      <c r="B471" s="10" t="s">
        <v>245</v>
      </c>
      <c r="C471" s="10"/>
      <c r="D471" s="10"/>
      <c r="E471" s="10"/>
      <c r="F471" s="10" t="s">
        <v>241</v>
      </c>
      <c r="G471" s="4" t="s">
        <v>50</v>
      </c>
      <c r="H471" s="4">
        <v>20</v>
      </c>
      <c r="I471" s="4">
        <f t="shared" si="22"/>
        <v>218260</v>
      </c>
      <c r="J471" s="4">
        <v>222380</v>
      </c>
      <c r="K471" s="4">
        <f t="shared" si="23"/>
        <v>0</v>
      </c>
      <c r="L471" s="1">
        <v>222380</v>
      </c>
      <c r="M471" s="93">
        <f t="shared" si="24"/>
        <v>0</v>
      </c>
      <c r="N471" s="2">
        <v>4120</v>
      </c>
      <c r="O471" s="97">
        <v>4120</v>
      </c>
      <c r="P471" s="52" t="s">
        <v>1145</v>
      </c>
    </row>
    <row r="472" spans="1:16" ht="40.950000000000003" customHeight="1" x14ac:dyDescent="0.3">
      <c r="A472" s="4">
        <v>113</v>
      </c>
      <c r="B472" s="10" t="s">
        <v>245</v>
      </c>
      <c r="C472" s="10"/>
      <c r="D472" s="10"/>
      <c r="E472" s="10"/>
      <c r="F472" s="10" t="s">
        <v>241</v>
      </c>
      <c r="G472" s="4" t="s">
        <v>169</v>
      </c>
      <c r="H472" s="4">
        <v>9</v>
      </c>
      <c r="I472" s="4">
        <f t="shared" ref="I472:I552" si="25">J472-O472</f>
        <v>38257</v>
      </c>
      <c r="J472" s="4">
        <v>39447</v>
      </c>
      <c r="K472" s="4">
        <f t="shared" si="23"/>
        <v>0</v>
      </c>
      <c r="L472" s="1">
        <v>39447</v>
      </c>
      <c r="M472" s="93">
        <f t="shared" si="24"/>
        <v>0</v>
      </c>
      <c r="N472" s="2">
        <v>1190</v>
      </c>
      <c r="O472" s="97">
        <v>1190</v>
      </c>
      <c r="P472" s="52">
        <v>0.9</v>
      </c>
    </row>
    <row r="473" spans="1:16" ht="40.950000000000003" customHeight="1" x14ac:dyDescent="0.3">
      <c r="A473" s="4">
        <v>113</v>
      </c>
      <c r="B473" s="10" t="s">
        <v>245</v>
      </c>
      <c r="C473" s="10"/>
      <c r="D473" s="10"/>
      <c r="E473" s="10"/>
      <c r="F473" s="10" t="s">
        <v>241</v>
      </c>
      <c r="G473" s="4" t="s">
        <v>474</v>
      </c>
      <c r="H473" s="4">
        <v>7</v>
      </c>
      <c r="I473" s="4">
        <f t="shared" si="25"/>
        <v>16116</v>
      </c>
      <c r="J473" s="4">
        <v>17436</v>
      </c>
      <c r="K473" s="4">
        <f t="shared" si="23"/>
        <v>0</v>
      </c>
      <c r="L473" s="1">
        <v>17436</v>
      </c>
      <c r="M473" s="93">
        <f t="shared" si="24"/>
        <v>0</v>
      </c>
      <c r="N473" s="2">
        <v>1320</v>
      </c>
      <c r="O473" s="97">
        <f>180+180+180+360+120+300</f>
        <v>1320</v>
      </c>
      <c r="P473" s="52" t="s">
        <v>1501</v>
      </c>
    </row>
    <row r="474" spans="1:16" ht="40.950000000000003" customHeight="1" x14ac:dyDescent="0.3">
      <c r="A474" s="4">
        <v>113</v>
      </c>
      <c r="B474" s="10" t="s">
        <v>245</v>
      </c>
      <c r="C474" s="10"/>
      <c r="D474" s="10"/>
      <c r="E474" s="10"/>
      <c r="F474" s="10" t="s">
        <v>241</v>
      </c>
      <c r="G474" s="4" t="s">
        <v>238</v>
      </c>
      <c r="H474" s="4">
        <v>4</v>
      </c>
      <c r="I474" s="4">
        <f t="shared" si="25"/>
        <v>1470</v>
      </c>
      <c r="J474" s="4">
        <v>1470</v>
      </c>
      <c r="K474" s="4">
        <f t="shared" si="23"/>
        <v>0</v>
      </c>
      <c r="L474" s="1">
        <v>1470</v>
      </c>
      <c r="M474" s="93">
        <f t="shared" si="24"/>
        <v>0</v>
      </c>
      <c r="N474" s="2"/>
      <c r="O474" s="97"/>
      <c r="P474" s="52">
        <v>0.4</v>
      </c>
    </row>
    <row r="475" spans="1:16" ht="40.950000000000003" customHeight="1" x14ac:dyDescent="0.3">
      <c r="A475" s="4">
        <v>113</v>
      </c>
      <c r="B475" s="10" t="s">
        <v>245</v>
      </c>
      <c r="C475" s="10"/>
      <c r="D475" s="10"/>
      <c r="E475" s="10"/>
      <c r="F475" s="10" t="s">
        <v>1018</v>
      </c>
      <c r="G475" s="4" t="s">
        <v>85</v>
      </c>
      <c r="H475" s="4">
        <v>1</v>
      </c>
      <c r="I475" s="4">
        <f t="shared" si="25"/>
        <v>835</v>
      </c>
      <c r="J475" s="4">
        <v>835</v>
      </c>
      <c r="K475" s="4">
        <f t="shared" si="23"/>
        <v>0</v>
      </c>
      <c r="L475" s="1">
        <v>835</v>
      </c>
      <c r="M475" s="93">
        <f t="shared" si="24"/>
        <v>0</v>
      </c>
      <c r="N475" s="2"/>
      <c r="O475" s="97"/>
      <c r="P475" s="52">
        <v>0.5</v>
      </c>
    </row>
    <row r="476" spans="1:16" ht="40.950000000000003" customHeight="1" x14ac:dyDescent="0.3">
      <c r="A476" s="4">
        <v>113</v>
      </c>
      <c r="B476" s="10" t="s">
        <v>245</v>
      </c>
      <c r="C476" s="10"/>
      <c r="D476" s="10"/>
      <c r="E476" s="10"/>
      <c r="F476" s="10" t="s">
        <v>1018</v>
      </c>
      <c r="G476" s="4" t="s">
        <v>114</v>
      </c>
      <c r="H476" s="4">
        <v>2</v>
      </c>
      <c r="I476" s="4">
        <f t="shared" si="25"/>
        <v>1670</v>
      </c>
      <c r="J476" s="4">
        <v>1670</v>
      </c>
      <c r="K476" s="4">
        <f t="shared" si="23"/>
        <v>0</v>
      </c>
      <c r="L476" s="1">
        <v>1670</v>
      </c>
      <c r="M476" s="93">
        <f t="shared" si="24"/>
        <v>0</v>
      </c>
      <c r="N476" s="2"/>
      <c r="O476" s="97"/>
      <c r="P476" s="52">
        <v>0.5</v>
      </c>
    </row>
    <row r="477" spans="1:16" ht="40.950000000000003" customHeight="1" x14ac:dyDescent="0.3">
      <c r="A477" s="4">
        <v>113</v>
      </c>
      <c r="B477" s="10" t="s">
        <v>245</v>
      </c>
      <c r="C477" s="10"/>
      <c r="D477" s="10"/>
      <c r="E477" s="10"/>
      <c r="F477" s="10" t="s">
        <v>1018</v>
      </c>
      <c r="G477" s="4" t="s">
        <v>389</v>
      </c>
      <c r="H477" s="4">
        <v>2</v>
      </c>
      <c r="I477" s="4">
        <f t="shared" si="25"/>
        <v>1899</v>
      </c>
      <c r="J477" s="4">
        <v>1899</v>
      </c>
      <c r="K477" s="4">
        <f t="shared" si="23"/>
        <v>0</v>
      </c>
      <c r="L477" s="1">
        <v>1899</v>
      </c>
      <c r="M477" s="93">
        <f t="shared" si="24"/>
        <v>0</v>
      </c>
      <c r="N477" s="2"/>
      <c r="O477" s="97"/>
      <c r="P477" s="52">
        <v>0.5</v>
      </c>
    </row>
    <row r="478" spans="1:16" ht="40.950000000000003" customHeight="1" x14ac:dyDescent="0.3">
      <c r="A478" s="4">
        <v>113</v>
      </c>
      <c r="B478" s="10" t="s">
        <v>245</v>
      </c>
      <c r="C478" s="10"/>
      <c r="D478" s="10"/>
      <c r="E478" s="10"/>
      <c r="F478" s="10" t="s">
        <v>1018</v>
      </c>
      <c r="G478" s="4" t="s">
        <v>48</v>
      </c>
      <c r="H478" s="4">
        <v>3</v>
      </c>
      <c r="I478" s="4">
        <f t="shared" si="25"/>
        <v>1898</v>
      </c>
      <c r="J478" s="4">
        <v>1898</v>
      </c>
      <c r="K478" s="4">
        <f t="shared" si="23"/>
        <v>0</v>
      </c>
      <c r="L478" s="1">
        <v>1898</v>
      </c>
      <c r="M478" s="93">
        <f t="shared" si="24"/>
        <v>0</v>
      </c>
      <c r="N478" s="2"/>
      <c r="O478" s="97"/>
      <c r="P478" s="52">
        <v>0.5</v>
      </c>
    </row>
    <row r="479" spans="1:16" ht="40.950000000000003" customHeight="1" x14ac:dyDescent="0.3">
      <c r="A479" s="4">
        <v>113</v>
      </c>
      <c r="B479" s="10" t="s">
        <v>245</v>
      </c>
      <c r="C479" s="10"/>
      <c r="D479" s="10"/>
      <c r="E479" s="10"/>
      <c r="F479" s="10" t="s">
        <v>1018</v>
      </c>
      <c r="G479" s="4" t="s">
        <v>50</v>
      </c>
      <c r="H479" s="4">
        <v>3</v>
      </c>
      <c r="I479" s="4">
        <f t="shared" si="25"/>
        <v>1898</v>
      </c>
      <c r="J479" s="4">
        <v>1898</v>
      </c>
      <c r="K479" s="4">
        <f t="shared" si="23"/>
        <v>0</v>
      </c>
      <c r="L479" s="1">
        <v>1898</v>
      </c>
      <c r="M479" s="93">
        <f t="shared" si="24"/>
        <v>0</v>
      </c>
      <c r="N479" s="2"/>
      <c r="O479" s="97"/>
      <c r="P479" s="52">
        <v>0.5</v>
      </c>
    </row>
    <row r="480" spans="1:16" ht="40.950000000000003" customHeight="1" x14ac:dyDescent="0.3">
      <c r="A480" s="4">
        <v>113</v>
      </c>
      <c r="B480" s="10" t="s">
        <v>245</v>
      </c>
      <c r="C480" s="10"/>
      <c r="D480" s="10"/>
      <c r="E480" s="10"/>
      <c r="F480" s="10" t="s">
        <v>1018</v>
      </c>
      <c r="G480" s="4" t="s">
        <v>8</v>
      </c>
      <c r="H480" s="4">
        <v>1</v>
      </c>
      <c r="I480" s="4">
        <f t="shared" si="25"/>
        <v>228</v>
      </c>
      <c r="J480" s="4">
        <v>228</v>
      </c>
      <c r="K480" s="4">
        <f t="shared" si="23"/>
        <v>0</v>
      </c>
      <c r="L480" s="1">
        <v>228</v>
      </c>
      <c r="M480" s="93">
        <f t="shared" si="24"/>
        <v>0</v>
      </c>
      <c r="N480" s="2"/>
      <c r="O480" s="97"/>
      <c r="P480" s="52">
        <v>0.5</v>
      </c>
    </row>
    <row r="481" spans="1:16" ht="40.950000000000003" customHeight="1" x14ac:dyDescent="0.3">
      <c r="A481" s="4">
        <v>113</v>
      </c>
      <c r="B481" s="10" t="s">
        <v>245</v>
      </c>
      <c r="C481" s="10"/>
      <c r="D481" s="10"/>
      <c r="E481" s="10"/>
      <c r="F481" s="10" t="s">
        <v>1018</v>
      </c>
      <c r="G481" s="4" t="s">
        <v>7</v>
      </c>
      <c r="H481" s="4">
        <v>3</v>
      </c>
      <c r="I481" s="4">
        <f t="shared" si="25"/>
        <v>1898</v>
      </c>
      <c r="J481" s="4">
        <v>1898</v>
      </c>
      <c r="K481" s="4">
        <f t="shared" si="23"/>
        <v>0</v>
      </c>
      <c r="L481" s="1">
        <v>1898</v>
      </c>
      <c r="M481" s="93">
        <f t="shared" si="24"/>
        <v>0</v>
      </c>
      <c r="N481" s="2"/>
      <c r="O481" s="97"/>
      <c r="P481" s="52">
        <v>0.5</v>
      </c>
    </row>
    <row r="482" spans="1:16" ht="40.950000000000003" customHeight="1" x14ac:dyDescent="0.3">
      <c r="A482" s="4">
        <v>114</v>
      </c>
      <c r="B482" s="10" t="s">
        <v>257</v>
      </c>
      <c r="C482" s="10"/>
      <c r="D482" s="10"/>
      <c r="E482" s="10"/>
      <c r="F482" s="10" t="s">
        <v>241</v>
      </c>
      <c r="G482" s="4" t="s">
        <v>50</v>
      </c>
      <c r="H482" s="4">
        <v>6</v>
      </c>
      <c r="I482" s="4">
        <f t="shared" si="25"/>
        <v>39087</v>
      </c>
      <c r="J482" s="4">
        <v>40762</v>
      </c>
      <c r="K482" s="4">
        <f t="shared" si="23"/>
        <v>0</v>
      </c>
      <c r="L482" s="1">
        <v>40762</v>
      </c>
      <c r="M482" s="93">
        <f t="shared" si="24"/>
        <v>0</v>
      </c>
      <c r="N482" s="2">
        <v>1675</v>
      </c>
      <c r="O482" s="97">
        <v>1675</v>
      </c>
      <c r="P482" s="52">
        <v>0.2</v>
      </c>
    </row>
    <row r="483" spans="1:16" ht="40.950000000000003" customHeight="1" x14ac:dyDescent="0.3">
      <c r="A483" s="4">
        <v>115</v>
      </c>
      <c r="B483" s="10" t="s">
        <v>258</v>
      </c>
      <c r="C483" s="10"/>
      <c r="D483" s="10"/>
      <c r="E483" s="10"/>
      <c r="F483" s="10" t="s">
        <v>241</v>
      </c>
      <c r="G483" s="4" t="s">
        <v>85</v>
      </c>
      <c r="H483" s="4">
        <v>8</v>
      </c>
      <c r="I483" s="4">
        <f t="shared" si="25"/>
        <v>48540</v>
      </c>
      <c r="J483" s="4">
        <v>50880</v>
      </c>
      <c r="K483" s="4">
        <f t="shared" ref="K483:K564" si="26">L483-J483</f>
        <v>0</v>
      </c>
      <c r="L483" s="1">
        <v>50880</v>
      </c>
      <c r="M483" s="93">
        <f t="shared" si="24"/>
        <v>0</v>
      </c>
      <c r="N483" s="2">
        <v>2340</v>
      </c>
      <c r="O483" s="97">
        <f>120+120+2100</f>
        <v>2340</v>
      </c>
      <c r="P483" s="52">
        <v>0.2</v>
      </c>
    </row>
    <row r="484" spans="1:16" ht="40.950000000000003" customHeight="1" x14ac:dyDescent="0.3">
      <c r="A484" s="4">
        <v>115</v>
      </c>
      <c r="B484" s="10" t="s">
        <v>258</v>
      </c>
      <c r="C484" s="10"/>
      <c r="D484" s="10"/>
      <c r="E484" s="10"/>
      <c r="F484" s="10" t="s">
        <v>241</v>
      </c>
      <c r="G484" s="4" t="s">
        <v>114</v>
      </c>
      <c r="H484" s="4">
        <v>8</v>
      </c>
      <c r="I484" s="4">
        <f t="shared" si="25"/>
        <v>28156</v>
      </c>
      <c r="J484" s="4">
        <v>29776</v>
      </c>
      <c r="K484" s="4">
        <f t="shared" si="26"/>
        <v>0</v>
      </c>
      <c r="L484" s="1">
        <v>29776</v>
      </c>
      <c r="M484" s="93">
        <f t="shared" si="24"/>
        <v>0</v>
      </c>
      <c r="N484" s="2">
        <v>1620</v>
      </c>
      <c r="O484" s="97">
        <f>60+360+1200</f>
        <v>1620</v>
      </c>
      <c r="P484" s="52">
        <v>0.5</v>
      </c>
    </row>
    <row r="485" spans="1:16" ht="40.950000000000003" customHeight="1" x14ac:dyDescent="0.3">
      <c r="A485" s="4">
        <v>116</v>
      </c>
      <c r="B485" s="10" t="s">
        <v>259</v>
      </c>
      <c r="C485" s="10"/>
      <c r="D485" s="10"/>
      <c r="E485" s="10"/>
      <c r="F485" s="10" t="s">
        <v>241</v>
      </c>
      <c r="G485" s="4" t="s">
        <v>90</v>
      </c>
      <c r="H485" s="4"/>
      <c r="I485" s="4">
        <f t="shared" si="25"/>
        <v>31760</v>
      </c>
      <c r="J485" s="4">
        <v>32400</v>
      </c>
      <c r="K485" s="4">
        <f t="shared" si="26"/>
        <v>0</v>
      </c>
      <c r="L485" s="1">
        <v>32400</v>
      </c>
      <c r="M485" s="93">
        <f t="shared" si="24"/>
        <v>0</v>
      </c>
      <c r="N485" s="2">
        <v>640</v>
      </c>
      <c r="O485" s="97">
        <f>540+100</f>
        <v>640</v>
      </c>
      <c r="P485" s="52"/>
    </row>
    <row r="486" spans="1:16" ht="40.950000000000003" customHeight="1" x14ac:dyDescent="0.3">
      <c r="A486" s="4">
        <v>117</v>
      </c>
      <c r="B486" s="10" t="s">
        <v>260</v>
      </c>
      <c r="C486" s="10"/>
      <c r="D486" s="10"/>
      <c r="E486" s="10"/>
      <c r="F486" s="10" t="s">
        <v>241</v>
      </c>
      <c r="G486" s="4" t="s">
        <v>128</v>
      </c>
      <c r="H486" s="4">
        <v>12</v>
      </c>
      <c r="I486" s="4">
        <f t="shared" si="25"/>
        <v>37301</v>
      </c>
      <c r="J486" s="4">
        <v>43241</v>
      </c>
      <c r="K486" s="4">
        <f t="shared" si="26"/>
        <v>0</v>
      </c>
      <c r="L486" s="1">
        <v>43241</v>
      </c>
      <c r="M486" s="93">
        <f t="shared" si="24"/>
        <v>0</v>
      </c>
      <c r="N486" s="2">
        <v>5940</v>
      </c>
      <c r="O486" s="97">
        <v>5940</v>
      </c>
      <c r="P486" s="52">
        <v>0.35399999999999998</v>
      </c>
    </row>
    <row r="487" spans="1:16" ht="40.950000000000003" customHeight="1" x14ac:dyDescent="0.3">
      <c r="A487" s="4">
        <v>118</v>
      </c>
      <c r="B487" s="10" t="s">
        <v>261</v>
      </c>
      <c r="C487" s="10"/>
      <c r="D487" s="10"/>
      <c r="E487" s="10"/>
      <c r="F487" s="10" t="s">
        <v>241</v>
      </c>
      <c r="G487" s="4" t="s">
        <v>51</v>
      </c>
      <c r="H487" s="4">
        <v>15</v>
      </c>
      <c r="I487" s="4">
        <f t="shared" si="25"/>
        <v>57634</v>
      </c>
      <c r="J487" s="4">
        <v>60649</v>
      </c>
      <c r="K487" s="4">
        <f t="shared" si="26"/>
        <v>0</v>
      </c>
      <c r="L487" s="1">
        <v>60649</v>
      </c>
      <c r="M487" s="93">
        <f t="shared" si="24"/>
        <v>0</v>
      </c>
      <c r="N487" s="2">
        <v>3015</v>
      </c>
      <c r="O487" s="97">
        <v>3015</v>
      </c>
      <c r="P487" s="52">
        <v>0.35</v>
      </c>
    </row>
    <row r="488" spans="1:16" ht="40.950000000000003" customHeight="1" x14ac:dyDescent="0.3">
      <c r="A488" s="4">
        <v>119</v>
      </c>
      <c r="B488" s="10" t="s">
        <v>262</v>
      </c>
      <c r="C488" s="10"/>
      <c r="D488" s="10"/>
      <c r="E488" s="10"/>
      <c r="F488" s="10" t="s">
        <v>241</v>
      </c>
      <c r="G488" s="4" t="s">
        <v>50</v>
      </c>
      <c r="H488" s="4">
        <v>2</v>
      </c>
      <c r="I488" s="4">
        <f t="shared" si="25"/>
        <v>4368</v>
      </c>
      <c r="J488" s="4">
        <v>4968</v>
      </c>
      <c r="K488" s="4">
        <f t="shared" si="26"/>
        <v>0</v>
      </c>
      <c r="L488" s="1">
        <v>4968</v>
      </c>
      <c r="M488" s="93">
        <f t="shared" si="24"/>
        <v>0</v>
      </c>
      <c r="N488" s="2">
        <v>600</v>
      </c>
      <c r="O488" s="97">
        <v>600</v>
      </c>
      <c r="P488" s="52">
        <v>0.2</v>
      </c>
    </row>
    <row r="489" spans="1:16" ht="40.950000000000003" customHeight="1" x14ac:dyDescent="0.3">
      <c r="A489" s="4">
        <v>120</v>
      </c>
      <c r="B489" s="10" t="s">
        <v>157</v>
      </c>
      <c r="C489" s="10"/>
      <c r="D489" s="10"/>
      <c r="E489" s="10"/>
      <c r="F489" s="10" t="s">
        <v>241</v>
      </c>
      <c r="G489" s="4" t="s">
        <v>8</v>
      </c>
      <c r="H489" s="4"/>
      <c r="I489" s="4">
        <f t="shared" si="25"/>
        <v>19440</v>
      </c>
      <c r="J489" s="4">
        <v>19440</v>
      </c>
      <c r="K489" s="4">
        <f t="shared" si="26"/>
        <v>0</v>
      </c>
      <c r="L489" s="1">
        <v>19440</v>
      </c>
      <c r="M489" s="93">
        <f t="shared" si="24"/>
        <v>0</v>
      </c>
      <c r="N489" s="2"/>
      <c r="O489" s="97"/>
      <c r="P489" s="52"/>
    </row>
    <row r="490" spans="1:16" ht="40.950000000000003" customHeight="1" x14ac:dyDescent="0.3">
      <c r="A490" s="4">
        <v>121</v>
      </c>
      <c r="B490" s="10" t="s">
        <v>263</v>
      </c>
      <c r="C490" s="10"/>
      <c r="D490" s="10"/>
      <c r="E490" s="10"/>
      <c r="F490" s="10" t="s">
        <v>241</v>
      </c>
      <c r="G490" s="4" t="s">
        <v>70</v>
      </c>
      <c r="H490" s="4">
        <v>13</v>
      </c>
      <c r="I490" s="4">
        <f t="shared" si="25"/>
        <v>52657</v>
      </c>
      <c r="J490" s="4">
        <v>55777</v>
      </c>
      <c r="K490" s="4">
        <f t="shared" si="26"/>
        <v>0</v>
      </c>
      <c r="L490" s="1">
        <v>55777</v>
      </c>
      <c r="M490" s="93">
        <f t="shared" si="24"/>
        <v>0</v>
      </c>
      <c r="N490" s="2">
        <v>3120</v>
      </c>
      <c r="O490" s="97">
        <v>3120</v>
      </c>
      <c r="P490" s="52">
        <v>0.5</v>
      </c>
    </row>
    <row r="491" spans="1:16" ht="40.950000000000003" customHeight="1" x14ac:dyDescent="0.3">
      <c r="A491" s="4">
        <v>121</v>
      </c>
      <c r="B491" s="10" t="s">
        <v>263</v>
      </c>
      <c r="C491" s="10"/>
      <c r="D491" s="10"/>
      <c r="E491" s="10"/>
      <c r="F491" s="10" t="s">
        <v>241</v>
      </c>
      <c r="G491" s="4" t="s">
        <v>114</v>
      </c>
      <c r="H491" s="4">
        <v>3</v>
      </c>
      <c r="I491" s="4">
        <f t="shared" si="25"/>
        <v>4275</v>
      </c>
      <c r="J491" s="4">
        <v>4455</v>
      </c>
      <c r="K491" s="4">
        <f t="shared" si="26"/>
        <v>0</v>
      </c>
      <c r="L491" s="1">
        <v>4455</v>
      </c>
      <c r="M491" s="93">
        <f t="shared" si="24"/>
        <v>0</v>
      </c>
      <c r="N491" s="2">
        <v>180</v>
      </c>
      <c r="O491" s="97">
        <f>60+120</f>
        <v>180</v>
      </c>
      <c r="P491" s="52"/>
    </row>
    <row r="492" spans="1:16" ht="40.950000000000003" customHeight="1" x14ac:dyDescent="0.3">
      <c r="A492" s="4">
        <v>122</v>
      </c>
      <c r="B492" s="10" t="s">
        <v>264</v>
      </c>
      <c r="C492" s="10"/>
      <c r="D492" s="10"/>
      <c r="E492" s="10"/>
      <c r="F492" s="10" t="s">
        <v>241</v>
      </c>
      <c r="G492" s="4" t="s">
        <v>122</v>
      </c>
      <c r="H492" s="4"/>
      <c r="I492" s="4">
        <f t="shared" si="25"/>
        <v>40950</v>
      </c>
      <c r="J492" s="4">
        <v>41040</v>
      </c>
      <c r="K492" s="4">
        <f t="shared" si="26"/>
        <v>0</v>
      </c>
      <c r="L492" s="1">
        <v>41040</v>
      </c>
      <c r="M492" s="93">
        <f t="shared" si="24"/>
        <v>0</v>
      </c>
      <c r="N492" s="2">
        <v>90</v>
      </c>
      <c r="O492" s="97">
        <v>90</v>
      </c>
      <c r="P492" s="52"/>
    </row>
    <row r="493" spans="1:16" ht="40.950000000000003" customHeight="1" x14ac:dyDescent="0.3">
      <c r="A493" s="4">
        <v>122</v>
      </c>
      <c r="B493" s="10" t="s">
        <v>264</v>
      </c>
      <c r="C493" s="10"/>
      <c r="D493" s="10"/>
      <c r="E493" s="10"/>
      <c r="F493" s="10" t="s">
        <v>241</v>
      </c>
      <c r="G493" s="4" t="s">
        <v>143</v>
      </c>
      <c r="H493" s="4"/>
      <c r="I493" s="4">
        <f t="shared" si="25"/>
        <v>4320</v>
      </c>
      <c r="J493" s="4">
        <v>4320</v>
      </c>
      <c r="K493" s="4">
        <f t="shared" si="26"/>
        <v>0</v>
      </c>
      <c r="L493" s="1">
        <v>4320</v>
      </c>
      <c r="M493" s="93">
        <f t="shared" si="24"/>
        <v>0</v>
      </c>
      <c r="N493" s="2"/>
      <c r="O493" s="97"/>
      <c r="P493" s="52"/>
    </row>
    <row r="494" spans="1:16" ht="40.950000000000003" customHeight="1" x14ac:dyDescent="0.3">
      <c r="A494" s="4">
        <v>123</v>
      </c>
      <c r="B494" s="10" t="s">
        <v>265</v>
      </c>
      <c r="C494" s="10" t="s">
        <v>241</v>
      </c>
      <c r="D494" s="4" t="s">
        <v>64</v>
      </c>
      <c r="E494" s="4">
        <v>27</v>
      </c>
      <c r="F494" s="10" t="s">
        <v>1018</v>
      </c>
      <c r="G494" s="4" t="s">
        <v>64</v>
      </c>
      <c r="H494" s="4">
        <v>1</v>
      </c>
      <c r="I494" s="4">
        <f t="shared" si="25"/>
        <v>835</v>
      </c>
      <c r="J494" s="4">
        <v>835</v>
      </c>
      <c r="K494" s="4">
        <f t="shared" si="26"/>
        <v>0</v>
      </c>
      <c r="L494" s="1">
        <v>835</v>
      </c>
      <c r="M494" s="93">
        <f t="shared" si="24"/>
        <v>0</v>
      </c>
      <c r="N494" s="2">
        <v>0</v>
      </c>
      <c r="O494" s="97">
        <v>0</v>
      </c>
      <c r="P494" s="52">
        <v>0.5</v>
      </c>
    </row>
    <row r="495" spans="1:16" ht="40.950000000000003" customHeight="1" x14ac:dyDescent="0.3">
      <c r="A495" s="4">
        <v>123</v>
      </c>
      <c r="B495" s="10" t="s">
        <v>265</v>
      </c>
      <c r="C495" s="10"/>
      <c r="D495" s="4"/>
      <c r="E495" s="4"/>
      <c r="F495" s="10" t="s">
        <v>1669</v>
      </c>
      <c r="G495" s="4" t="s">
        <v>122</v>
      </c>
      <c r="H495" s="4">
        <v>2</v>
      </c>
      <c r="I495" s="4">
        <f t="shared" si="25"/>
        <v>2616</v>
      </c>
      <c r="J495" s="4">
        <v>5216</v>
      </c>
      <c r="K495" s="4">
        <f t="shared" si="26"/>
        <v>0</v>
      </c>
      <c r="L495" s="1">
        <v>5216</v>
      </c>
      <c r="M495" s="93">
        <f t="shared" si="24"/>
        <v>0</v>
      </c>
      <c r="N495" s="2">
        <v>2600</v>
      </c>
      <c r="O495" s="97">
        <v>2600</v>
      </c>
      <c r="P495" s="52">
        <v>7.0000000000000007E-2</v>
      </c>
    </row>
    <row r="496" spans="1:16" ht="40.950000000000003" customHeight="1" x14ac:dyDescent="0.3">
      <c r="A496" s="4">
        <v>123</v>
      </c>
      <c r="B496" s="10" t="s">
        <v>265</v>
      </c>
      <c r="C496" s="10"/>
      <c r="D496" s="4"/>
      <c r="E496" s="4"/>
      <c r="F496" s="10" t="s">
        <v>1018</v>
      </c>
      <c r="G496" s="4" t="s">
        <v>90</v>
      </c>
      <c r="H496" s="4">
        <v>1</v>
      </c>
      <c r="I496" s="4">
        <f t="shared" si="25"/>
        <v>1670</v>
      </c>
      <c r="J496" s="4">
        <v>1670</v>
      </c>
      <c r="K496" s="4">
        <f t="shared" si="26"/>
        <v>0</v>
      </c>
      <c r="L496" s="1">
        <v>1670</v>
      </c>
      <c r="M496" s="93">
        <f t="shared" si="24"/>
        <v>0</v>
      </c>
      <c r="N496" s="2">
        <v>0</v>
      </c>
      <c r="O496" s="97">
        <v>0</v>
      </c>
      <c r="P496" s="52">
        <v>0.5</v>
      </c>
    </row>
    <row r="497" spans="1:16" ht="40.950000000000003" customHeight="1" x14ac:dyDescent="0.3">
      <c r="A497" s="4">
        <v>123</v>
      </c>
      <c r="B497" s="10" t="s">
        <v>265</v>
      </c>
      <c r="C497" s="10"/>
      <c r="D497" s="10"/>
      <c r="E497" s="10"/>
      <c r="F497" s="10" t="s">
        <v>241</v>
      </c>
      <c r="G497" s="4" t="s">
        <v>64</v>
      </c>
      <c r="H497" s="4">
        <v>33</v>
      </c>
      <c r="I497" s="4">
        <f t="shared" si="25"/>
        <v>166229</v>
      </c>
      <c r="J497" s="4">
        <v>168449</v>
      </c>
      <c r="K497" s="4">
        <f t="shared" si="26"/>
        <v>0</v>
      </c>
      <c r="L497" s="1">
        <v>168449</v>
      </c>
      <c r="M497" s="93">
        <f t="shared" si="24"/>
        <v>0</v>
      </c>
      <c r="N497" s="2">
        <v>2220</v>
      </c>
      <c r="O497" s="97">
        <v>2220</v>
      </c>
      <c r="P497" s="52" t="s">
        <v>1148</v>
      </c>
    </row>
    <row r="498" spans="1:16" ht="40.950000000000003" customHeight="1" x14ac:dyDescent="0.3">
      <c r="A498" s="4">
        <v>124</v>
      </c>
      <c r="B498" s="10" t="s">
        <v>297</v>
      </c>
      <c r="C498" s="10"/>
      <c r="D498" s="10"/>
      <c r="E498" s="10"/>
      <c r="F498" s="10" t="s">
        <v>241</v>
      </c>
      <c r="G498" s="4" t="s">
        <v>49</v>
      </c>
      <c r="H498" s="4">
        <v>36</v>
      </c>
      <c r="I498" s="4">
        <f t="shared" si="25"/>
        <v>241809</v>
      </c>
      <c r="J498" s="4">
        <v>253055</v>
      </c>
      <c r="K498" s="4">
        <f t="shared" si="26"/>
        <v>0</v>
      </c>
      <c r="L498" s="1">
        <v>253055</v>
      </c>
      <c r="M498" s="93">
        <f t="shared" si="24"/>
        <v>0</v>
      </c>
      <c r="N498" s="2">
        <v>11246</v>
      </c>
      <c r="O498" s="97">
        <v>11246</v>
      </c>
      <c r="P498" s="52">
        <v>0.9</v>
      </c>
    </row>
    <row r="499" spans="1:16" ht="40.950000000000003" customHeight="1" x14ac:dyDescent="0.3">
      <c r="A499" s="4">
        <v>124</v>
      </c>
      <c r="B499" s="10" t="s">
        <v>297</v>
      </c>
      <c r="C499" s="10"/>
      <c r="D499" s="10"/>
      <c r="E499" s="10"/>
      <c r="F499" s="10" t="s">
        <v>241</v>
      </c>
      <c r="G499" s="4" t="s">
        <v>368</v>
      </c>
      <c r="H499" s="4">
        <v>4</v>
      </c>
      <c r="I499" s="4">
        <f t="shared" si="25"/>
        <v>1658</v>
      </c>
      <c r="J499" s="4">
        <v>2018</v>
      </c>
      <c r="K499" s="4">
        <f t="shared" si="26"/>
        <v>0</v>
      </c>
      <c r="L499" s="1">
        <v>2018</v>
      </c>
      <c r="M499" s="93">
        <f t="shared" si="24"/>
        <v>0</v>
      </c>
      <c r="N499" s="2">
        <v>360</v>
      </c>
      <c r="O499" s="97">
        <v>360</v>
      </c>
      <c r="P499" s="52">
        <v>0.85</v>
      </c>
    </row>
    <row r="500" spans="1:16" ht="40.950000000000003" customHeight="1" x14ac:dyDescent="0.3">
      <c r="A500" s="4">
        <v>124</v>
      </c>
      <c r="B500" s="10" t="s">
        <v>297</v>
      </c>
      <c r="C500" s="10"/>
      <c r="D500" s="10"/>
      <c r="E500" s="10"/>
      <c r="F500" s="10" t="s">
        <v>241</v>
      </c>
      <c r="G500" s="4" t="s">
        <v>391</v>
      </c>
      <c r="H500" s="4">
        <v>3</v>
      </c>
      <c r="I500" s="4">
        <f t="shared" si="25"/>
        <v>2018</v>
      </c>
      <c r="J500" s="4">
        <v>2018</v>
      </c>
      <c r="K500" s="4">
        <f t="shared" si="26"/>
        <v>0</v>
      </c>
      <c r="L500" s="1">
        <v>2018</v>
      </c>
      <c r="M500" s="93">
        <f t="shared" si="24"/>
        <v>0</v>
      </c>
      <c r="N500" s="2"/>
      <c r="O500" s="97"/>
      <c r="P500" s="52">
        <v>0.85</v>
      </c>
    </row>
    <row r="501" spans="1:16" ht="40.950000000000003" customHeight="1" x14ac:dyDescent="0.3">
      <c r="A501" s="4">
        <v>124</v>
      </c>
      <c r="B501" s="10" t="s">
        <v>297</v>
      </c>
      <c r="C501" s="10"/>
      <c r="D501" s="10"/>
      <c r="E501" s="10"/>
      <c r="F501" s="10" t="s">
        <v>241</v>
      </c>
      <c r="G501" s="4" t="s">
        <v>474</v>
      </c>
      <c r="H501" s="4">
        <v>4</v>
      </c>
      <c r="I501" s="4">
        <f t="shared" si="25"/>
        <v>2758</v>
      </c>
      <c r="J501" s="4">
        <v>3328</v>
      </c>
      <c r="K501" s="4">
        <f>L501-J501</f>
        <v>0</v>
      </c>
      <c r="L501" s="1">
        <v>3328</v>
      </c>
      <c r="M501" s="93">
        <f t="shared" si="24"/>
        <v>0</v>
      </c>
      <c r="N501" s="2">
        <v>570</v>
      </c>
      <c r="O501" s="97">
        <v>570</v>
      </c>
      <c r="P501" s="52">
        <v>0.85</v>
      </c>
    </row>
    <row r="502" spans="1:16" ht="40.950000000000003" customHeight="1" x14ac:dyDescent="0.3">
      <c r="A502" s="4">
        <v>124</v>
      </c>
      <c r="B502" s="10" t="s">
        <v>297</v>
      </c>
      <c r="C502" s="10"/>
      <c r="D502" s="10"/>
      <c r="E502" s="10"/>
      <c r="F502" s="10" t="s">
        <v>241</v>
      </c>
      <c r="G502" s="4" t="s">
        <v>381</v>
      </c>
      <c r="H502" s="4">
        <v>4</v>
      </c>
      <c r="I502" s="4">
        <f t="shared" si="25"/>
        <v>72</v>
      </c>
      <c r="J502" s="4">
        <v>432</v>
      </c>
      <c r="K502" s="4">
        <f t="shared" si="26"/>
        <v>0</v>
      </c>
      <c r="L502" s="1">
        <v>432</v>
      </c>
      <c r="M502" s="93">
        <f t="shared" si="24"/>
        <v>0</v>
      </c>
      <c r="N502" s="2">
        <v>360</v>
      </c>
      <c r="O502" s="97">
        <v>360</v>
      </c>
      <c r="P502" s="52">
        <v>0.85</v>
      </c>
    </row>
    <row r="503" spans="1:16" ht="40.950000000000003" customHeight="1" x14ac:dyDescent="0.3">
      <c r="A503" s="4">
        <v>125</v>
      </c>
      <c r="B503" s="10" t="s">
        <v>349</v>
      </c>
      <c r="C503" s="10"/>
      <c r="D503" s="10"/>
      <c r="E503" s="10"/>
      <c r="F503" s="10" t="s">
        <v>241</v>
      </c>
      <c r="G503" s="4" t="s">
        <v>11</v>
      </c>
      <c r="H503" s="4">
        <v>29</v>
      </c>
      <c r="I503" s="4">
        <f t="shared" si="25"/>
        <v>129681</v>
      </c>
      <c r="J503" s="4">
        <v>133683</v>
      </c>
      <c r="K503" s="4">
        <f t="shared" si="26"/>
        <v>0</v>
      </c>
      <c r="L503" s="1">
        <v>133683</v>
      </c>
      <c r="M503" s="93">
        <f t="shared" si="24"/>
        <v>0</v>
      </c>
      <c r="N503" s="2">
        <v>4002</v>
      </c>
      <c r="O503" s="97">
        <v>4002</v>
      </c>
      <c r="P503" s="52" t="s">
        <v>1502</v>
      </c>
    </row>
    <row r="504" spans="1:16" ht="40.950000000000003" customHeight="1" x14ac:dyDescent="0.3">
      <c r="A504" s="4">
        <v>125</v>
      </c>
      <c r="B504" s="10" t="s">
        <v>349</v>
      </c>
      <c r="C504" s="10"/>
      <c r="D504" s="10"/>
      <c r="E504" s="10"/>
      <c r="F504" s="10" t="s">
        <v>241</v>
      </c>
      <c r="G504" s="4" t="s">
        <v>70</v>
      </c>
      <c r="H504" s="4">
        <v>4</v>
      </c>
      <c r="I504" s="4">
        <f t="shared" si="25"/>
        <v>13840</v>
      </c>
      <c r="J504" s="4">
        <v>13840</v>
      </c>
      <c r="K504" s="4">
        <f t="shared" si="26"/>
        <v>0</v>
      </c>
      <c r="L504" s="1">
        <v>13840</v>
      </c>
      <c r="M504" s="93">
        <f t="shared" si="24"/>
        <v>0</v>
      </c>
      <c r="N504" s="2">
        <v>0</v>
      </c>
      <c r="O504" s="97">
        <v>0</v>
      </c>
      <c r="P504" s="52">
        <v>0.32</v>
      </c>
    </row>
    <row r="505" spans="1:16" ht="40.950000000000003" customHeight="1" x14ac:dyDescent="0.3">
      <c r="A505" s="4">
        <v>125</v>
      </c>
      <c r="B505" s="10" t="s">
        <v>349</v>
      </c>
      <c r="C505" s="10"/>
      <c r="D505" s="10"/>
      <c r="E505" s="10"/>
      <c r="F505" s="10" t="s">
        <v>241</v>
      </c>
      <c r="G505" s="4" t="s">
        <v>48</v>
      </c>
      <c r="H505" s="4">
        <v>10</v>
      </c>
      <c r="I505" s="4">
        <f t="shared" si="25"/>
        <v>74923</v>
      </c>
      <c r="J505" s="4">
        <v>78363</v>
      </c>
      <c r="K505" s="4">
        <f>L505-J505</f>
        <v>0</v>
      </c>
      <c r="L505" s="1">
        <v>78363</v>
      </c>
      <c r="M505" s="93">
        <f t="shared" si="24"/>
        <v>0</v>
      </c>
      <c r="N505" s="2">
        <v>3440</v>
      </c>
      <c r="O505" s="97">
        <v>3440</v>
      </c>
      <c r="P505" s="52" t="s">
        <v>1509</v>
      </c>
    </row>
    <row r="506" spans="1:16" ht="40.950000000000003" customHeight="1" x14ac:dyDescent="0.3">
      <c r="A506" s="4">
        <v>125</v>
      </c>
      <c r="B506" s="10" t="s">
        <v>349</v>
      </c>
      <c r="C506" s="10"/>
      <c r="D506" s="10"/>
      <c r="E506" s="10"/>
      <c r="F506" s="10" t="s">
        <v>241</v>
      </c>
      <c r="G506" s="4" t="s">
        <v>49</v>
      </c>
      <c r="H506" s="4">
        <v>10</v>
      </c>
      <c r="I506" s="4">
        <f t="shared" si="25"/>
        <v>46391</v>
      </c>
      <c r="J506" s="4">
        <v>46781</v>
      </c>
      <c r="K506" s="4">
        <f>L506-J506</f>
        <v>0</v>
      </c>
      <c r="L506" s="1">
        <v>46781</v>
      </c>
      <c r="M506" s="93">
        <f t="shared" si="24"/>
        <v>0</v>
      </c>
      <c r="N506" s="2">
        <v>390</v>
      </c>
      <c r="O506" s="97">
        <v>390</v>
      </c>
      <c r="P506" s="52" t="s">
        <v>1508</v>
      </c>
    </row>
    <row r="507" spans="1:16" ht="40.950000000000003" customHeight="1" x14ac:dyDescent="0.3">
      <c r="A507" s="4">
        <v>125</v>
      </c>
      <c r="B507" s="10" t="s">
        <v>349</v>
      </c>
      <c r="C507" s="10"/>
      <c r="D507" s="10"/>
      <c r="E507" s="10"/>
      <c r="F507" s="10" t="s">
        <v>241</v>
      </c>
      <c r="G507" s="4" t="s">
        <v>114</v>
      </c>
      <c r="H507" s="4">
        <v>1</v>
      </c>
      <c r="I507" s="4">
        <f t="shared" si="25"/>
        <v>4129</v>
      </c>
      <c r="J507" s="4">
        <v>4129</v>
      </c>
      <c r="K507" s="4">
        <f>L507-J507</f>
        <v>0</v>
      </c>
      <c r="L507" s="1">
        <v>4129</v>
      </c>
      <c r="M507" s="93">
        <f t="shared" si="24"/>
        <v>0</v>
      </c>
      <c r="N507" s="2">
        <v>0</v>
      </c>
      <c r="O507" s="97">
        <v>0</v>
      </c>
      <c r="P507" s="52"/>
    </row>
    <row r="508" spans="1:16" ht="40.950000000000003" customHeight="1" x14ac:dyDescent="0.3">
      <c r="A508" s="4">
        <v>125</v>
      </c>
      <c r="B508" s="10" t="s">
        <v>349</v>
      </c>
      <c r="C508" s="10"/>
      <c r="D508" s="10"/>
      <c r="E508" s="10"/>
      <c r="F508" s="10" t="s">
        <v>241</v>
      </c>
      <c r="G508" s="4" t="s">
        <v>51</v>
      </c>
      <c r="H508" s="4">
        <v>11</v>
      </c>
      <c r="I508" s="4">
        <f t="shared" si="25"/>
        <v>27120</v>
      </c>
      <c r="J508" s="4">
        <v>27495</v>
      </c>
      <c r="K508" s="4">
        <f t="shared" si="26"/>
        <v>0</v>
      </c>
      <c r="L508" s="1">
        <v>27495</v>
      </c>
      <c r="M508" s="93">
        <f t="shared" si="24"/>
        <v>0</v>
      </c>
      <c r="N508" s="2">
        <v>375</v>
      </c>
      <c r="O508" s="97">
        <v>375</v>
      </c>
      <c r="P508" s="52" t="s">
        <v>1386</v>
      </c>
    </row>
    <row r="509" spans="1:16" ht="40.950000000000003" customHeight="1" x14ac:dyDescent="0.3">
      <c r="A509" s="4">
        <v>126</v>
      </c>
      <c r="B509" s="10" t="s">
        <v>378</v>
      </c>
      <c r="C509" s="10"/>
      <c r="D509" s="10"/>
      <c r="E509" s="10"/>
      <c r="F509" s="10" t="s">
        <v>241</v>
      </c>
      <c r="G509" s="4" t="s">
        <v>114</v>
      </c>
      <c r="H509" s="4">
        <v>27</v>
      </c>
      <c r="I509" s="4">
        <f t="shared" si="25"/>
        <v>122162</v>
      </c>
      <c r="J509" s="4">
        <v>129857</v>
      </c>
      <c r="K509" s="4">
        <f t="shared" si="26"/>
        <v>0</v>
      </c>
      <c r="L509" s="1">
        <v>129857</v>
      </c>
      <c r="M509" s="93">
        <f t="shared" si="24"/>
        <v>0</v>
      </c>
      <c r="N509" s="2">
        <v>7695</v>
      </c>
      <c r="O509" s="97">
        <v>7695</v>
      </c>
      <c r="P509" s="52" t="s">
        <v>1510</v>
      </c>
    </row>
    <row r="510" spans="1:16" ht="40.950000000000003" customHeight="1" x14ac:dyDescent="0.3">
      <c r="A510" s="4">
        <v>126</v>
      </c>
      <c r="B510" s="10" t="s">
        <v>378</v>
      </c>
      <c r="C510" s="10"/>
      <c r="D510" s="10"/>
      <c r="E510" s="10"/>
      <c r="F510" s="10" t="s">
        <v>241</v>
      </c>
      <c r="G510" s="4" t="s">
        <v>280</v>
      </c>
      <c r="H510" s="4"/>
      <c r="I510" s="4">
        <f t="shared" si="25"/>
        <v>5952</v>
      </c>
      <c r="J510" s="4">
        <v>6072</v>
      </c>
      <c r="K510" s="4">
        <f t="shared" si="26"/>
        <v>0</v>
      </c>
      <c r="L510" s="1">
        <v>6072</v>
      </c>
      <c r="M510" s="93">
        <f t="shared" si="24"/>
        <v>0</v>
      </c>
      <c r="N510" s="2">
        <v>120</v>
      </c>
      <c r="O510" s="97">
        <v>120</v>
      </c>
      <c r="P510" s="52"/>
    </row>
    <row r="511" spans="1:16" ht="40.950000000000003" customHeight="1" x14ac:dyDescent="0.3">
      <c r="A511" s="4">
        <v>127</v>
      </c>
      <c r="B511" s="10" t="s">
        <v>379</v>
      </c>
      <c r="C511" s="10"/>
      <c r="D511" s="10"/>
      <c r="E511" s="10"/>
      <c r="F511" s="10" t="s">
        <v>241</v>
      </c>
      <c r="G511" s="4" t="s">
        <v>39</v>
      </c>
      <c r="H511" s="4">
        <v>32</v>
      </c>
      <c r="I511" s="4">
        <f t="shared" si="25"/>
        <v>265834</v>
      </c>
      <c r="J511" s="4">
        <v>275599</v>
      </c>
      <c r="K511" s="4">
        <f t="shared" si="26"/>
        <v>0</v>
      </c>
      <c r="L511" s="1">
        <v>275599</v>
      </c>
      <c r="M511" s="93">
        <f t="shared" si="24"/>
        <v>0</v>
      </c>
      <c r="N511" s="2">
        <v>9765</v>
      </c>
      <c r="O511" s="97">
        <v>9765</v>
      </c>
      <c r="P511" s="52" t="s">
        <v>1504</v>
      </c>
    </row>
    <row r="512" spans="1:16" ht="40.950000000000003" customHeight="1" x14ac:dyDescent="0.3">
      <c r="A512" s="4">
        <v>127</v>
      </c>
      <c r="B512" s="10" t="s">
        <v>379</v>
      </c>
      <c r="C512" s="10"/>
      <c r="D512" s="10"/>
      <c r="E512" s="10"/>
      <c r="F512" s="10" t="s">
        <v>241</v>
      </c>
      <c r="G512" s="4" t="s">
        <v>410</v>
      </c>
      <c r="H512" s="4">
        <v>20</v>
      </c>
      <c r="I512" s="4">
        <f t="shared" si="25"/>
        <v>112982</v>
      </c>
      <c r="J512" s="4">
        <v>116117</v>
      </c>
      <c r="K512" s="4">
        <f t="shared" si="26"/>
        <v>0</v>
      </c>
      <c r="L512" s="1">
        <v>116117</v>
      </c>
      <c r="M512" s="93">
        <f t="shared" si="24"/>
        <v>0</v>
      </c>
      <c r="N512" s="2">
        <v>3135</v>
      </c>
      <c r="O512" s="97">
        <v>3135</v>
      </c>
      <c r="P512" s="52" t="s">
        <v>1510</v>
      </c>
    </row>
    <row r="513" spans="1:16" ht="40.950000000000003" customHeight="1" x14ac:dyDescent="0.3">
      <c r="A513" s="4">
        <v>127</v>
      </c>
      <c r="B513" s="10" t="s">
        <v>379</v>
      </c>
      <c r="C513" s="10" t="s">
        <v>1018</v>
      </c>
      <c r="D513" s="10" t="s">
        <v>128</v>
      </c>
      <c r="E513" s="10">
        <v>1</v>
      </c>
      <c r="F513" s="10" t="s">
        <v>1018</v>
      </c>
      <c r="G513" s="4" t="s">
        <v>39</v>
      </c>
      <c r="H513" s="4">
        <v>1</v>
      </c>
      <c r="I513" s="4">
        <f t="shared" si="25"/>
        <v>1670</v>
      </c>
      <c r="J513" s="4">
        <v>1670</v>
      </c>
      <c r="K513" s="4">
        <f t="shared" si="26"/>
        <v>0</v>
      </c>
      <c r="L513" s="1">
        <v>1670</v>
      </c>
      <c r="M513" s="93">
        <f t="shared" si="24"/>
        <v>0</v>
      </c>
      <c r="N513" s="2">
        <v>0</v>
      </c>
      <c r="O513" s="97">
        <v>0</v>
      </c>
      <c r="P513" s="52">
        <v>0.5</v>
      </c>
    </row>
    <row r="514" spans="1:16" ht="40.950000000000003" customHeight="1" x14ac:dyDescent="0.3">
      <c r="A514" s="4">
        <v>127</v>
      </c>
      <c r="B514" s="10" t="s">
        <v>379</v>
      </c>
      <c r="C514" s="10"/>
      <c r="D514" s="10"/>
      <c r="E514" s="10"/>
      <c r="F514" s="10" t="s">
        <v>1018</v>
      </c>
      <c r="G514" s="4" t="s">
        <v>128</v>
      </c>
      <c r="H514" s="4">
        <v>1</v>
      </c>
      <c r="I514" s="4">
        <v>0</v>
      </c>
      <c r="J514" s="4">
        <v>835</v>
      </c>
      <c r="K514" s="4">
        <f t="shared" si="26"/>
        <v>0</v>
      </c>
      <c r="L514" s="1">
        <v>835</v>
      </c>
      <c r="M514" s="93">
        <f t="shared" si="24"/>
        <v>0</v>
      </c>
      <c r="N514" s="2">
        <v>0</v>
      </c>
      <c r="O514" s="97">
        <v>0</v>
      </c>
      <c r="P514" s="52">
        <v>0.5</v>
      </c>
    </row>
    <row r="515" spans="1:16" ht="40.950000000000003" customHeight="1" x14ac:dyDescent="0.3">
      <c r="A515" s="4">
        <v>127</v>
      </c>
      <c r="B515" s="10" t="s">
        <v>379</v>
      </c>
      <c r="C515" s="10"/>
      <c r="D515" s="10"/>
      <c r="E515" s="10"/>
      <c r="F515" s="10" t="s">
        <v>1018</v>
      </c>
      <c r="G515" s="4" t="s">
        <v>64</v>
      </c>
      <c r="H515" s="4">
        <v>1</v>
      </c>
      <c r="I515" s="4">
        <v>0</v>
      </c>
      <c r="J515" s="4">
        <v>835</v>
      </c>
      <c r="K515" s="4">
        <f t="shared" si="26"/>
        <v>0</v>
      </c>
      <c r="L515" s="1">
        <v>835</v>
      </c>
      <c r="M515" s="93">
        <f t="shared" si="24"/>
        <v>0</v>
      </c>
      <c r="N515" s="2">
        <v>0</v>
      </c>
      <c r="O515" s="97">
        <v>0</v>
      </c>
      <c r="P515" s="52">
        <v>0.5</v>
      </c>
    </row>
    <row r="516" spans="1:16" ht="40.950000000000003" customHeight="1" x14ac:dyDescent="0.3">
      <c r="A516" s="4">
        <v>127</v>
      </c>
      <c r="B516" s="10" t="s">
        <v>379</v>
      </c>
      <c r="C516" s="10"/>
      <c r="D516" s="10"/>
      <c r="E516" s="10"/>
      <c r="F516" s="10" t="s">
        <v>241</v>
      </c>
      <c r="G516" s="4" t="s">
        <v>398</v>
      </c>
      <c r="H516" s="4">
        <v>9</v>
      </c>
      <c r="I516" s="4">
        <f t="shared" si="25"/>
        <v>34260</v>
      </c>
      <c r="J516" s="4">
        <v>34635</v>
      </c>
      <c r="K516" s="4">
        <f t="shared" si="26"/>
        <v>0</v>
      </c>
      <c r="L516" s="1">
        <v>34635</v>
      </c>
      <c r="M516" s="93">
        <f t="shared" si="24"/>
        <v>0</v>
      </c>
      <c r="N516" s="2">
        <v>375</v>
      </c>
      <c r="O516" s="97">
        <v>375</v>
      </c>
      <c r="P516" s="62" t="s">
        <v>1511</v>
      </c>
    </row>
    <row r="517" spans="1:16" ht="40.950000000000003" customHeight="1" x14ac:dyDescent="0.3">
      <c r="A517" s="4">
        <v>128</v>
      </c>
      <c r="B517" s="10" t="s">
        <v>415</v>
      </c>
      <c r="C517" s="10"/>
      <c r="D517" s="10"/>
      <c r="E517" s="10"/>
      <c r="F517" s="10" t="s">
        <v>241</v>
      </c>
      <c r="G517" s="4" t="s">
        <v>143</v>
      </c>
      <c r="H517" s="4">
        <v>34</v>
      </c>
      <c r="I517" s="4">
        <f t="shared" si="25"/>
        <v>258192</v>
      </c>
      <c r="J517" s="4">
        <v>312726</v>
      </c>
      <c r="K517" s="4">
        <f t="shared" si="26"/>
        <v>0</v>
      </c>
      <c r="L517" s="1">
        <v>312726</v>
      </c>
      <c r="M517" s="93">
        <f t="shared" si="24"/>
        <v>0</v>
      </c>
      <c r="N517" s="2">
        <v>54534</v>
      </c>
      <c r="O517" s="97">
        <v>54534</v>
      </c>
      <c r="P517" s="52" t="s">
        <v>1505</v>
      </c>
    </row>
    <row r="518" spans="1:16" ht="40.950000000000003" customHeight="1" x14ac:dyDescent="0.3">
      <c r="A518" s="4">
        <v>128</v>
      </c>
      <c r="B518" s="10" t="s">
        <v>415</v>
      </c>
      <c r="C518" s="10"/>
      <c r="D518" s="10"/>
      <c r="E518" s="10"/>
      <c r="F518" s="10" t="s">
        <v>1290</v>
      </c>
      <c r="G518" s="4" t="s">
        <v>143</v>
      </c>
      <c r="H518" s="4">
        <v>2</v>
      </c>
      <c r="I518" s="4">
        <f t="shared" si="25"/>
        <v>1884</v>
      </c>
      <c r="J518" s="4">
        <v>1884</v>
      </c>
      <c r="K518" s="4">
        <f t="shared" si="26"/>
        <v>0</v>
      </c>
      <c r="L518" s="1">
        <v>1884</v>
      </c>
      <c r="M518" s="93">
        <f t="shared" si="24"/>
        <v>0</v>
      </c>
      <c r="N518" s="2">
        <v>0</v>
      </c>
      <c r="O518" s="97">
        <v>0</v>
      </c>
      <c r="P518" s="52">
        <v>0.5</v>
      </c>
    </row>
    <row r="519" spans="1:16" ht="40.950000000000003" customHeight="1" x14ac:dyDescent="0.3">
      <c r="A519" s="4">
        <v>128</v>
      </c>
      <c r="B519" s="10" t="s">
        <v>415</v>
      </c>
      <c r="C519" s="10"/>
      <c r="D519" s="10"/>
      <c r="E519" s="10"/>
      <c r="F519" s="10" t="s">
        <v>1290</v>
      </c>
      <c r="G519" s="4" t="s">
        <v>143</v>
      </c>
      <c r="H519" s="4">
        <v>1</v>
      </c>
      <c r="I519" s="4">
        <f t="shared" si="25"/>
        <v>607</v>
      </c>
      <c r="J519" s="4">
        <v>607</v>
      </c>
      <c r="K519" s="4">
        <f t="shared" si="26"/>
        <v>0</v>
      </c>
      <c r="L519" s="1">
        <v>607</v>
      </c>
      <c r="M519" s="93">
        <f t="shared" si="24"/>
        <v>0</v>
      </c>
      <c r="N519" s="2">
        <v>0</v>
      </c>
      <c r="O519" s="97">
        <v>0</v>
      </c>
      <c r="P519" s="52">
        <v>0.5</v>
      </c>
    </row>
    <row r="520" spans="1:16" ht="40.950000000000003" customHeight="1" x14ac:dyDescent="0.3">
      <c r="A520" s="4">
        <v>128</v>
      </c>
      <c r="B520" s="10" t="s">
        <v>415</v>
      </c>
      <c r="C520" s="10"/>
      <c r="D520" s="10"/>
      <c r="E520" s="10"/>
      <c r="F520" s="10" t="s">
        <v>241</v>
      </c>
      <c r="G520" s="4" t="s">
        <v>51</v>
      </c>
      <c r="H520" s="4">
        <v>18</v>
      </c>
      <c r="I520" s="4">
        <f t="shared" si="25"/>
        <v>88123</v>
      </c>
      <c r="J520" s="4">
        <v>103258</v>
      </c>
      <c r="K520" s="4">
        <f t="shared" si="26"/>
        <v>0</v>
      </c>
      <c r="L520" s="1">
        <v>103258</v>
      </c>
      <c r="M520" s="93">
        <f t="shared" si="24"/>
        <v>0</v>
      </c>
      <c r="N520" s="2">
        <v>15135</v>
      </c>
      <c r="O520" s="97">
        <v>15135</v>
      </c>
      <c r="P520" s="52" t="s">
        <v>1147</v>
      </c>
    </row>
    <row r="521" spans="1:16" ht="40.950000000000003" customHeight="1" x14ac:dyDescent="0.3">
      <c r="A521" s="4">
        <v>129</v>
      </c>
      <c r="B521" s="10" t="s">
        <v>418</v>
      </c>
      <c r="C521" s="10"/>
      <c r="D521" s="10"/>
      <c r="E521" s="10"/>
      <c r="F521" s="10" t="s">
        <v>241</v>
      </c>
      <c r="G521" s="4" t="s">
        <v>198</v>
      </c>
      <c r="H521" s="4"/>
      <c r="I521" s="4">
        <f t="shared" si="25"/>
        <v>9000</v>
      </c>
      <c r="J521" s="4">
        <v>9000</v>
      </c>
      <c r="K521" s="4">
        <f t="shared" si="26"/>
        <v>0</v>
      </c>
      <c r="L521" s="1">
        <v>9000</v>
      </c>
      <c r="M521" s="93">
        <f t="shared" si="24"/>
        <v>0</v>
      </c>
      <c r="N521" s="2"/>
      <c r="O521" s="97"/>
      <c r="P521" s="52"/>
    </row>
    <row r="522" spans="1:16" ht="40.950000000000003" customHeight="1" x14ac:dyDescent="0.3">
      <c r="A522" s="4">
        <v>130</v>
      </c>
      <c r="B522" s="10" t="s">
        <v>419</v>
      </c>
      <c r="C522" s="10"/>
      <c r="D522" s="10"/>
      <c r="E522" s="10"/>
      <c r="F522" s="10" t="s">
        <v>241</v>
      </c>
      <c r="G522" s="4" t="s">
        <v>128</v>
      </c>
      <c r="H522" s="4">
        <v>6</v>
      </c>
      <c r="I522" s="4">
        <f t="shared" si="25"/>
        <v>15461</v>
      </c>
      <c r="J522" s="4">
        <v>15621</v>
      </c>
      <c r="K522" s="4">
        <f t="shared" si="26"/>
        <v>0</v>
      </c>
      <c r="L522" s="1">
        <v>15621</v>
      </c>
      <c r="M522" s="93">
        <f t="shared" si="24"/>
        <v>0</v>
      </c>
      <c r="N522" s="2">
        <v>160</v>
      </c>
      <c r="O522" s="97">
        <f>160</f>
        <v>160</v>
      </c>
      <c r="P522" s="52">
        <v>0.20250000000000001</v>
      </c>
    </row>
    <row r="523" spans="1:16" ht="40.950000000000003" customHeight="1" x14ac:dyDescent="0.3">
      <c r="A523" s="4">
        <v>130</v>
      </c>
      <c r="B523" s="10" t="s">
        <v>419</v>
      </c>
      <c r="C523" s="10"/>
      <c r="D523" s="10"/>
      <c r="E523" s="10"/>
      <c r="F523" s="10" t="s">
        <v>241</v>
      </c>
      <c r="G523" s="4" t="s">
        <v>11</v>
      </c>
      <c r="H523" s="4"/>
      <c r="I523" s="4">
        <f t="shared" si="25"/>
        <v>1656</v>
      </c>
      <c r="J523" s="4">
        <v>1656</v>
      </c>
      <c r="K523" s="4">
        <f t="shared" si="26"/>
        <v>0</v>
      </c>
      <c r="L523" s="1">
        <v>1656</v>
      </c>
      <c r="M523" s="93">
        <f t="shared" si="24"/>
        <v>0</v>
      </c>
      <c r="N523" s="2"/>
      <c r="O523" s="97"/>
      <c r="P523" s="52"/>
    </row>
    <row r="524" spans="1:16" ht="40.950000000000003" customHeight="1" x14ac:dyDescent="0.3">
      <c r="A524" s="4">
        <v>130</v>
      </c>
      <c r="B524" s="10" t="s">
        <v>419</v>
      </c>
      <c r="C524" s="10"/>
      <c r="D524" s="10"/>
      <c r="E524" s="10"/>
      <c r="F524" s="10" t="s">
        <v>241</v>
      </c>
      <c r="G524" s="4" t="s">
        <v>122</v>
      </c>
      <c r="H524" s="4">
        <v>27</v>
      </c>
      <c r="I524" s="4">
        <f t="shared" si="25"/>
        <v>217385</v>
      </c>
      <c r="J524" s="4">
        <v>247810</v>
      </c>
      <c r="K524" s="4">
        <f t="shared" si="26"/>
        <v>0</v>
      </c>
      <c r="L524" s="1">
        <v>247810</v>
      </c>
      <c r="M524" s="93">
        <f t="shared" si="24"/>
        <v>0</v>
      </c>
      <c r="N524" s="2">
        <v>30425</v>
      </c>
      <c r="O524" s="97">
        <v>30425</v>
      </c>
      <c r="P524" s="52" t="s">
        <v>1507</v>
      </c>
    </row>
    <row r="525" spans="1:16" ht="40.950000000000003" customHeight="1" x14ac:dyDescent="0.3">
      <c r="A525" s="4">
        <v>131</v>
      </c>
      <c r="B525" s="10" t="s">
        <v>422</v>
      </c>
      <c r="C525" s="10"/>
      <c r="D525" s="10"/>
      <c r="E525" s="10"/>
      <c r="F525" s="10" t="s">
        <v>241</v>
      </c>
      <c r="G525" s="4" t="s">
        <v>181</v>
      </c>
      <c r="H525" s="4">
        <v>12</v>
      </c>
      <c r="I525" s="4">
        <f t="shared" si="25"/>
        <v>104562</v>
      </c>
      <c r="J525" s="4">
        <v>121982</v>
      </c>
      <c r="K525" s="4">
        <f t="shared" si="26"/>
        <v>0</v>
      </c>
      <c r="L525" s="1">
        <v>121982</v>
      </c>
      <c r="M525" s="93">
        <f t="shared" si="24"/>
        <v>0</v>
      </c>
      <c r="N525" s="2">
        <v>17420</v>
      </c>
      <c r="O525" s="97">
        <v>17420</v>
      </c>
      <c r="P525" s="52" t="s">
        <v>1144</v>
      </c>
    </row>
    <row r="526" spans="1:16" ht="40.950000000000003" customHeight="1" x14ac:dyDescent="0.3">
      <c r="A526" s="4">
        <v>131</v>
      </c>
      <c r="B526" s="10" t="s">
        <v>422</v>
      </c>
      <c r="C526" s="10"/>
      <c r="D526" s="10"/>
      <c r="E526" s="10"/>
      <c r="F526" s="10" t="s">
        <v>241</v>
      </c>
      <c r="G526" s="4" t="s">
        <v>198</v>
      </c>
      <c r="H526" s="4">
        <v>7</v>
      </c>
      <c r="I526" s="4">
        <f t="shared" si="25"/>
        <v>18682</v>
      </c>
      <c r="J526" s="4">
        <v>20382</v>
      </c>
      <c r="K526" s="4">
        <f t="shared" si="26"/>
        <v>0</v>
      </c>
      <c r="L526" s="1">
        <v>20382</v>
      </c>
      <c r="M526" s="93">
        <f t="shared" si="24"/>
        <v>0</v>
      </c>
      <c r="N526" s="2">
        <v>1700</v>
      </c>
      <c r="O526" s="97">
        <f>120+180+1400</f>
        <v>1700</v>
      </c>
      <c r="P526" s="52"/>
    </row>
    <row r="527" spans="1:16" ht="40.950000000000003" customHeight="1" x14ac:dyDescent="0.3">
      <c r="A527" s="4">
        <v>131</v>
      </c>
      <c r="B527" s="10" t="s">
        <v>422</v>
      </c>
      <c r="C527" s="10"/>
      <c r="D527" s="10"/>
      <c r="E527" s="10"/>
      <c r="F527" s="10" t="s">
        <v>241</v>
      </c>
      <c r="G527" s="4" t="s">
        <v>381</v>
      </c>
      <c r="H527" s="4">
        <v>5</v>
      </c>
      <c r="I527" s="4">
        <f t="shared" si="25"/>
        <v>2175</v>
      </c>
      <c r="J527" s="4">
        <v>2295</v>
      </c>
      <c r="K527" s="4">
        <f t="shared" si="26"/>
        <v>0</v>
      </c>
      <c r="L527" s="1">
        <v>2295</v>
      </c>
      <c r="M527" s="93">
        <f t="shared" si="24"/>
        <v>0</v>
      </c>
      <c r="N527" s="2">
        <v>120</v>
      </c>
      <c r="O527" s="97">
        <v>120</v>
      </c>
      <c r="P527" s="52"/>
    </row>
    <row r="528" spans="1:16" ht="40.950000000000003" customHeight="1" x14ac:dyDescent="0.3">
      <c r="A528" s="4">
        <v>131</v>
      </c>
      <c r="B528" s="10" t="s">
        <v>422</v>
      </c>
      <c r="C528" s="10"/>
      <c r="D528" s="10"/>
      <c r="E528" s="10"/>
      <c r="F528" s="10" t="s">
        <v>241</v>
      </c>
      <c r="G528" s="4" t="s">
        <v>391</v>
      </c>
      <c r="H528" s="4">
        <v>5</v>
      </c>
      <c r="I528" s="4">
        <f t="shared" si="25"/>
        <v>2079</v>
      </c>
      <c r="J528" s="4">
        <v>2439</v>
      </c>
      <c r="K528" s="4">
        <f t="shared" si="26"/>
        <v>0</v>
      </c>
      <c r="L528" s="1">
        <v>2439</v>
      </c>
      <c r="M528" s="93">
        <f t="shared" si="24"/>
        <v>0</v>
      </c>
      <c r="N528" s="2">
        <v>360</v>
      </c>
      <c r="O528" s="97">
        <f>360</f>
        <v>360</v>
      </c>
      <c r="P528" s="52"/>
    </row>
    <row r="529" spans="1:16" ht="40.950000000000003" customHeight="1" x14ac:dyDescent="0.3">
      <c r="A529" s="4">
        <v>131</v>
      </c>
      <c r="B529" s="10" t="s">
        <v>422</v>
      </c>
      <c r="C529" s="10"/>
      <c r="D529" s="10"/>
      <c r="E529" s="10"/>
      <c r="F529" s="10" t="s">
        <v>241</v>
      </c>
      <c r="G529" s="4" t="s">
        <v>423</v>
      </c>
      <c r="H529" s="4"/>
      <c r="I529" s="4">
        <f t="shared" si="25"/>
        <v>5265</v>
      </c>
      <c r="J529" s="4">
        <v>5265</v>
      </c>
      <c r="K529" s="4">
        <f t="shared" si="26"/>
        <v>0</v>
      </c>
      <c r="L529" s="1">
        <v>5265</v>
      </c>
      <c r="M529" s="93">
        <f t="shared" si="24"/>
        <v>0</v>
      </c>
      <c r="N529" s="2"/>
      <c r="O529" s="97"/>
      <c r="P529" s="52"/>
    </row>
    <row r="530" spans="1:16" ht="40.950000000000003" customHeight="1" x14ac:dyDescent="0.3">
      <c r="A530" s="4">
        <v>131</v>
      </c>
      <c r="B530" s="10" t="s">
        <v>422</v>
      </c>
      <c r="C530" s="10"/>
      <c r="D530" s="10"/>
      <c r="E530" s="10"/>
      <c r="F530" s="10" t="s">
        <v>241</v>
      </c>
      <c r="G530" s="4" t="s">
        <v>368</v>
      </c>
      <c r="H530" s="4">
        <v>4</v>
      </c>
      <c r="I530" s="4">
        <f t="shared" si="25"/>
        <v>2812</v>
      </c>
      <c r="J530" s="4">
        <v>3052</v>
      </c>
      <c r="K530" s="4">
        <f t="shared" si="26"/>
        <v>0</v>
      </c>
      <c r="L530" s="1">
        <v>3052</v>
      </c>
      <c r="M530" s="93">
        <f t="shared" si="24"/>
        <v>0</v>
      </c>
      <c r="N530" s="2">
        <v>240</v>
      </c>
      <c r="O530" s="97">
        <f>240</f>
        <v>240</v>
      </c>
      <c r="P530" s="52"/>
    </row>
    <row r="531" spans="1:16" ht="40.950000000000003" customHeight="1" x14ac:dyDescent="0.3">
      <c r="A531" s="4">
        <v>131</v>
      </c>
      <c r="B531" s="10" t="s">
        <v>422</v>
      </c>
      <c r="C531" s="10"/>
      <c r="D531" s="10"/>
      <c r="E531" s="10"/>
      <c r="F531" s="10" t="s">
        <v>241</v>
      </c>
      <c r="G531" s="4" t="s">
        <v>200</v>
      </c>
      <c r="H531" s="4">
        <v>4</v>
      </c>
      <c r="I531" s="4">
        <f t="shared" si="25"/>
        <v>31424</v>
      </c>
      <c r="J531" s="4">
        <v>31424</v>
      </c>
      <c r="K531" s="4">
        <f t="shared" si="26"/>
        <v>0</v>
      </c>
      <c r="L531" s="1">
        <v>31424</v>
      </c>
      <c r="M531" s="93">
        <f t="shared" si="24"/>
        <v>0</v>
      </c>
      <c r="N531" s="2"/>
      <c r="O531" s="97"/>
      <c r="P531" s="52"/>
    </row>
    <row r="532" spans="1:16" ht="40.950000000000003" customHeight="1" x14ac:dyDescent="0.3">
      <c r="A532" s="4">
        <v>132</v>
      </c>
      <c r="B532" s="10" t="s">
        <v>439</v>
      </c>
      <c r="C532" s="10"/>
      <c r="D532" s="10"/>
      <c r="E532" s="10"/>
      <c r="F532" s="10" t="s">
        <v>241</v>
      </c>
      <c r="G532" s="4" t="s">
        <v>64</v>
      </c>
      <c r="H532" s="4">
        <v>21</v>
      </c>
      <c r="I532" s="4">
        <f t="shared" si="25"/>
        <v>77866</v>
      </c>
      <c r="J532" s="4">
        <v>90631</v>
      </c>
      <c r="K532" s="4">
        <f t="shared" si="26"/>
        <v>0</v>
      </c>
      <c r="L532" s="1">
        <v>90631</v>
      </c>
      <c r="M532" s="93">
        <f t="shared" si="24"/>
        <v>0</v>
      </c>
      <c r="N532" s="2">
        <v>12765</v>
      </c>
      <c r="O532" s="97">
        <v>12765</v>
      </c>
      <c r="P532" s="52" t="s">
        <v>1514</v>
      </c>
    </row>
    <row r="533" spans="1:16" ht="40.950000000000003" customHeight="1" x14ac:dyDescent="0.3">
      <c r="A533" s="4">
        <v>133</v>
      </c>
      <c r="B533" s="10" t="s">
        <v>447</v>
      </c>
      <c r="C533" s="10"/>
      <c r="D533" s="10"/>
      <c r="E533" s="10"/>
      <c r="F533" s="10" t="s">
        <v>241</v>
      </c>
      <c r="G533" s="4" t="s">
        <v>85</v>
      </c>
      <c r="H533" s="4">
        <v>18</v>
      </c>
      <c r="I533" s="4">
        <f t="shared" si="25"/>
        <v>116704</v>
      </c>
      <c r="J533" s="4">
        <v>130024</v>
      </c>
      <c r="K533" s="4">
        <f t="shared" si="26"/>
        <v>0</v>
      </c>
      <c r="L533" s="1">
        <v>130024</v>
      </c>
      <c r="M533" s="93">
        <f t="shared" si="24"/>
        <v>0</v>
      </c>
      <c r="N533" s="2">
        <v>13320</v>
      </c>
      <c r="O533" s="97">
        <v>13320</v>
      </c>
      <c r="P533" s="52" t="s">
        <v>1148</v>
      </c>
    </row>
    <row r="534" spans="1:16" ht="40.950000000000003" customHeight="1" x14ac:dyDescent="0.3">
      <c r="A534" s="4">
        <v>134</v>
      </c>
      <c r="B534" s="10" t="s">
        <v>448</v>
      </c>
      <c r="C534" s="10"/>
      <c r="D534" s="10"/>
      <c r="E534" s="10"/>
      <c r="F534" s="10" t="s">
        <v>241</v>
      </c>
      <c r="G534" s="4" t="s">
        <v>90</v>
      </c>
      <c r="H534" s="4"/>
      <c r="I534" s="4">
        <f t="shared" si="25"/>
        <v>3864</v>
      </c>
      <c r="J534" s="4">
        <v>3864</v>
      </c>
      <c r="K534" s="4">
        <f t="shared" si="26"/>
        <v>0</v>
      </c>
      <c r="L534" s="1">
        <v>3864</v>
      </c>
      <c r="M534" s="93">
        <f t="shared" si="24"/>
        <v>0</v>
      </c>
      <c r="N534" s="2"/>
      <c r="O534" s="97"/>
      <c r="P534" s="52"/>
    </row>
    <row r="535" spans="1:16" ht="40.950000000000003" customHeight="1" x14ac:dyDescent="0.3">
      <c r="A535" s="4">
        <v>135</v>
      </c>
      <c r="B535" s="10" t="s">
        <v>449</v>
      </c>
      <c r="C535" s="10"/>
      <c r="D535" s="10"/>
      <c r="E535" s="10"/>
      <c r="F535" s="10" t="s">
        <v>241</v>
      </c>
      <c r="G535" s="4" t="s">
        <v>11</v>
      </c>
      <c r="H535" s="4">
        <v>20</v>
      </c>
      <c r="I535" s="4">
        <f t="shared" si="25"/>
        <v>107393</v>
      </c>
      <c r="J535" s="4">
        <v>112395</v>
      </c>
      <c r="K535" s="4">
        <f t="shared" si="26"/>
        <v>0</v>
      </c>
      <c r="L535" s="1">
        <v>112395</v>
      </c>
      <c r="M535" s="93">
        <f t="shared" si="24"/>
        <v>0</v>
      </c>
      <c r="N535" s="2">
        <v>5002</v>
      </c>
      <c r="O535" s="97">
        <v>5002</v>
      </c>
      <c r="P535" s="52" t="s">
        <v>1137</v>
      </c>
    </row>
    <row r="536" spans="1:16" ht="40.950000000000003" customHeight="1" x14ac:dyDescent="0.3">
      <c r="A536" s="4">
        <v>135</v>
      </c>
      <c r="B536" s="10" t="s">
        <v>449</v>
      </c>
      <c r="C536" s="10"/>
      <c r="D536" s="10"/>
      <c r="E536" s="10"/>
      <c r="F536" s="10" t="s">
        <v>241</v>
      </c>
      <c r="G536" s="4" t="s">
        <v>90</v>
      </c>
      <c r="H536" s="4">
        <v>18</v>
      </c>
      <c r="I536" s="4">
        <f t="shared" si="25"/>
        <v>214770</v>
      </c>
      <c r="J536" s="4">
        <v>227000</v>
      </c>
      <c r="K536" s="4">
        <f t="shared" si="26"/>
        <v>0</v>
      </c>
      <c r="L536" s="1">
        <v>227000</v>
      </c>
      <c r="M536" s="93">
        <f t="shared" si="24"/>
        <v>0</v>
      </c>
      <c r="N536" s="2">
        <v>12230</v>
      </c>
      <c r="O536" s="97">
        <v>12230</v>
      </c>
      <c r="P536" s="52" t="s">
        <v>1148</v>
      </c>
    </row>
    <row r="537" spans="1:16" ht="40.950000000000003" customHeight="1" x14ac:dyDescent="0.3">
      <c r="A537" s="4">
        <v>135</v>
      </c>
      <c r="B537" s="10" t="s">
        <v>449</v>
      </c>
      <c r="C537" s="10"/>
      <c r="D537" s="10"/>
      <c r="E537" s="10"/>
      <c r="F537" s="10" t="s">
        <v>241</v>
      </c>
      <c r="G537" s="4" t="s">
        <v>85</v>
      </c>
      <c r="H537" s="4">
        <v>15</v>
      </c>
      <c r="I537" s="4">
        <f t="shared" si="25"/>
        <v>85703</v>
      </c>
      <c r="J537" s="4">
        <v>89118</v>
      </c>
      <c r="K537" s="4">
        <f t="shared" si="26"/>
        <v>0</v>
      </c>
      <c r="L537" s="1">
        <v>89118</v>
      </c>
      <c r="M537" s="93">
        <f t="shared" si="24"/>
        <v>0</v>
      </c>
      <c r="N537" s="2">
        <v>3415</v>
      </c>
      <c r="O537" s="97">
        <v>3415</v>
      </c>
      <c r="P537" s="52" t="s">
        <v>1289</v>
      </c>
    </row>
    <row r="538" spans="1:16" ht="40.950000000000003" customHeight="1" x14ac:dyDescent="0.3">
      <c r="A538" s="424">
        <v>136</v>
      </c>
      <c r="B538" s="10" t="s">
        <v>450</v>
      </c>
      <c r="C538" s="10"/>
      <c r="D538" s="10"/>
      <c r="E538" s="10"/>
      <c r="F538" s="10" t="s">
        <v>1018</v>
      </c>
      <c r="G538" s="4" t="s">
        <v>70</v>
      </c>
      <c r="H538" s="4">
        <v>1</v>
      </c>
      <c r="I538" s="4">
        <f t="shared" si="25"/>
        <v>1670</v>
      </c>
      <c r="J538" s="4">
        <v>1670</v>
      </c>
      <c r="K538" s="4">
        <f>L538-J538</f>
        <v>0</v>
      </c>
      <c r="L538" s="1">
        <v>1670</v>
      </c>
      <c r="M538" s="93">
        <f t="shared" si="24"/>
        <v>0</v>
      </c>
      <c r="N538" s="2"/>
      <c r="O538" s="97"/>
      <c r="P538" s="52"/>
    </row>
    <row r="539" spans="1:16" ht="40.950000000000003" customHeight="1" x14ac:dyDescent="0.3">
      <c r="A539" s="426"/>
      <c r="B539" s="10" t="s">
        <v>450</v>
      </c>
      <c r="C539" s="10"/>
      <c r="D539" s="10"/>
      <c r="E539" s="10"/>
      <c r="F539" s="10" t="s">
        <v>241</v>
      </c>
      <c r="G539" s="4" t="s">
        <v>70</v>
      </c>
      <c r="H539" s="4">
        <v>19</v>
      </c>
      <c r="I539" s="4">
        <f t="shared" si="25"/>
        <v>180837</v>
      </c>
      <c r="J539" s="4">
        <v>210939</v>
      </c>
      <c r="K539" s="4">
        <f t="shared" si="26"/>
        <v>0</v>
      </c>
      <c r="L539" s="1">
        <v>210939</v>
      </c>
      <c r="M539" s="93">
        <f t="shared" si="24"/>
        <v>0</v>
      </c>
      <c r="N539" s="2">
        <v>30102</v>
      </c>
      <c r="O539" s="97">
        <v>30102</v>
      </c>
      <c r="P539" s="52" t="s">
        <v>1512</v>
      </c>
    </row>
    <row r="540" spans="1:16" ht="40.950000000000003" customHeight="1" x14ac:dyDescent="0.3">
      <c r="A540" s="57">
        <v>137</v>
      </c>
      <c r="B540" s="10" t="s">
        <v>456</v>
      </c>
      <c r="C540" s="10"/>
      <c r="D540" s="10"/>
      <c r="E540" s="10"/>
      <c r="F540" s="10" t="s">
        <v>1018</v>
      </c>
      <c r="G540" s="4" t="s">
        <v>128</v>
      </c>
      <c r="H540" s="4">
        <v>1</v>
      </c>
      <c r="I540" s="4">
        <f t="shared" si="25"/>
        <v>835</v>
      </c>
      <c r="J540" s="4">
        <v>835</v>
      </c>
      <c r="K540" s="4">
        <f t="shared" si="26"/>
        <v>0</v>
      </c>
      <c r="L540" s="1">
        <v>835</v>
      </c>
      <c r="M540" s="93">
        <f t="shared" si="24"/>
        <v>0</v>
      </c>
      <c r="N540" s="2">
        <v>0</v>
      </c>
      <c r="O540" s="97">
        <v>0</v>
      </c>
      <c r="P540" s="52" t="s">
        <v>1149</v>
      </c>
    </row>
    <row r="541" spans="1:16" ht="40.950000000000003" customHeight="1" x14ac:dyDescent="0.3">
      <c r="A541" s="57">
        <v>137</v>
      </c>
      <c r="B541" s="10" t="s">
        <v>456</v>
      </c>
      <c r="C541" s="10"/>
      <c r="D541" s="10"/>
      <c r="E541" s="10"/>
      <c r="F541" s="10" t="s">
        <v>1018</v>
      </c>
      <c r="G541" s="4" t="s">
        <v>85</v>
      </c>
      <c r="H541" s="4">
        <v>1</v>
      </c>
      <c r="I541" s="4">
        <v>0</v>
      </c>
      <c r="J541" s="4">
        <v>835</v>
      </c>
      <c r="K541" s="4">
        <f t="shared" si="26"/>
        <v>0</v>
      </c>
      <c r="L541" s="1">
        <v>835</v>
      </c>
      <c r="M541" s="93">
        <f t="shared" si="24"/>
        <v>0</v>
      </c>
      <c r="N541" s="2">
        <v>0</v>
      </c>
      <c r="O541" s="97">
        <v>0</v>
      </c>
      <c r="P541" s="52" t="s">
        <v>1149</v>
      </c>
    </row>
    <row r="542" spans="1:16" ht="40.950000000000003" customHeight="1" x14ac:dyDescent="0.3">
      <c r="A542" s="4">
        <v>137</v>
      </c>
      <c r="B542" s="10" t="s">
        <v>456</v>
      </c>
      <c r="C542" s="10"/>
      <c r="D542" s="10"/>
      <c r="E542" s="10"/>
      <c r="F542" s="10" t="s">
        <v>241</v>
      </c>
      <c r="G542" s="4" t="s">
        <v>128</v>
      </c>
      <c r="H542" s="4">
        <v>22</v>
      </c>
      <c r="I542" s="4">
        <f t="shared" si="25"/>
        <v>117911</v>
      </c>
      <c r="J542" s="4">
        <v>123231</v>
      </c>
      <c r="K542" s="4">
        <f t="shared" si="26"/>
        <v>0</v>
      </c>
      <c r="L542" s="1">
        <v>123231</v>
      </c>
      <c r="M542" s="93">
        <f t="shared" si="24"/>
        <v>0</v>
      </c>
      <c r="N542" s="2">
        <v>5320</v>
      </c>
      <c r="O542" s="97">
        <v>5320</v>
      </c>
      <c r="P542" s="52" t="s">
        <v>1503</v>
      </c>
    </row>
    <row r="543" spans="1:16" ht="40.950000000000003" customHeight="1" x14ac:dyDescent="0.3">
      <c r="A543" s="4">
        <v>138</v>
      </c>
      <c r="B543" s="10" t="s">
        <v>461</v>
      </c>
      <c r="C543" s="10"/>
      <c r="D543" s="10"/>
      <c r="E543" s="10"/>
      <c r="F543" s="10" t="s">
        <v>241</v>
      </c>
      <c r="G543" s="4" t="s">
        <v>85</v>
      </c>
      <c r="H543" s="4"/>
      <c r="I543" s="4">
        <f t="shared" si="25"/>
        <v>3312</v>
      </c>
      <c r="J543" s="4">
        <v>3312</v>
      </c>
      <c r="K543" s="4">
        <f t="shared" si="26"/>
        <v>0</v>
      </c>
      <c r="L543" s="1">
        <v>3312</v>
      </c>
      <c r="M543" s="93">
        <f t="shared" si="24"/>
        <v>0</v>
      </c>
      <c r="N543" s="2"/>
      <c r="O543" s="97"/>
      <c r="P543" s="52"/>
    </row>
    <row r="544" spans="1:16" ht="40.950000000000003" customHeight="1" x14ac:dyDescent="0.3">
      <c r="A544" s="4">
        <v>139</v>
      </c>
      <c r="B544" s="10" t="s">
        <v>463</v>
      </c>
      <c r="C544" s="10"/>
      <c r="D544" s="10"/>
      <c r="E544" s="10"/>
      <c r="F544" s="10" t="s">
        <v>241</v>
      </c>
      <c r="G544" s="4" t="s">
        <v>198</v>
      </c>
      <c r="H544" s="4" t="s">
        <v>650</v>
      </c>
      <c r="I544" s="4">
        <f t="shared" si="25"/>
        <v>3400</v>
      </c>
      <c r="J544" s="4">
        <v>5400</v>
      </c>
      <c r="K544" s="4">
        <f t="shared" si="26"/>
        <v>0</v>
      </c>
      <c r="L544" s="1">
        <v>5400</v>
      </c>
      <c r="M544" s="93">
        <f t="shared" si="24"/>
        <v>0</v>
      </c>
      <c r="N544" s="2">
        <v>2000</v>
      </c>
      <c r="O544" s="97">
        <v>2000</v>
      </c>
      <c r="P544" s="52"/>
    </row>
    <row r="545" spans="1:16" ht="40.950000000000003" customHeight="1" x14ac:dyDescent="0.3">
      <c r="A545" s="4"/>
      <c r="B545" s="10" t="s">
        <v>482</v>
      </c>
      <c r="C545" s="10"/>
      <c r="D545" s="10"/>
      <c r="E545" s="10"/>
      <c r="F545" s="10" t="s">
        <v>1018</v>
      </c>
      <c r="G545" s="4" t="s">
        <v>51</v>
      </c>
      <c r="H545" s="4">
        <v>1</v>
      </c>
      <c r="I545" s="4">
        <f t="shared" si="25"/>
        <v>835</v>
      </c>
      <c r="J545" s="4">
        <v>835</v>
      </c>
      <c r="K545" s="4">
        <f t="shared" si="26"/>
        <v>0</v>
      </c>
      <c r="L545" s="1">
        <v>835</v>
      </c>
      <c r="M545" s="93">
        <f t="shared" si="24"/>
        <v>0</v>
      </c>
      <c r="N545" s="2"/>
      <c r="O545" s="97"/>
      <c r="P545" s="52">
        <v>0.5</v>
      </c>
    </row>
    <row r="546" spans="1:16" ht="40.950000000000003" customHeight="1" x14ac:dyDescent="0.3">
      <c r="A546" s="4">
        <v>139</v>
      </c>
      <c r="B546" s="10" t="s">
        <v>1506</v>
      </c>
      <c r="C546" s="10"/>
      <c r="D546" s="10"/>
      <c r="E546" s="10"/>
      <c r="F546" s="10" t="s">
        <v>241</v>
      </c>
      <c r="G546" s="4" t="s">
        <v>122</v>
      </c>
      <c r="H546" s="4">
        <v>5</v>
      </c>
      <c r="I546" s="4">
        <f t="shared" si="25"/>
        <v>12580</v>
      </c>
      <c r="J546" s="4">
        <v>12580</v>
      </c>
      <c r="K546" s="4">
        <f t="shared" si="26"/>
        <v>0</v>
      </c>
      <c r="L546" s="1">
        <v>12580</v>
      </c>
      <c r="M546" s="93">
        <f t="shared" si="24"/>
        <v>0</v>
      </c>
      <c r="N546" s="2"/>
      <c r="O546" s="97"/>
      <c r="P546" s="52">
        <v>0.4</v>
      </c>
    </row>
    <row r="547" spans="1:16" ht="40.950000000000003" customHeight="1" x14ac:dyDescent="0.3">
      <c r="A547" s="4">
        <v>139</v>
      </c>
      <c r="B547" s="10" t="s">
        <v>482</v>
      </c>
      <c r="C547" s="10"/>
      <c r="D547" s="10"/>
      <c r="E547" s="10"/>
      <c r="F547" s="10" t="s">
        <v>241</v>
      </c>
      <c r="G547" s="4" t="s">
        <v>51</v>
      </c>
      <c r="H547" s="4">
        <v>9</v>
      </c>
      <c r="I547" s="4">
        <f t="shared" si="25"/>
        <v>77405</v>
      </c>
      <c r="J547" s="4">
        <v>82532</v>
      </c>
      <c r="K547" s="4">
        <f t="shared" si="26"/>
        <v>0</v>
      </c>
      <c r="L547" s="1">
        <v>82532</v>
      </c>
      <c r="M547" s="93">
        <f t="shared" si="24"/>
        <v>0</v>
      </c>
      <c r="N547" s="2">
        <v>5127</v>
      </c>
      <c r="O547" s="97">
        <v>5127</v>
      </c>
      <c r="P547" s="52" t="s">
        <v>1146</v>
      </c>
    </row>
    <row r="548" spans="1:16" ht="40.950000000000003" customHeight="1" x14ac:dyDescent="0.3">
      <c r="A548" s="4">
        <v>140</v>
      </c>
      <c r="B548" s="10" t="s">
        <v>219</v>
      </c>
      <c r="C548" s="10"/>
      <c r="D548" s="10"/>
      <c r="E548" s="10"/>
      <c r="F548" s="10" t="s">
        <v>220</v>
      </c>
      <c r="G548" s="4" t="s">
        <v>7</v>
      </c>
      <c r="H548" s="4">
        <v>4</v>
      </c>
      <c r="I548" s="4">
        <f t="shared" si="25"/>
        <v>33727</v>
      </c>
      <c r="J548" s="4">
        <v>43447</v>
      </c>
      <c r="K548" s="4">
        <f t="shared" si="26"/>
        <v>0</v>
      </c>
      <c r="L548" s="1">
        <v>43447</v>
      </c>
      <c r="M548" s="93">
        <f t="shared" si="24"/>
        <v>0</v>
      </c>
      <c r="N548" s="2">
        <v>9720</v>
      </c>
      <c r="O548" s="97">
        <f>4300+5420</f>
        <v>9720</v>
      </c>
      <c r="P548" s="52"/>
    </row>
    <row r="549" spans="1:16" ht="40.950000000000003" customHeight="1" x14ac:dyDescent="0.3">
      <c r="A549" s="4">
        <v>140</v>
      </c>
      <c r="B549" s="10" t="s">
        <v>345</v>
      </c>
      <c r="C549" s="10"/>
      <c r="D549" s="10"/>
      <c r="E549" s="10"/>
      <c r="F549" s="10" t="s">
        <v>220</v>
      </c>
      <c r="G549" s="4" t="s">
        <v>8</v>
      </c>
      <c r="H549" s="4">
        <v>7</v>
      </c>
      <c r="I549" s="4">
        <f t="shared" si="25"/>
        <v>141064</v>
      </c>
      <c r="J549" s="4">
        <v>154904</v>
      </c>
      <c r="K549" s="4">
        <f t="shared" si="26"/>
        <v>0</v>
      </c>
      <c r="L549" s="1">
        <v>154904</v>
      </c>
      <c r="M549" s="93">
        <f t="shared" ref="M549:M612" si="27">O549-N549</f>
        <v>0</v>
      </c>
      <c r="N549" s="2">
        <v>13840</v>
      </c>
      <c r="O549" s="97">
        <v>13840</v>
      </c>
      <c r="P549" s="52"/>
    </row>
    <row r="550" spans="1:16" ht="40.950000000000003" customHeight="1" x14ac:dyDescent="0.3">
      <c r="A550" s="4">
        <v>141</v>
      </c>
      <c r="B550" s="10" t="s">
        <v>157</v>
      </c>
      <c r="C550" s="10"/>
      <c r="D550" s="10"/>
      <c r="E550" s="10"/>
      <c r="F550" s="10" t="s">
        <v>220</v>
      </c>
      <c r="G550" s="4" t="s">
        <v>8</v>
      </c>
      <c r="H550" s="4">
        <v>8</v>
      </c>
      <c r="I550" s="4">
        <f t="shared" si="25"/>
        <v>38349</v>
      </c>
      <c r="J550" s="4">
        <v>40014</v>
      </c>
      <c r="K550" s="4">
        <f t="shared" si="26"/>
        <v>0</v>
      </c>
      <c r="L550" s="1">
        <v>40014</v>
      </c>
      <c r="M550" s="93">
        <f t="shared" si="27"/>
        <v>0</v>
      </c>
      <c r="N550" s="2">
        <v>1665</v>
      </c>
      <c r="O550" s="97">
        <v>1665</v>
      </c>
      <c r="P550" s="52">
        <v>0.92200000000000004</v>
      </c>
    </row>
    <row r="551" spans="1:16" ht="40.950000000000003" customHeight="1" x14ac:dyDescent="0.3">
      <c r="A551" s="4">
        <v>142</v>
      </c>
      <c r="B551" s="10" t="s">
        <v>154</v>
      </c>
      <c r="C551" s="10"/>
      <c r="D551" s="10"/>
      <c r="E551" s="10"/>
      <c r="F551" s="10" t="s">
        <v>220</v>
      </c>
      <c r="G551" s="4" t="s">
        <v>9</v>
      </c>
      <c r="H551" s="4">
        <v>4</v>
      </c>
      <c r="I551" s="4">
        <f t="shared" si="25"/>
        <v>30431</v>
      </c>
      <c r="J551" s="4">
        <v>36348</v>
      </c>
      <c r="K551" s="4">
        <f t="shared" si="26"/>
        <v>0</v>
      </c>
      <c r="L551" s="1">
        <v>36348</v>
      </c>
      <c r="M551" s="93">
        <f t="shared" si="27"/>
        <v>0</v>
      </c>
      <c r="N551" s="2">
        <v>5917</v>
      </c>
      <c r="O551" s="97">
        <f>212+5705</f>
        <v>5917</v>
      </c>
      <c r="P551" s="52"/>
    </row>
    <row r="552" spans="1:16" ht="40.950000000000003" customHeight="1" x14ac:dyDescent="0.3">
      <c r="A552" s="4">
        <v>143</v>
      </c>
      <c r="B552" s="10" t="s">
        <v>221</v>
      </c>
      <c r="C552" s="10"/>
      <c r="D552" s="10"/>
      <c r="E552" s="10"/>
      <c r="F552" s="10" t="s">
        <v>220</v>
      </c>
      <c r="G552" s="4" t="s">
        <v>11</v>
      </c>
      <c r="H552" s="4">
        <v>18</v>
      </c>
      <c r="I552" s="4">
        <f t="shared" si="25"/>
        <v>104674</v>
      </c>
      <c r="J552" s="4">
        <v>117034</v>
      </c>
      <c r="K552" s="4">
        <f t="shared" si="26"/>
        <v>0</v>
      </c>
      <c r="L552" s="1">
        <v>117034</v>
      </c>
      <c r="M552" s="93">
        <f t="shared" si="27"/>
        <v>0</v>
      </c>
      <c r="N552" s="2">
        <v>12360</v>
      </c>
      <c r="O552" s="97">
        <f>3500+60+540+120+240+265+180+7455</f>
        <v>12360</v>
      </c>
      <c r="P552" s="52"/>
    </row>
    <row r="553" spans="1:16" ht="40.950000000000003" customHeight="1" x14ac:dyDescent="0.3">
      <c r="A553" s="4">
        <v>144</v>
      </c>
      <c r="B553" s="10" t="s">
        <v>222</v>
      </c>
      <c r="C553" s="10"/>
      <c r="D553" s="10"/>
      <c r="E553" s="10"/>
      <c r="F553" s="10" t="s">
        <v>220</v>
      </c>
      <c r="G553" s="4" t="s">
        <v>22</v>
      </c>
      <c r="H553" s="4">
        <v>16</v>
      </c>
      <c r="I553" s="4">
        <f t="shared" ref="I553:I617" si="28">J553-O553</f>
        <v>115438</v>
      </c>
      <c r="J553" s="4">
        <v>135038</v>
      </c>
      <c r="K553" s="4">
        <f t="shared" si="26"/>
        <v>0</v>
      </c>
      <c r="L553" s="1">
        <v>135038</v>
      </c>
      <c r="M553" s="93">
        <f t="shared" si="27"/>
        <v>0</v>
      </c>
      <c r="N553" s="2">
        <v>19600</v>
      </c>
      <c r="O553" s="97">
        <v>19600</v>
      </c>
      <c r="P553" s="52">
        <v>0.92</v>
      </c>
    </row>
    <row r="554" spans="1:16" ht="40.950000000000003" customHeight="1" x14ac:dyDescent="0.3">
      <c r="A554" s="4">
        <v>145</v>
      </c>
      <c r="B554" s="10" t="s">
        <v>228</v>
      </c>
      <c r="C554" s="10"/>
      <c r="D554" s="10"/>
      <c r="E554" s="10"/>
      <c r="F554" s="10" t="s">
        <v>220</v>
      </c>
      <c r="G554" s="4" t="s">
        <v>70</v>
      </c>
      <c r="H554" s="4" t="s">
        <v>650</v>
      </c>
      <c r="I554" s="4">
        <f t="shared" si="28"/>
        <v>67880</v>
      </c>
      <c r="J554" s="4">
        <v>85054</v>
      </c>
      <c r="K554" s="4">
        <f t="shared" si="26"/>
        <v>0</v>
      </c>
      <c r="L554" s="1">
        <v>85054</v>
      </c>
      <c r="M554" s="93">
        <f t="shared" si="27"/>
        <v>0</v>
      </c>
      <c r="N554" s="2">
        <v>17174</v>
      </c>
      <c r="O554" s="97">
        <v>17174</v>
      </c>
      <c r="P554" s="52">
        <v>1</v>
      </c>
    </row>
    <row r="555" spans="1:16" ht="40.950000000000003" customHeight="1" x14ac:dyDescent="0.3">
      <c r="A555" s="4">
        <v>145</v>
      </c>
      <c r="B555" s="10" t="s">
        <v>228</v>
      </c>
      <c r="C555" s="10"/>
      <c r="D555" s="10"/>
      <c r="E555" s="10"/>
      <c r="F555" s="10" t="s">
        <v>220</v>
      </c>
      <c r="G555" s="4" t="s">
        <v>49</v>
      </c>
      <c r="H555" s="4" t="s">
        <v>650</v>
      </c>
      <c r="I555" s="4">
        <f t="shared" si="28"/>
        <v>10588</v>
      </c>
      <c r="J555" s="4">
        <v>10588</v>
      </c>
      <c r="K555" s="4">
        <f t="shared" si="26"/>
        <v>0</v>
      </c>
      <c r="L555" s="1">
        <v>10588</v>
      </c>
      <c r="M555" s="93">
        <f t="shared" si="27"/>
        <v>0</v>
      </c>
      <c r="N555" s="2"/>
      <c r="O555" s="97"/>
      <c r="P555" s="52">
        <v>1</v>
      </c>
    </row>
    <row r="556" spans="1:16" ht="40.950000000000003" customHeight="1" x14ac:dyDescent="0.3">
      <c r="A556" s="4">
        <v>146</v>
      </c>
      <c r="B556" s="10" t="s">
        <v>396</v>
      </c>
      <c r="C556" s="10"/>
      <c r="D556" s="10"/>
      <c r="E556" s="10"/>
      <c r="F556" s="10" t="s">
        <v>220</v>
      </c>
      <c r="G556" s="4" t="s">
        <v>64</v>
      </c>
      <c r="H556" s="4">
        <v>21</v>
      </c>
      <c r="I556" s="4">
        <f t="shared" si="28"/>
        <v>300834</v>
      </c>
      <c r="J556" s="4">
        <v>325923</v>
      </c>
      <c r="K556" s="4">
        <f t="shared" si="26"/>
        <v>0</v>
      </c>
      <c r="L556" s="1">
        <v>325923</v>
      </c>
      <c r="M556" s="93">
        <f t="shared" si="27"/>
        <v>0</v>
      </c>
      <c r="N556" s="2">
        <v>25089</v>
      </c>
      <c r="O556" s="97">
        <v>25089</v>
      </c>
      <c r="P556" s="52">
        <v>0.96</v>
      </c>
    </row>
    <row r="557" spans="1:16" ht="40.950000000000003" customHeight="1" x14ac:dyDescent="0.3">
      <c r="A557" s="4">
        <v>147</v>
      </c>
      <c r="B557" s="10" t="s">
        <v>268</v>
      </c>
      <c r="C557" s="10"/>
      <c r="D557" s="10"/>
      <c r="E557" s="10"/>
      <c r="F557" s="10" t="s">
        <v>220</v>
      </c>
      <c r="G557" s="4" t="s">
        <v>7</v>
      </c>
      <c r="H557" s="4">
        <v>17</v>
      </c>
      <c r="I557" s="4">
        <f t="shared" si="28"/>
        <v>126289</v>
      </c>
      <c r="J557" s="4">
        <v>132294</v>
      </c>
      <c r="K557" s="4">
        <f t="shared" si="26"/>
        <v>0</v>
      </c>
      <c r="L557" s="1">
        <v>132294</v>
      </c>
      <c r="M557" s="93">
        <f t="shared" si="27"/>
        <v>0</v>
      </c>
      <c r="N557" s="2">
        <v>6005</v>
      </c>
      <c r="O557" s="97">
        <v>6005</v>
      </c>
      <c r="P557" s="52">
        <v>0.95</v>
      </c>
    </row>
    <row r="558" spans="1:16" ht="40.950000000000003" customHeight="1" x14ac:dyDescent="0.3">
      <c r="A558" s="4">
        <v>147</v>
      </c>
      <c r="B558" s="10" t="s">
        <v>268</v>
      </c>
      <c r="C558" s="10"/>
      <c r="D558" s="10"/>
      <c r="E558" s="10"/>
      <c r="F558" s="10" t="s">
        <v>220</v>
      </c>
      <c r="G558" s="4" t="s">
        <v>199</v>
      </c>
      <c r="H558" s="4"/>
      <c r="I558" s="4">
        <f t="shared" si="28"/>
        <v>3000</v>
      </c>
      <c r="J558" s="4">
        <v>3000</v>
      </c>
      <c r="K558" s="4">
        <f t="shared" si="26"/>
        <v>0</v>
      </c>
      <c r="L558" s="1">
        <v>3000</v>
      </c>
      <c r="M558" s="93">
        <f t="shared" si="27"/>
        <v>0</v>
      </c>
      <c r="N558" s="2"/>
      <c r="O558" s="97"/>
      <c r="P558" s="52"/>
    </row>
    <row r="559" spans="1:16" ht="40.950000000000003" customHeight="1" x14ac:dyDescent="0.3">
      <c r="A559" s="4">
        <v>147</v>
      </c>
      <c r="B559" s="10" t="s">
        <v>268</v>
      </c>
      <c r="C559" s="10"/>
      <c r="D559" s="10"/>
      <c r="E559" s="10"/>
      <c r="F559" s="10" t="s">
        <v>220</v>
      </c>
      <c r="G559" s="4" t="s">
        <v>51</v>
      </c>
      <c r="H559" s="4">
        <v>20</v>
      </c>
      <c r="I559" s="4">
        <f t="shared" si="28"/>
        <v>154535</v>
      </c>
      <c r="J559" s="4">
        <v>160935</v>
      </c>
      <c r="K559" s="4">
        <f t="shared" si="26"/>
        <v>0</v>
      </c>
      <c r="L559" s="1">
        <v>160935</v>
      </c>
      <c r="M559" s="93">
        <f t="shared" si="27"/>
        <v>0</v>
      </c>
      <c r="N559" s="2">
        <v>6400</v>
      </c>
      <c r="O559" s="97">
        <v>6400</v>
      </c>
      <c r="P559" s="52">
        <v>0.95</v>
      </c>
    </row>
    <row r="560" spans="1:16" ht="40.950000000000003" customHeight="1" x14ac:dyDescent="0.3">
      <c r="A560" s="4">
        <v>148</v>
      </c>
      <c r="B560" s="10" t="s">
        <v>269</v>
      </c>
      <c r="C560" s="10"/>
      <c r="D560" s="10"/>
      <c r="E560" s="10"/>
      <c r="F560" s="10" t="s">
        <v>220</v>
      </c>
      <c r="G560" s="4" t="s">
        <v>49</v>
      </c>
      <c r="H560" s="4">
        <v>32</v>
      </c>
      <c r="I560" s="4">
        <f t="shared" si="28"/>
        <v>288309</v>
      </c>
      <c r="J560" s="4">
        <v>300529</v>
      </c>
      <c r="K560" s="4">
        <f t="shared" si="26"/>
        <v>0</v>
      </c>
      <c r="L560" s="1">
        <v>300529</v>
      </c>
      <c r="M560" s="93">
        <f t="shared" si="27"/>
        <v>0</v>
      </c>
      <c r="N560" s="2">
        <v>12220</v>
      </c>
      <c r="O560" s="97">
        <v>12220</v>
      </c>
      <c r="P560" s="52" t="s">
        <v>1519</v>
      </c>
    </row>
    <row r="561" spans="1:16" ht="40.950000000000003" customHeight="1" x14ac:dyDescent="0.3">
      <c r="A561" s="4">
        <v>148</v>
      </c>
      <c r="B561" s="10" t="s">
        <v>269</v>
      </c>
      <c r="C561" s="10"/>
      <c r="D561" s="10"/>
      <c r="E561" s="10"/>
      <c r="F561" s="10" t="s">
        <v>220</v>
      </c>
      <c r="G561" s="4" t="s">
        <v>114</v>
      </c>
      <c r="H561" s="4">
        <v>19</v>
      </c>
      <c r="I561" s="4">
        <f t="shared" si="28"/>
        <v>149317</v>
      </c>
      <c r="J561" s="4">
        <v>157958</v>
      </c>
      <c r="K561" s="4">
        <f t="shared" si="26"/>
        <v>0</v>
      </c>
      <c r="L561" s="1">
        <v>157958</v>
      </c>
      <c r="M561" s="93">
        <f t="shared" si="27"/>
        <v>0</v>
      </c>
      <c r="N561" s="2">
        <v>8641</v>
      </c>
      <c r="O561" s="97">
        <v>8641</v>
      </c>
      <c r="P561" s="52">
        <v>0.92500000000000004</v>
      </c>
    </row>
    <row r="562" spans="1:16" ht="40.950000000000003" customHeight="1" x14ac:dyDescent="0.3">
      <c r="A562" s="4">
        <v>149</v>
      </c>
      <c r="B562" s="10" t="s">
        <v>270</v>
      </c>
      <c r="C562" s="10"/>
      <c r="D562" s="10"/>
      <c r="E562" s="10"/>
      <c r="F562" s="10" t="s">
        <v>220</v>
      </c>
      <c r="G562" s="4" t="s">
        <v>9</v>
      </c>
      <c r="H562" s="4">
        <v>10</v>
      </c>
      <c r="I562" s="4">
        <f t="shared" si="28"/>
        <v>127265</v>
      </c>
      <c r="J562" s="4">
        <v>140079</v>
      </c>
      <c r="K562" s="4">
        <f t="shared" si="26"/>
        <v>0</v>
      </c>
      <c r="L562" s="1">
        <v>140079</v>
      </c>
      <c r="M562" s="93">
        <f t="shared" si="27"/>
        <v>0</v>
      </c>
      <c r="N562" s="2">
        <v>12814</v>
      </c>
      <c r="O562" s="97">
        <f>2908+1040+120+195+480+8071</f>
        <v>12814</v>
      </c>
      <c r="P562" s="52"/>
    </row>
    <row r="563" spans="1:16" ht="40.950000000000003" customHeight="1" x14ac:dyDescent="0.3">
      <c r="A563" s="4">
        <v>149</v>
      </c>
      <c r="B563" s="10" t="s">
        <v>270</v>
      </c>
      <c r="C563" s="10"/>
      <c r="D563" s="10"/>
      <c r="E563" s="10"/>
      <c r="F563" s="10" t="s">
        <v>220</v>
      </c>
      <c r="G563" s="4" t="s">
        <v>363</v>
      </c>
      <c r="H563" s="4">
        <v>11</v>
      </c>
      <c r="I563" s="4">
        <f t="shared" si="28"/>
        <v>77502</v>
      </c>
      <c r="J563" s="4">
        <v>84877</v>
      </c>
      <c r="K563" s="4">
        <f t="shared" si="26"/>
        <v>0</v>
      </c>
      <c r="L563" s="1">
        <v>84877</v>
      </c>
      <c r="M563" s="93">
        <f t="shared" si="27"/>
        <v>0</v>
      </c>
      <c r="N563" s="2">
        <v>7375</v>
      </c>
      <c r="O563" s="97">
        <v>7375</v>
      </c>
      <c r="P563" s="52">
        <v>0.96</v>
      </c>
    </row>
    <row r="564" spans="1:16" ht="40.950000000000003" customHeight="1" x14ac:dyDescent="0.3">
      <c r="A564" s="4">
        <v>150</v>
      </c>
      <c r="B564" s="10" t="s">
        <v>295</v>
      </c>
      <c r="C564" s="10"/>
      <c r="D564" s="10"/>
      <c r="E564" s="10"/>
      <c r="F564" s="10" t="s">
        <v>220</v>
      </c>
      <c r="G564" s="4" t="s">
        <v>7</v>
      </c>
      <c r="H564" s="4"/>
      <c r="I564" s="4">
        <f t="shared" si="28"/>
        <v>22272</v>
      </c>
      <c r="J564" s="4">
        <v>25346</v>
      </c>
      <c r="K564" s="4">
        <f t="shared" si="26"/>
        <v>0</v>
      </c>
      <c r="L564" s="1">
        <v>25346</v>
      </c>
      <c r="M564" s="93">
        <f t="shared" si="27"/>
        <v>0</v>
      </c>
      <c r="N564" s="2">
        <v>3074</v>
      </c>
      <c r="O564" s="97">
        <v>3074</v>
      </c>
      <c r="P564" s="52"/>
    </row>
    <row r="565" spans="1:16" ht="40.950000000000003" customHeight="1" x14ac:dyDescent="0.3">
      <c r="A565" s="4">
        <v>150</v>
      </c>
      <c r="B565" s="10" t="s">
        <v>295</v>
      </c>
      <c r="C565" s="10"/>
      <c r="D565" s="10"/>
      <c r="E565" s="10"/>
      <c r="F565" s="10" t="s">
        <v>220</v>
      </c>
      <c r="G565" s="4" t="s">
        <v>8</v>
      </c>
      <c r="H565" s="4">
        <v>4</v>
      </c>
      <c r="I565" s="4">
        <f t="shared" si="28"/>
        <v>24836</v>
      </c>
      <c r="J565" s="4">
        <v>25346</v>
      </c>
      <c r="K565" s="4">
        <f>L565-J565</f>
        <v>0</v>
      </c>
      <c r="L565" s="1">
        <v>25346</v>
      </c>
      <c r="M565" s="93">
        <f t="shared" si="27"/>
        <v>0</v>
      </c>
      <c r="N565" s="2">
        <v>510</v>
      </c>
      <c r="O565" s="97">
        <f>390+120</f>
        <v>510</v>
      </c>
      <c r="P565" s="52"/>
    </row>
    <row r="566" spans="1:16" ht="40.950000000000003" customHeight="1" x14ac:dyDescent="0.3">
      <c r="A566" s="4">
        <v>150</v>
      </c>
      <c r="B566" s="10" t="s">
        <v>295</v>
      </c>
      <c r="C566" s="10"/>
      <c r="D566" s="10"/>
      <c r="E566" s="10"/>
      <c r="F566" s="10" t="s">
        <v>220</v>
      </c>
      <c r="G566" s="4" t="s">
        <v>9</v>
      </c>
      <c r="H566" s="4">
        <v>4</v>
      </c>
      <c r="I566" s="4">
        <f t="shared" si="28"/>
        <v>25373</v>
      </c>
      <c r="J566" s="4">
        <v>25613</v>
      </c>
      <c r="K566" s="4">
        <f t="shared" ref="K566:K635" si="29">L566-J566</f>
        <v>0</v>
      </c>
      <c r="L566" s="1">
        <v>25613</v>
      </c>
      <c r="M566" s="93">
        <f t="shared" si="27"/>
        <v>0</v>
      </c>
      <c r="N566" s="2">
        <v>240</v>
      </c>
      <c r="O566" s="97">
        <f>240</f>
        <v>240</v>
      </c>
      <c r="P566" s="52"/>
    </row>
    <row r="567" spans="1:16" ht="40.950000000000003" customHeight="1" x14ac:dyDescent="0.3">
      <c r="A567" s="4">
        <v>150</v>
      </c>
      <c r="B567" s="10" t="s">
        <v>295</v>
      </c>
      <c r="C567" s="10"/>
      <c r="D567" s="10"/>
      <c r="E567" s="10"/>
      <c r="F567" s="10" t="s">
        <v>220</v>
      </c>
      <c r="G567" s="4" t="s">
        <v>11</v>
      </c>
      <c r="H567" s="4">
        <v>2</v>
      </c>
      <c r="I567" s="4">
        <f t="shared" si="28"/>
        <v>24259</v>
      </c>
      <c r="J567" s="4">
        <v>24764</v>
      </c>
      <c r="K567" s="4">
        <f t="shared" si="29"/>
        <v>0</v>
      </c>
      <c r="L567" s="1">
        <v>24764</v>
      </c>
      <c r="M567" s="93">
        <f t="shared" si="27"/>
        <v>0</v>
      </c>
      <c r="N567" s="2">
        <v>505</v>
      </c>
      <c r="O567" s="97">
        <f>505</f>
        <v>505</v>
      </c>
      <c r="P567" s="52"/>
    </row>
    <row r="568" spans="1:16" ht="40.950000000000003" customHeight="1" x14ac:dyDescent="0.3">
      <c r="A568" s="4">
        <v>150</v>
      </c>
      <c r="B568" s="10" t="s">
        <v>295</v>
      </c>
      <c r="C568" s="10"/>
      <c r="D568" s="10"/>
      <c r="E568" s="10"/>
      <c r="F568" s="10" t="s">
        <v>220</v>
      </c>
      <c r="G568" s="4" t="s">
        <v>22</v>
      </c>
      <c r="H568" s="4"/>
      <c r="I568" s="4">
        <f t="shared" si="28"/>
        <v>25226</v>
      </c>
      <c r="J568" s="4">
        <v>25346</v>
      </c>
      <c r="K568" s="4">
        <f t="shared" si="29"/>
        <v>0</v>
      </c>
      <c r="L568" s="1">
        <v>25346</v>
      </c>
      <c r="M568" s="93">
        <f t="shared" si="27"/>
        <v>0</v>
      </c>
      <c r="N568" s="2">
        <v>120</v>
      </c>
      <c r="O568" s="97">
        <v>120</v>
      </c>
      <c r="P568" s="52"/>
    </row>
    <row r="569" spans="1:16" ht="40.950000000000003" customHeight="1" x14ac:dyDescent="0.3">
      <c r="A569" s="4">
        <v>151</v>
      </c>
      <c r="B569" s="10" t="s">
        <v>340</v>
      </c>
      <c r="C569" s="10"/>
      <c r="D569" s="10"/>
      <c r="E569" s="10"/>
      <c r="F569" s="10" t="s">
        <v>220</v>
      </c>
      <c r="G569" s="4" t="s">
        <v>9</v>
      </c>
      <c r="H569" s="4">
        <v>10</v>
      </c>
      <c r="I569" s="4">
        <f t="shared" si="28"/>
        <v>130582</v>
      </c>
      <c r="J569" s="4">
        <v>148212</v>
      </c>
      <c r="K569" s="4">
        <f t="shared" si="29"/>
        <v>0</v>
      </c>
      <c r="L569" s="1">
        <v>148212</v>
      </c>
      <c r="M569" s="93">
        <f t="shared" si="27"/>
        <v>0</v>
      </c>
      <c r="N569" s="2">
        <v>17630</v>
      </c>
      <c r="O569" s="97">
        <v>17630</v>
      </c>
      <c r="P569" s="52">
        <v>0.95</v>
      </c>
    </row>
    <row r="570" spans="1:16" ht="40.950000000000003" customHeight="1" x14ac:dyDescent="0.3">
      <c r="A570" s="4">
        <v>151</v>
      </c>
      <c r="B570" s="10" t="s">
        <v>340</v>
      </c>
      <c r="C570" s="10"/>
      <c r="D570" s="10"/>
      <c r="E570" s="10"/>
      <c r="F570" s="10" t="s">
        <v>220</v>
      </c>
      <c r="G570" s="4" t="s">
        <v>22</v>
      </c>
      <c r="H570" s="4">
        <v>8</v>
      </c>
      <c r="I570" s="4">
        <f t="shared" si="28"/>
        <v>167776.05</v>
      </c>
      <c r="J570" s="4">
        <v>181551</v>
      </c>
      <c r="K570" s="4">
        <f t="shared" si="29"/>
        <v>0</v>
      </c>
      <c r="L570" s="1">
        <v>181551</v>
      </c>
      <c r="M570" s="93">
        <f t="shared" si="27"/>
        <v>0</v>
      </c>
      <c r="N570" s="2">
        <v>13774.95</v>
      </c>
      <c r="O570" s="97">
        <v>13774.95</v>
      </c>
      <c r="P570" s="52">
        <v>0.94499999999999995</v>
      </c>
    </row>
    <row r="571" spans="1:16" ht="40.950000000000003" customHeight="1" x14ac:dyDescent="0.3">
      <c r="A571" s="4">
        <v>151</v>
      </c>
      <c r="B571" s="10" t="s">
        <v>340</v>
      </c>
      <c r="C571" s="10"/>
      <c r="D571" s="10"/>
      <c r="E571" s="10"/>
      <c r="F571" s="10" t="s">
        <v>220</v>
      </c>
      <c r="G571" s="4" t="s">
        <v>70</v>
      </c>
      <c r="H571" s="4">
        <v>12</v>
      </c>
      <c r="I571" s="4">
        <f t="shared" si="28"/>
        <v>191223</v>
      </c>
      <c r="J571" s="4">
        <v>211281</v>
      </c>
      <c r="K571" s="4">
        <f t="shared" si="29"/>
        <v>0</v>
      </c>
      <c r="L571" s="1">
        <v>211281</v>
      </c>
      <c r="M571" s="93">
        <f t="shared" si="27"/>
        <v>0</v>
      </c>
      <c r="N571" s="2">
        <v>20058</v>
      </c>
      <c r="O571" s="97">
        <v>20058</v>
      </c>
      <c r="P571" s="52"/>
    </row>
    <row r="572" spans="1:16" ht="40.950000000000003" customHeight="1" x14ac:dyDescent="0.3">
      <c r="A572" s="4">
        <v>151</v>
      </c>
      <c r="B572" s="10" t="s">
        <v>340</v>
      </c>
      <c r="C572" s="10"/>
      <c r="D572" s="10"/>
      <c r="E572" s="10"/>
      <c r="F572" s="10" t="s">
        <v>220</v>
      </c>
      <c r="G572" s="4" t="s">
        <v>90</v>
      </c>
      <c r="H572" s="4">
        <v>24</v>
      </c>
      <c r="I572" s="4">
        <f t="shared" si="28"/>
        <v>293109</v>
      </c>
      <c r="J572" s="4">
        <v>328786</v>
      </c>
      <c r="K572" s="4">
        <f t="shared" si="29"/>
        <v>0</v>
      </c>
      <c r="L572" s="1">
        <v>328786</v>
      </c>
      <c r="M572" s="93">
        <f t="shared" si="27"/>
        <v>0</v>
      </c>
      <c r="N572" s="2">
        <v>35677</v>
      </c>
      <c r="O572" s="97">
        <v>35677</v>
      </c>
      <c r="P572" s="52">
        <v>0.96599999999999997</v>
      </c>
    </row>
    <row r="573" spans="1:16" ht="40.950000000000003" customHeight="1" x14ac:dyDescent="0.3">
      <c r="A573" s="4">
        <v>151</v>
      </c>
      <c r="B573" s="10" t="s">
        <v>340</v>
      </c>
      <c r="C573" s="10"/>
      <c r="D573" s="10"/>
      <c r="E573" s="10"/>
      <c r="F573" s="10" t="s">
        <v>406</v>
      </c>
      <c r="G573" s="4" t="s">
        <v>64</v>
      </c>
      <c r="H573" s="4">
        <v>7</v>
      </c>
      <c r="I573" s="4">
        <f t="shared" si="28"/>
        <v>23234</v>
      </c>
      <c r="J573" s="4">
        <v>25054</v>
      </c>
      <c r="K573" s="4">
        <f t="shared" si="29"/>
        <v>0</v>
      </c>
      <c r="L573" s="1">
        <v>25054</v>
      </c>
      <c r="M573" s="93">
        <f t="shared" si="27"/>
        <v>0</v>
      </c>
      <c r="N573" s="2">
        <v>1820</v>
      </c>
      <c r="O573" s="97">
        <v>1820</v>
      </c>
      <c r="P573" s="52">
        <v>0.93</v>
      </c>
    </row>
    <row r="574" spans="1:16" ht="40.950000000000003" customHeight="1" x14ac:dyDescent="0.3">
      <c r="A574" s="4">
        <v>151</v>
      </c>
      <c r="B574" s="10" t="s">
        <v>340</v>
      </c>
      <c r="C574" s="10"/>
      <c r="D574" s="10"/>
      <c r="E574" s="10"/>
      <c r="F574" s="10" t="s">
        <v>220</v>
      </c>
      <c r="G574" s="4" t="s">
        <v>39</v>
      </c>
      <c r="H574" s="4">
        <v>18</v>
      </c>
      <c r="I574" s="4">
        <f t="shared" si="28"/>
        <v>285175</v>
      </c>
      <c r="J574" s="4">
        <v>308932</v>
      </c>
      <c r="K574" s="4">
        <f t="shared" si="29"/>
        <v>0</v>
      </c>
      <c r="L574" s="1">
        <v>308932</v>
      </c>
      <c r="M574" s="93">
        <f t="shared" si="27"/>
        <v>0</v>
      </c>
      <c r="N574" s="2">
        <v>23757</v>
      </c>
      <c r="O574" s="97">
        <v>23757</v>
      </c>
      <c r="P574" s="52">
        <v>0.90500000000000003</v>
      </c>
    </row>
    <row r="575" spans="1:16" ht="40.950000000000003" customHeight="1" x14ac:dyDescent="0.3">
      <c r="A575" s="4">
        <v>151</v>
      </c>
      <c r="B575" s="10" t="s">
        <v>340</v>
      </c>
      <c r="C575" s="10"/>
      <c r="D575" s="10"/>
      <c r="E575" s="10"/>
      <c r="F575" s="10" t="s">
        <v>220</v>
      </c>
      <c r="G575" s="4" t="s">
        <v>114</v>
      </c>
      <c r="H575" s="4">
        <v>10</v>
      </c>
      <c r="I575" s="4">
        <f t="shared" si="28"/>
        <v>150005.5</v>
      </c>
      <c r="J575" s="4">
        <v>160787</v>
      </c>
      <c r="K575" s="4">
        <f t="shared" si="29"/>
        <v>0</v>
      </c>
      <c r="L575" s="1">
        <v>160787</v>
      </c>
      <c r="M575" s="93">
        <f t="shared" si="27"/>
        <v>0</v>
      </c>
      <c r="N575" s="2">
        <v>10781.5</v>
      </c>
      <c r="O575" s="97">
        <v>10781.5</v>
      </c>
      <c r="P575" s="52">
        <v>0.96199999999999997</v>
      </c>
    </row>
    <row r="576" spans="1:16" ht="40.950000000000003" customHeight="1" x14ac:dyDescent="0.3">
      <c r="A576" s="4">
        <v>151</v>
      </c>
      <c r="B576" s="10" t="s">
        <v>340</v>
      </c>
      <c r="C576" s="10"/>
      <c r="D576" s="10"/>
      <c r="E576" s="10"/>
      <c r="F576" s="10" t="s">
        <v>220</v>
      </c>
      <c r="G576" s="4" t="s">
        <v>85</v>
      </c>
      <c r="H576" s="4">
        <v>17</v>
      </c>
      <c r="I576" s="4">
        <f t="shared" si="28"/>
        <v>283813.5</v>
      </c>
      <c r="J576" s="4">
        <v>301611</v>
      </c>
      <c r="K576" s="4">
        <f t="shared" si="29"/>
        <v>0</v>
      </c>
      <c r="L576" s="1">
        <v>301611</v>
      </c>
      <c r="M576" s="93">
        <f t="shared" si="27"/>
        <v>0</v>
      </c>
      <c r="N576" s="2">
        <v>17797.5</v>
      </c>
      <c r="O576" s="97">
        <v>17797.5</v>
      </c>
      <c r="P576" s="52">
        <v>0.96350000000000002</v>
      </c>
    </row>
    <row r="577" spans="1:16" ht="40.950000000000003" customHeight="1" x14ac:dyDescent="0.3">
      <c r="A577" s="4">
        <v>151</v>
      </c>
      <c r="B577" s="10" t="s">
        <v>340</v>
      </c>
      <c r="C577" s="10"/>
      <c r="D577" s="10"/>
      <c r="E577" s="10"/>
      <c r="F577" s="10" t="s">
        <v>220</v>
      </c>
      <c r="G577" s="4" t="s">
        <v>198</v>
      </c>
      <c r="H577" s="4">
        <v>5</v>
      </c>
      <c r="I577" s="4">
        <f t="shared" si="28"/>
        <v>21644</v>
      </c>
      <c r="J577" s="4">
        <v>22484</v>
      </c>
      <c r="K577" s="4">
        <f t="shared" si="29"/>
        <v>0</v>
      </c>
      <c r="L577" s="1">
        <v>22484</v>
      </c>
      <c r="M577" s="93">
        <f t="shared" si="27"/>
        <v>0</v>
      </c>
      <c r="N577" s="2">
        <v>840</v>
      </c>
      <c r="O577" s="97">
        <f>840</f>
        <v>840</v>
      </c>
      <c r="P577" s="52" t="s">
        <v>1143</v>
      </c>
    </row>
    <row r="578" spans="1:16" ht="40.950000000000003" customHeight="1" x14ac:dyDescent="0.3">
      <c r="A578" s="4">
        <v>151</v>
      </c>
      <c r="B578" s="10" t="s">
        <v>340</v>
      </c>
      <c r="C578" s="10"/>
      <c r="D578" s="10"/>
      <c r="E578" s="10"/>
      <c r="F578" s="10" t="s">
        <v>220</v>
      </c>
      <c r="G578" s="4" t="s">
        <v>200</v>
      </c>
      <c r="H578" s="4">
        <v>10</v>
      </c>
      <c r="I578" s="4">
        <f t="shared" si="28"/>
        <v>25795</v>
      </c>
      <c r="J578" s="4">
        <v>28345</v>
      </c>
      <c r="K578" s="4">
        <f t="shared" si="29"/>
        <v>0</v>
      </c>
      <c r="L578" s="1">
        <v>28345</v>
      </c>
      <c r="M578" s="93">
        <f t="shared" si="27"/>
        <v>0</v>
      </c>
      <c r="N578" s="2">
        <v>2550</v>
      </c>
      <c r="O578" s="97">
        <v>2550</v>
      </c>
      <c r="P578" s="52" t="s">
        <v>1323</v>
      </c>
    </row>
    <row r="579" spans="1:16" ht="40.950000000000003" customHeight="1" x14ac:dyDescent="0.3">
      <c r="A579" s="4">
        <v>151</v>
      </c>
      <c r="B579" s="10" t="s">
        <v>340</v>
      </c>
      <c r="C579" s="10"/>
      <c r="D579" s="10"/>
      <c r="E579" s="10"/>
      <c r="F579" s="10" t="s">
        <v>220</v>
      </c>
      <c r="G579" s="4" t="s">
        <v>391</v>
      </c>
      <c r="H579" s="4">
        <v>6</v>
      </c>
      <c r="I579" s="4">
        <f t="shared" si="28"/>
        <v>13588</v>
      </c>
      <c r="J579" s="4">
        <v>15073</v>
      </c>
      <c r="K579" s="4">
        <f t="shared" si="29"/>
        <v>0</v>
      </c>
      <c r="L579" s="1">
        <v>15073</v>
      </c>
      <c r="M579" s="93">
        <f t="shared" si="27"/>
        <v>0</v>
      </c>
      <c r="N579" s="2">
        <v>1485</v>
      </c>
      <c r="O579" s="97">
        <v>1485</v>
      </c>
      <c r="P579" s="52" t="s">
        <v>1455</v>
      </c>
    </row>
    <row r="580" spans="1:16" ht="40.950000000000003" customHeight="1" x14ac:dyDescent="0.3">
      <c r="A580" s="4">
        <v>151</v>
      </c>
      <c r="B580" s="10" t="s">
        <v>340</v>
      </c>
      <c r="C580" s="10"/>
      <c r="D580" s="10"/>
      <c r="E580" s="10"/>
      <c r="F580" s="10" t="s">
        <v>220</v>
      </c>
      <c r="G580" s="4" t="s">
        <v>381</v>
      </c>
      <c r="H580" s="4">
        <v>5</v>
      </c>
      <c r="I580" s="4">
        <f t="shared" si="28"/>
        <v>2480</v>
      </c>
      <c r="J580" s="4">
        <v>2600</v>
      </c>
      <c r="K580" s="4">
        <f t="shared" si="29"/>
        <v>0</v>
      </c>
      <c r="L580" s="1">
        <v>2600</v>
      </c>
      <c r="M580" s="93">
        <f t="shared" si="27"/>
        <v>0</v>
      </c>
      <c r="N580" s="2">
        <v>120</v>
      </c>
      <c r="O580" s="97">
        <f>120</f>
        <v>120</v>
      </c>
      <c r="P580" s="52">
        <v>0.93</v>
      </c>
    </row>
    <row r="581" spans="1:16" ht="40.950000000000003" customHeight="1" x14ac:dyDescent="0.3">
      <c r="A581" s="4">
        <v>151</v>
      </c>
      <c r="B581" s="10" t="s">
        <v>340</v>
      </c>
      <c r="C581" s="10"/>
      <c r="D581" s="10"/>
      <c r="E581" s="10"/>
      <c r="F581" s="10" t="s">
        <v>220</v>
      </c>
      <c r="G581" s="4" t="s">
        <v>181</v>
      </c>
      <c r="H581" s="4">
        <v>8</v>
      </c>
      <c r="I581" s="4">
        <f t="shared" si="28"/>
        <v>34018</v>
      </c>
      <c r="J581" s="4">
        <v>37948</v>
      </c>
      <c r="K581" s="4">
        <f t="shared" si="29"/>
        <v>0</v>
      </c>
      <c r="L581" s="1">
        <v>37948</v>
      </c>
      <c r="M581" s="93">
        <f t="shared" si="27"/>
        <v>0</v>
      </c>
      <c r="N581" s="2">
        <v>3930</v>
      </c>
      <c r="O581" s="97">
        <v>3930</v>
      </c>
      <c r="P581" s="52" t="s">
        <v>1518</v>
      </c>
    </row>
    <row r="582" spans="1:16" ht="40.950000000000003" customHeight="1" x14ac:dyDescent="0.3">
      <c r="A582" s="4">
        <v>151</v>
      </c>
      <c r="B582" s="10" t="s">
        <v>340</v>
      </c>
      <c r="C582" s="10"/>
      <c r="D582" s="10"/>
      <c r="E582" s="10"/>
      <c r="F582" s="10" t="s">
        <v>220</v>
      </c>
      <c r="G582" s="4" t="s">
        <v>368</v>
      </c>
      <c r="H582" s="4">
        <v>7</v>
      </c>
      <c r="I582" s="4">
        <f t="shared" si="28"/>
        <v>13573</v>
      </c>
      <c r="J582" s="4">
        <v>14173</v>
      </c>
      <c r="K582" s="4">
        <f t="shared" si="29"/>
        <v>0</v>
      </c>
      <c r="L582" s="1">
        <v>14173</v>
      </c>
      <c r="M582" s="93">
        <f t="shared" si="27"/>
        <v>0</v>
      </c>
      <c r="N582" s="2">
        <v>600</v>
      </c>
      <c r="O582" s="97">
        <f>120+480</f>
        <v>600</v>
      </c>
      <c r="P582" s="52">
        <v>0.93</v>
      </c>
    </row>
    <row r="583" spans="1:16" ht="40.950000000000003" customHeight="1" x14ac:dyDescent="0.3">
      <c r="A583" s="4">
        <v>151</v>
      </c>
      <c r="B583" s="10" t="s">
        <v>340</v>
      </c>
      <c r="C583" s="10"/>
      <c r="D583" s="10"/>
      <c r="E583" s="10"/>
      <c r="F583" s="10" t="s">
        <v>220</v>
      </c>
      <c r="G583" s="4" t="s">
        <v>199</v>
      </c>
      <c r="H583" s="4">
        <v>4</v>
      </c>
      <c r="I583" s="4">
        <f t="shared" si="28"/>
        <v>5539</v>
      </c>
      <c r="J583" s="4">
        <v>9259</v>
      </c>
      <c r="K583" s="4">
        <f t="shared" si="29"/>
        <v>0</v>
      </c>
      <c r="L583" s="1">
        <v>9259</v>
      </c>
      <c r="M583" s="93">
        <f t="shared" si="27"/>
        <v>0</v>
      </c>
      <c r="N583" s="2">
        <v>3720</v>
      </c>
      <c r="O583" s="97">
        <f>3600+120</f>
        <v>3720</v>
      </c>
      <c r="P583" s="52">
        <v>0.93</v>
      </c>
    </row>
    <row r="584" spans="1:16" ht="40.950000000000003" customHeight="1" x14ac:dyDescent="0.3">
      <c r="A584" s="4">
        <v>151</v>
      </c>
      <c r="B584" s="10" t="s">
        <v>340</v>
      </c>
      <c r="C584" s="10"/>
      <c r="D584" s="10"/>
      <c r="E584" s="10"/>
      <c r="F584" s="4" t="s">
        <v>483</v>
      </c>
      <c r="G584" s="4" t="s">
        <v>200</v>
      </c>
      <c r="H584" s="4">
        <v>4</v>
      </c>
      <c r="I584" s="4">
        <f t="shared" si="28"/>
        <v>3630</v>
      </c>
      <c r="J584" s="4">
        <v>3630</v>
      </c>
      <c r="K584" s="4">
        <f t="shared" si="29"/>
        <v>0</v>
      </c>
      <c r="L584" s="1">
        <v>3630</v>
      </c>
      <c r="M584" s="93">
        <f t="shared" si="27"/>
        <v>0</v>
      </c>
      <c r="N584" s="2"/>
      <c r="O584" s="97"/>
      <c r="P584" s="52">
        <v>0.93</v>
      </c>
    </row>
    <row r="585" spans="1:16" ht="40.950000000000003" customHeight="1" x14ac:dyDescent="0.3">
      <c r="A585" s="4">
        <v>151</v>
      </c>
      <c r="B585" s="10" t="s">
        <v>340</v>
      </c>
      <c r="C585" s="10"/>
      <c r="D585" s="10"/>
      <c r="E585" s="10"/>
      <c r="F585" s="10" t="s">
        <v>406</v>
      </c>
      <c r="G585" s="4" t="s">
        <v>198</v>
      </c>
      <c r="H585" s="4">
        <v>3</v>
      </c>
      <c r="I585" s="4">
        <f t="shared" si="28"/>
        <v>6402</v>
      </c>
      <c r="J585" s="4">
        <v>6522</v>
      </c>
      <c r="K585" s="4">
        <f t="shared" si="29"/>
        <v>0</v>
      </c>
      <c r="L585" s="1">
        <v>6522</v>
      </c>
      <c r="M585" s="93">
        <f t="shared" si="27"/>
        <v>0</v>
      </c>
      <c r="N585" s="2">
        <v>120</v>
      </c>
      <c r="O585" s="97">
        <f>120</f>
        <v>120</v>
      </c>
      <c r="P585" s="52">
        <v>0.93</v>
      </c>
    </row>
    <row r="586" spans="1:16" ht="40.950000000000003" customHeight="1" x14ac:dyDescent="0.3">
      <c r="A586" s="4">
        <v>151</v>
      </c>
      <c r="B586" s="10" t="s">
        <v>340</v>
      </c>
      <c r="C586" s="10"/>
      <c r="D586" s="10"/>
      <c r="E586" s="10"/>
      <c r="F586" s="10" t="s">
        <v>406</v>
      </c>
      <c r="G586" s="4" t="s">
        <v>200</v>
      </c>
      <c r="H586" s="4">
        <v>3</v>
      </c>
      <c r="I586" s="4">
        <f t="shared" si="28"/>
        <v>10403</v>
      </c>
      <c r="J586" s="4">
        <v>10463</v>
      </c>
      <c r="K586" s="4">
        <f t="shared" si="29"/>
        <v>0</v>
      </c>
      <c r="L586" s="1">
        <v>10463</v>
      </c>
      <c r="M586" s="93">
        <f t="shared" si="27"/>
        <v>0</v>
      </c>
      <c r="N586" s="2">
        <v>60</v>
      </c>
      <c r="O586" s="97">
        <f>60</f>
        <v>60</v>
      </c>
      <c r="P586" s="52">
        <v>0.93</v>
      </c>
    </row>
    <row r="587" spans="1:16" ht="40.950000000000003" customHeight="1" x14ac:dyDescent="0.3">
      <c r="A587" s="4">
        <v>151</v>
      </c>
      <c r="B587" s="10" t="s">
        <v>340</v>
      </c>
      <c r="C587" s="10"/>
      <c r="D587" s="10"/>
      <c r="E587" s="10"/>
      <c r="F587" s="10" t="s">
        <v>406</v>
      </c>
      <c r="G587" s="4" t="s">
        <v>169</v>
      </c>
      <c r="H587" s="4">
        <v>4</v>
      </c>
      <c r="I587" s="4">
        <f t="shared" si="28"/>
        <v>31493</v>
      </c>
      <c r="J587" s="4">
        <v>31853</v>
      </c>
      <c r="K587" s="4">
        <f t="shared" si="29"/>
        <v>0</v>
      </c>
      <c r="L587" s="1">
        <v>31853</v>
      </c>
      <c r="M587" s="93">
        <f t="shared" si="27"/>
        <v>0</v>
      </c>
      <c r="N587" s="2">
        <v>360</v>
      </c>
      <c r="O587" s="97">
        <f>360</f>
        <v>360</v>
      </c>
      <c r="P587" s="52">
        <v>0.93</v>
      </c>
    </row>
    <row r="588" spans="1:16" ht="40.950000000000003" customHeight="1" x14ac:dyDescent="0.3">
      <c r="A588" s="4">
        <v>151</v>
      </c>
      <c r="B588" s="10" t="s">
        <v>340</v>
      </c>
      <c r="C588" s="10"/>
      <c r="D588" s="10"/>
      <c r="E588" s="10"/>
      <c r="F588" s="10" t="s">
        <v>406</v>
      </c>
      <c r="G588" s="4" t="s">
        <v>368</v>
      </c>
      <c r="H588" s="4">
        <v>3</v>
      </c>
      <c r="I588" s="4">
        <f t="shared" si="28"/>
        <v>5766</v>
      </c>
      <c r="J588" s="4">
        <v>5766</v>
      </c>
      <c r="K588" s="4">
        <f t="shared" si="29"/>
        <v>0</v>
      </c>
      <c r="L588" s="1">
        <v>5766</v>
      </c>
      <c r="M588" s="93">
        <f t="shared" si="27"/>
        <v>0</v>
      </c>
      <c r="N588" s="2"/>
      <c r="O588" s="97"/>
      <c r="P588" s="52">
        <v>0.93</v>
      </c>
    </row>
    <row r="589" spans="1:16" ht="40.950000000000003" customHeight="1" x14ac:dyDescent="0.3">
      <c r="A589" s="4">
        <v>151</v>
      </c>
      <c r="B589" s="10" t="s">
        <v>340</v>
      </c>
      <c r="C589" s="10"/>
      <c r="D589" s="10"/>
      <c r="E589" s="10"/>
      <c r="F589" s="10" t="s">
        <v>406</v>
      </c>
      <c r="G589" s="4" t="s">
        <v>391</v>
      </c>
      <c r="H589" s="4">
        <v>3</v>
      </c>
      <c r="I589" s="4">
        <f t="shared" si="28"/>
        <v>3581</v>
      </c>
      <c r="J589" s="4">
        <v>3581</v>
      </c>
      <c r="K589" s="4">
        <f t="shared" si="29"/>
        <v>0</v>
      </c>
      <c r="L589" s="1">
        <v>3581</v>
      </c>
      <c r="M589" s="93">
        <f t="shared" si="27"/>
        <v>0</v>
      </c>
      <c r="N589" s="2"/>
      <c r="O589" s="97"/>
      <c r="P589" s="52">
        <v>0.93</v>
      </c>
    </row>
    <row r="590" spans="1:16" ht="40.950000000000003" customHeight="1" x14ac:dyDescent="0.3">
      <c r="A590" s="4">
        <v>151</v>
      </c>
      <c r="B590" s="10" t="s">
        <v>340</v>
      </c>
      <c r="C590" s="10"/>
      <c r="D590" s="10"/>
      <c r="E590" s="10"/>
      <c r="F590" s="10" t="s">
        <v>406</v>
      </c>
      <c r="G590" s="4" t="s">
        <v>362</v>
      </c>
      <c r="H590" s="4">
        <v>3</v>
      </c>
      <c r="I590" s="4">
        <f t="shared" si="28"/>
        <v>1744</v>
      </c>
      <c r="J590" s="4">
        <v>1744</v>
      </c>
      <c r="K590" s="4">
        <f t="shared" si="29"/>
        <v>0</v>
      </c>
      <c r="L590" s="1">
        <v>1744</v>
      </c>
      <c r="M590" s="93">
        <f t="shared" si="27"/>
        <v>0</v>
      </c>
      <c r="N590" s="2"/>
      <c r="O590" s="97"/>
      <c r="P590" s="52">
        <v>0.93</v>
      </c>
    </row>
    <row r="591" spans="1:16" ht="40.950000000000003" customHeight="1" x14ac:dyDescent="0.3">
      <c r="A591" s="4">
        <v>151</v>
      </c>
      <c r="B591" s="10" t="s">
        <v>340</v>
      </c>
      <c r="C591" s="10"/>
      <c r="D591" s="10"/>
      <c r="E591" s="10"/>
      <c r="F591" s="10" t="s">
        <v>406</v>
      </c>
      <c r="G591" s="4" t="s">
        <v>70</v>
      </c>
      <c r="H591" s="4">
        <v>4</v>
      </c>
      <c r="I591" s="4">
        <f t="shared" si="28"/>
        <v>24706</v>
      </c>
      <c r="J591" s="4">
        <v>25226</v>
      </c>
      <c r="K591" s="4">
        <f t="shared" si="29"/>
        <v>0</v>
      </c>
      <c r="L591" s="1">
        <v>25226</v>
      </c>
      <c r="M591" s="93">
        <f t="shared" si="27"/>
        <v>0</v>
      </c>
      <c r="N591" s="2">
        <v>520</v>
      </c>
      <c r="O591" s="97">
        <v>520</v>
      </c>
      <c r="P591" s="52"/>
    </row>
    <row r="592" spans="1:16" ht="40.950000000000003" customHeight="1" x14ac:dyDescent="0.3">
      <c r="A592" s="4">
        <v>151</v>
      </c>
      <c r="B592" s="10" t="s">
        <v>340</v>
      </c>
      <c r="C592" s="10"/>
      <c r="D592" s="10"/>
      <c r="E592" s="10"/>
      <c r="F592" s="10" t="s">
        <v>406</v>
      </c>
      <c r="G592" s="4" t="s">
        <v>90</v>
      </c>
      <c r="H592" s="4">
        <v>3</v>
      </c>
      <c r="I592" s="4">
        <f t="shared" si="28"/>
        <v>24725</v>
      </c>
      <c r="J592" s="4">
        <v>24845</v>
      </c>
      <c r="K592" s="4">
        <f t="shared" si="29"/>
        <v>0</v>
      </c>
      <c r="L592" s="1">
        <v>24845</v>
      </c>
      <c r="M592" s="93">
        <f t="shared" si="27"/>
        <v>0</v>
      </c>
      <c r="N592" s="2">
        <v>120</v>
      </c>
      <c r="O592" s="97">
        <f>120</f>
        <v>120</v>
      </c>
      <c r="P592" s="52" t="s">
        <v>1120</v>
      </c>
    </row>
    <row r="593" spans="1:16" ht="40.950000000000003" customHeight="1" x14ac:dyDescent="0.3">
      <c r="A593" s="4">
        <v>151</v>
      </c>
      <c r="B593" s="10" t="s">
        <v>340</v>
      </c>
      <c r="C593" s="10"/>
      <c r="D593" s="10"/>
      <c r="E593" s="10"/>
      <c r="F593" s="10" t="s">
        <v>397</v>
      </c>
      <c r="G593" s="4" t="s">
        <v>49</v>
      </c>
      <c r="H593" s="4">
        <v>2</v>
      </c>
      <c r="I593" s="4">
        <f t="shared" si="28"/>
        <v>25348</v>
      </c>
      <c r="J593" s="4">
        <v>26368</v>
      </c>
      <c r="K593" s="4">
        <f t="shared" si="29"/>
        <v>0</v>
      </c>
      <c r="L593" s="1">
        <v>26368</v>
      </c>
      <c r="M593" s="93">
        <f t="shared" si="27"/>
        <v>0</v>
      </c>
      <c r="N593" s="2">
        <v>1020</v>
      </c>
      <c r="O593" s="97">
        <v>1020</v>
      </c>
      <c r="P593" s="52" t="s">
        <v>1279</v>
      </c>
    </row>
    <row r="594" spans="1:16" ht="40.950000000000003" customHeight="1" x14ac:dyDescent="0.3">
      <c r="A594" s="4">
        <v>151</v>
      </c>
      <c r="B594" s="10" t="s">
        <v>340</v>
      </c>
      <c r="C594" s="10"/>
      <c r="D594" s="10"/>
      <c r="E594" s="10"/>
      <c r="F594" s="10" t="s">
        <v>397</v>
      </c>
      <c r="G594" s="4" t="s">
        <v>50</v>
      </c>
      <c r="H594" s="4">
        <v>5</v>
      </c>
      <c r="I594" s="4">
        <f t="shared" si="28"/>
        <v>23893</v>
      </c>
      <c r="J594" s="4">
        <v>26913</v>
      </c>
      <c r="K594" s="4">
        <f t="shared" si="29"/>
        <v>0</v>
      </c>
      <c r="L594" s="1">
        <v>26913</v>
      </c>
      <c r="M594" s="93">
        <f t="shared" si="27"/>
        <v>0</v>
      </c>
      <c r="N594" s="2">
        <v>3020</v>
      </c>
      <c r="O594" s="97">
        <v>3020</v>
      </c>
      <c r="P594" s="52" t="s">
        <v>1198</v>
      </c>
    </row>
    <row r="595" spans="1:16" ht="40.950000000000003" customHeight="1" x14ac:dyDescent="0.3">
      <c r="A595" s="4">
        <v>151</v>
      </c>
      <c r="B595" s="10" t="s">
        <v>340</v>
      </c>
      <c r="C595" s="10"/>
      <c r="D595" s="10"/>
      <c r="E595" s="10"/>
      <c r="F595" s="10" t="s">
        <v>397</v>
      </c>
      <c r="G595" s="4" t="s">
        <v>51</v>
      </c>
      <c r="H595" s="4">
        <v>9</v>
      </c>
      <c r="I595" s="4">
        <f t="shared" si="28"/>
        <v>23657</v>
      </c>
      <c r="J595" s="4">
        <v>27257</v>
      </c>
      <c r="K595" s="4">
        <f t="shared" si="29"/>
        <v>0</v>
      </c>
      <c r="L595" s="1">
        <v>27257</v>
      </c>
      <c r="M595" s="93">
        <f t="shared" si="27"/>
        <v>0</v>
      </c>
      <c r="N595" s="2">
        <v>3600</v>
      </c>
      <c r="O595" s="97">
        <v>3600</v>
      </c>
      <c r="P595" s="52" t="s">
        <v>1771</v>
      </c>
    </row>
    <row r="596" spans="1:16" ht="40.950000000000003" customHeight="1" x14ac:dyDescent="0.3">
      <c r="A596" s="4">
        <v>151</v>
      </c>
      <c r="B596" s="10" t="s">
        <v>340</v>
      </c>
      <c r="C596" s="10"/>
      <c r="D596" s="10"/>
      <c r="E596" s="10"/>
      <c r="F596" s="10" t="s">
        <v>397</v>
      </c>
      <c r="G596" s="4" t="s">
        <v>39</v>
      </c>
      <c r="H596" s="4">
        <v>7</v>
      </c>
      <c r="I596" s="4">
        <f t="shared" si="28"/>
        <v>24366</v>
      </c>
      <c r="J596" s="4">
        <v>25486</v>
      </c>
      <c r="K596" s="4">
        <f t="shared" si="29"/>
        <v>0</v>
      </c>
      <c r="L596" s="1">
        <v>25486</v>
      </c>
      <c r="M596" s="93">
        <f t="shared" si="27"/>
        <v>0</v>
      </c>
      <c r="N596" s="2">
        <v>1120</v>
      </c>
      <c r="O596" s="97">
        <v>1120</v>
      </c>
      <c r="P596" s="52" t="s">
        <v>1120</v>
      </c>
    </row>
    <row r="597" spans="1:16" ht="40.950000000000003" customHeight="1" x14ac:dyDescent="0.3">
      <c r="A597" s="4">
        <v>151</v>
      </c>
      <c r="B597" s="10" t="s">
        <v>340</v>
      </c>
      <c r="C597" s="10"/>
      <c r="D597" s="10"/>
      <c r="E597" s="10"/>
      <c r="F597" s="10" t="s">
        <v>397</v>
      </c>
      <c r="G597" s="4" t="s">
        <v>114</v>
      </c>
      <c r="H597" s="4">
        <v>5</v>
      </c>
      <c r="I597" s="4">
        <f t="shared" si="28"/>
        <v>24773</v>
      </c>
      <c r="J597" s="4">
        <v>25733</v>
      </c>
      <c r="K597" s="4">
        <f t="shared" si="29"/>
        <v>0</v>
      </c>
      <c r="L597" s="1">
        <v>25733</v>
      </c>
      <c r="M597" s="93">
        <f t="shared" si="27"/>
        <v>0</v>
      </c>
      <c r="N597" s="2">
        <v>960</v>
      </c>
      <c r="O597" s="97">
        <v>960</v>
      </c>
      <c r="P597" s="52">
        <v>0.9</v>
      </c>
    </row>
    <row r="598" spans="1:16" ht="40.950000000000003" customHeight="1" x14ac:dyDescent="0.3">
      <c r="A598" s="4">
        <v>151</v>
      </c>
      <c r="B598" s="10" t="s">
        <v>340</v>
      </c>
      <c r="C598" s="10"/>
      <c r="D598" s="10"/>
      <c r="E598" s="10"/>
      <c r="F598" s="10" t="s">
        <v>406</v>
      </c>
      <c r="G598" s="4" t="s">
        <v>281</v>
      </c>
      <c r="H598" s="4">
        <v>5</v>
      </c>
      <c r="I598" s="4">
        <f t="shared" si="28"/>
        <v>24014</v>
      </c>
      <c r="J598" s="4">
        <v>25879</v>
      </c>
      <c r="K598" s="4">
        <f t="shared" si="29"/>
        <v>0</v>
      </c>
      <c r="L598" s="1">
        <v>25879</v>
      </c>
      <c r="M598" s="93">
        <f t="shared" si="27"/>
        <v>0</v>
      </c>
      <c r="N598" s="2">
        <v>1865</v>
      </c>
      <c r="O598" s="97">
        <v>1865</v>
      </c>
      <c r="P598" s="52">
        <v>0.9</v>
      </c>
    </row>
    <row r="599" spans="1:16" ht="40.950000000000003" customHeight="1" x14ac:dyDescent="0.3">
      <c r="A599" s="4">
        <v>151</v>
      </c>
      <c r="B599" s="10" t="s">
        <v>340</v>
      </c>
      <c r="C599" s="10"/>
      <c r="D599" s="10"/>
      <c r="E599" s="10"/>
      <c r="F599" s="10" t="s">
        <v>406</v>
      </c>
      <c r="G599" s="4" t="s">
        <v>253</v>
      </c>
      <c r="H599" s="4">
        <v>4</v>
      </c>
      <c r="I599" s="4">
        <f t="shared" si="28"/>
        <v>24745</v>
      </c>
      <c r="J599" s="4">
        <v>27790</v>
      </c>
      <c r="K599" s="4">
        <f t="shared" si="29"/>
        <v>0</v>
      </c>
      <c r="L599" s="1">
        <v>27790</v>
      </c>
      <c r="M599" s="93">
        <f t="shared" si="27"/>
        <v>0</v>
      </c>
      <c r="N599" s="2">
        <v>3045</v>
      </c>
      <c r="O599" s="97">
        <v>3045</v>
      </c>
      <c r="P599" s="52">
        <v>1</v>
      </c>
    </row>
    <row r="600" spans="1:16" ht="40.950000000000003" customHeight="1" x14ac:dyDescent="0.3">
      <c r="A600" s="4">
        <v>151</v>
      </c>
      <c r="B600" s="10" t="s">
        <v>340</v>
      </c>
      <c r="C600" s="10"/>
      <c r="D600" s="10"/>
      <c r="E600" s="10"/>
      <c r="F600" s="10" t="s">
        <v>406</v>
      </c>
      <c r="G600" s="4" t="s">
        <v>122</v>
      </c>
      <c r="H600" s="4">
        <v>5</v>
      </c>
      <c r="I600" s="4">
        <f t="shared" si="28"/>
        <v>24017</v>
      </c>
      <c r="J600" s="4">
        <v>27147</v>
      </c>
      <c r="K600" s="4">
        <f t="shared" si="29"/>
        <v>0</v>
      </c>
      <c r="L600" s="1">
        <v>27147</v>
      </c>
      <c r="M600" s="93">
        <f t="shared" si="27"/>
        <v>0</v>
      </c>
      <c r="N600" s="2">
        <v>3130</v>
      </c>
      <c r="O600" s="97">
        <v>3130</v>
      </c>
      <c r="P600" s="52">
        <v>0.9</v>
      </c>
    </row>
    <row r="601" spans="1:16" ht="40.950000000000003" customHeight="1" x14ac:dyDescent="0.3">
      <c r="A601" s="4">
        <v>151</v>
      </c>
      <c r="B601" s="10" t="s">
        <v>340</v>
      </c>
      <c r="C601" s="10"/>
      <c r="D601" s="10"/>
      <c r="E601" s="10"/>
      <c r="F601" s="10" t="s">
        <v>406</v>
      </c>
      <c r="G601" s="4" t="s">
        <v>22</v>
      </c>
      <c r="H601" s="4">
        <v>2</v>
      </c>
      <c r="I601" s="4">
        <f t="shared" si="28"/>
        <v>695</v>
      </c>
      <c r="J601" s="4">
        <v>815</v>
      </c>
      <c r="K601" s="4">
        <f t="shared" si="29"/>
        <v>0</v>
      </c>
      <c r="L601" s="1">
        <v>815</v>
      </c>
      <c r="M601" s="93">
        <f t="shared" si="27"/>
        <v>0</v>
      </c>
      <c r="N601" s="2">
        <v>120</v>
      </c>
      <c r="O601" s="97">
        <v>120</v>
      </c>
      <c r="P601" s="52"/>
    </row>
    <row r="602" spans="1:16" ht="40.950000000000003" customHeight="1" x14ac:dyDescent="0.3">
      <c r="A602" s="4">
        <v>151</v>
      </c>
      <c r="B602" s="10" t="s">
        <v>340</v>
      </c>
      <c r="C602" s="10"/>
      <c r="D602" s="10"/>
      <c r="E602" s="10"/>
      <c r="F602" s="10" t="s">
        <v>406</v>
      </c>
      <c r="G602" s="4" t="s">
        <v>48</v>
      </c>
      <c r="H602" s="4">
        <v>3</v>
      </c>
      <c r="I602" s="4">
        <f t="shared" si="28"/>
        <v>23425</v>
      </c>
      <c r="J602" s="4">
        <v>24845</v>
      </c>
      <c r="K602" s="4">
        <f t="shared" si="29"/>
        <v>0</v>
      </c>
      <c r="L602" s="1">
        <v>24845</v>
      </c>
      <c r="M602" s="93">
        <f t="shared" si="27"/>
        <v>0</v>
      </c>
      <c r="N602" s="2">
        <v>1420</v>
      </c>
      <c r="O602" s="97">
        <f>1420</f>
        <v>1420</v>
      </c>
      <c r="P602" s="52"/>
    </row>
    <row r="603" spans="1:16" ht="40.950000000000003" customHeight="1" x14ac:dyDescent="0.3">
      <c r="A603" s="4">
        <v>151</v>
      </c>
      <c r="B603" s="10" t="s">
        <v>340</v>
      </c>
      <c r="C603" s="10"/>
      <c r="D603" s="10"/>
      <c r="E603" s="10"/>
      <c r="F603" s="10" t="s">
        <v>406</v>
      </c>
      <c r="G603" s="4" t="s">
        <v>9</v>
      </c>
      <c r="H603" s="4">
        <v>2</v>
      </c>
      <c r="I603" s="4">
        <f t="shared" si="28"/>
        <v>1625</v>
      </c>
      <c r="J603" s="4">
        <v>1625</v>
      </c>
      <c r="K603" s="4">
        <f>L603-J603</f>
        <v>0</v>
      </c>
      <c r="L603" s="1">
        <v>1625</v>
      </c>
      <c r="M603" s="93">
        <f t="shared" si="27"/>
        <v>0</v>
      </c>
      <c r="N603" s="2"/>
      <c r="O603" s="97"/>
      <c r="P603" s="52"/>
    </row>
    <row r="604" spans="1:16" ht="40.950000000000003" customHeight="1" x14ac:dyDescent="0.3">
      <c r="A604" s="4">
        <v>151</v>
      </c>
      <c r="B604" s="10" t="s">
        <v>340</v>
      </c>
      <c r="C604" s="10"/>
      <c r="D604" s="10"/>
      <c r="E604" s="10"/>
      <c r="F604" s="10" t="s">
        <v>406</v>
      </c>
      <c r="G604" s="4" t="s">
        <v>11</v>
      </c>
      <c r="H604" s="4">
        <v>2</v>
      </c>
      <c r="I604" s="4">
        <f t="shared" si="28"/>
        <v>861</v>
      </c>
      <c r="J604" s="4">
        <v>1541</v>
      </c>
      <c r="K604" s="4">
        <f>L604-J604</f>
        <v>0</v>
      </c>
      <c r="L604" s="1">
        <v>1541</v>
      </c>
      <c r="M604" s="93">
        <f t="shared" si="27"/>
        <v>0</v>
      </c>
      <c r="N604" s="2">
        <v>680</v>
      </c>
      <c r="O604" s="97">
        <v>680</v>
      </c>
      <c r="P604" s="52"/>
    </row>
    <row r="605" spans="1:16" ht="40.950000000000003" customHeight="1" x14ac:dyDescent="0.3">
      <c r="A605" s="4">
        <v>151</v>
      </c>
      <c r="B605" s="10" t="s">
        <v>340</v>
      </c>
      <c r="C605" s="10"/>
      <c r="D605" s="10"/>
      <c r="E605" s="10"/>
      <c r="F605" s="10" t="s">
        <v>406</v>
      </c>
      <c r="G605" s="4" t="s">
        <v>7</v>
      </c>
      <c r="H605" s="4">
        <v>1</v>
      </c>
      <c r="I605" s="4">
        <f t="shared" si="28"/>
        <v>2700</v>
      </c>
      <c r="J605" s="4">
        <v>2700</v>
      </c>
      <c r="K605" s="4">
        <f>L605-J605</f>
        <v>0</v>
      </c>
      <c r="L605" s="1">
        <v>2700</v>
      </c>
      <c r="M605" s="93">
        <f t="shared" si="27"/>
        <v>0</v>
      </c>
      <c r="N605" s="2"/>
      <c r="O605" s="97"/>
      <c r="P605" s="52"/>
    </row>
    <row r="606" spans="1:16" ht="40.950000000000003" customHeight="1" x14ac:dyDescent="0.3">
      <c r="A606" s="4">
        <v>151</v>
      </c>
      <c r="B606" s="10" t="s">
        <v>340</v>
      </c>
      <c r="C606" s="10"/>
      <c r="D606" s="10"/>
      <c r="E606" s="10"/>
      <c r="F606" s="10" t="s">
        <v>406</v>
      </c>
      <c r="G606" s="4" t="s">
        <v>8</v>
      </c>
      <c r="H606" s="4">
        <v>1</v>
      </c>
      <c r="I606" s="4">
        <f t="shared" si="28"/>
        <v>2250</v>
      </c>
      <c r="J606" s="4">
        <v>2250</v>
      </c>
      <c r="K606" s="4">
        <f>L606-J606</f>
        <v>0</v>
      </c>
      <c r="L606" s="1">
        <v>2250</v>
      </c>
      <c r="M606" s="93">
        <f t="shared" si="27"/>
        <v>0</v>
      </c>
      <c r="N606" s="2"/>
      <c r="O606" s="97"/>
      <c r="P606" s="52">
        <v>0.75</v>
      </c>
    </row>
    <row r="607" spans="1:16" ht="40.950000000000003" customHeight="1" x14ac:dyDescent="0.3">
      <c r="A607" s="4">
        <v>151</v>
      </c>
      <c r="B607" s="10" t="s">
        <v>340</v>
      </c>
      <c r="C607" s="10"/>
      <c r="D607" s="10"/>
      <c r="E607" s="10"/>
      <c r="F607" s="10" t="s">
        <v>406</v>
      </c>
      <c r="G607" s="4" t="s">
        <v>143</v>
      </c>
      <c r="H607" s="4">
        <v>6</v>
      </c>
      <c r="I607" s="4">
        <f t="shared" si="28"/>
        <v>24543</v>
      </c>
      <c r="J607" s="4">
        <v>27273</v>
      </c>
      <c r="K607" s="4">
        <f t="shared" si="29"/>
        <v>0</v>
      </c>
      <c r="L607" s="1">
        <v>27273</v>
      </c>
      <c r="M607" s="93">
        <f t="shared" si="27"/>
        <v>0</v>
      </c>
      <c r="N607" s="2">
        <v>2730</v>
      </c>
      <c r="O607" s="97">
        <v>2730</v>
      </c>
      <c r="P607" s="52" t="s">
        <v>1323</v>
      </c>
    </row>
    <row r="608" spans="1:16" ht="40.950000000000003" customHeight="1" x14ac:dyDescent="0.3">
      <c r="A608" s="4">
        <v>152</v>
      </c>
      <c r="B608" s="10" t="s">
        <v>352</v>
      </c>
      <c r="C608" s="10"/>
      <c r="D608" s="10"/>
      <c r="E608" s="10"/>
      <c r="F608" s="10" t="s">
        <v>220</v>
      </c>
      <c r="G608" s="4" t="s">
        <v>7</v>
      </c>
      <c r="H608" s="4">
        <v>17</v>
      </c>
      <c r="I608" s="4">
        <f t="shared" si="28"/>
        <v>135540</v>
      </c>
      <c r="J608" s="4">
        <v>143773</v>
      </c>
      <c r="K608" s="4">
        <f t="shared" si="29"/>
        <v>0</v>
      </c>
      <c r="L608" s="1">
        <v>143773</v>
      </c>
      <c r="M608" s="93">
        <f t="shared" si="27"/>
        <v>0</v>
      </c>
      <c r="N608" s="2">
        <v>8233</v>
      </c>
      <c r="O608" s="97">
        <v>8233</v>
      </c>
      <c r="P608" s="52" t="s">
        <v>1453</v>
      </c>
    </row>
    <row r="609" spans="1:16" ht="40.950000000000003" customHeight="1" x14ac:dyDescent="0.3">
      <c r="A609" s="4">
        <v>152</v>
      </c>
      <c r="B609" s="10" t="s">
        <v>352</v>
      </c>
      <c r="C609" s="10"/>
      <c r="D609" s="10"/>
      <c r="E609" s="10"/>
      <c r="F609" s="10" t="s">
        <v>220</v>
      </c>
      <c r="G609" s="4" t="s">
        <v>143</v>
      </c>
      <c r="H609" s="4">
        <v>26</v>
      </c>
      <c r="I609" s="4">
        <f t="shared" si="28"/>
        <v>301520.25</v>
      </c>
      <c r="J609" s="4">
        <v>322422</v>
      </c>
      <c r="K609" s="4">
        <f t="shared" si="29"/>
        <v>0</v>
      </c>
      <c r="L609" s="1">
        <v>322422</v>
      </c>
      <c r="M609" s="93">
        <f t="shared" si="27"/>
        <v>0</v>
      </c>
      <c r="N609" s="2">
        <v>20901.75</v>
      </c>
      <c r="O609" s="97">
        <v>20901.75</v>
      </c>
      <c r="P609" s="52" t="s">
        <v>1459</v>
      </c>
    </row>
    <row r="610" spans="1:16" ht="40.950000000000003" customHeight="1" x14ac:dyDescent="0.3">
      <c r="A610" s="4">
        <v>152</v>
      </c>
      <c r="B610" s="10" t="s">
        <v>352</v>
      </c>
      <c r="C610" s="10"/>
      <c r="D610" s="10"/>
      <c r="E610" s="10"/>
      <c r="F610" s="10" t="s">
        <v>220</v>
      </c>
      <c r="G610" s="4" t="s">
        <v>51</v>
      </c>
      <c r="H610" s="4">
        <v>20</v>
      </c>
      <c r="I610" s="4">
        <f t="shared" si="28"/>
        <v>147244.5</v>
      </c>
      <c r="J610" s="4">
        <v>160830</v>
      </c>
      <c r="K610" s="4">
        <f t="shared" si="29"/>
        <v>0</v>
      </c>
      <c r="L610" s="1">
        <v>160830</v>
      </c>
      <c r="M610" s="93">
        <f t="shared" si="27"/>
        <v>0</v>
      </c>
      <c r="N610" s="2">
        <v>13585.5</v>
      </c>
      <c r="O610" s="97">
        <v>13585.5</v>
      </c>
      <c r="P610" s="52" t="s">
        <v>1751</v>
      </c>
    </row>
    <row r="611" spans="1:16" ht="40.950000000000003" customHeight="1" x14ac:dyDescent="0.3">
      <c r="A611" s="4">
        <v>153</v>
      </c>
      <c r="B611" s="10" t="s">
        <v>359</v>
      </c>
      <c r="C611" s="10"/>
      <c r="D611" s="10"/>
      <c r="E611" s="10"/>
      <c r="F611" s="10" t="s">
        <v>220</v>
      </c>
      <c r="G611" s="4" t="s">
        <v>70</v>
      </c>
      <c r="H611" s="4">
        <v>4</v>
      </c>
      <c r="I611" s="4">
        <f t="shared" si="28"/>
        <v>32744</v>
      </c>
      <c r="J611" s="4">
        <v>37354</v>
      </c>
      <c r="K611" s="4">
        <f t="shared" si="29"/>
        <v>0</v>
      </c>
      <c r="L611" s="1">
        <v>37354</v>
      </c>
      <c r="M611" s="93">
        <f t="shared" si="27"/>
        <v>0</v>
      </c>
      <c r="N611" s="2">
        <v>4610</v>
      </c>
      <c r="O611" s="97">
        <f>2450+2160</f>
        <v>4610</v>
      </c>
      <c r="P611" s="52"/>
    </row>
    <row r="612" spans="1:16" ht="40.950000000000003" customHeight="1" x14ac:dyDescent="0.3">
      <c r="A612" s="4">
        <v>154</v>
      </c>
      <c r="B612" s="10" t="s">
        <v>360</v>
      </c>
      <c r="C612" s="10"/>
      <c r="D612" s="10"/>
      <c r="E612" s="10"/>
      <c r="F612" s="10" t="s">
        <v>220</v>
      </c>
      <c r="G612" s="4" t="s">
        <v>50</v>
      </c>
      <c r="H612" s="4">
        <v>21</v>
      </c>
      <c r="I612" s="4">
        <f t="shared" si="28"/>
        <v>296204.5</v>
      </c>
      <c r="J612" s="4">
        <v>311151</v>
      </c>
      <c r="K612" s="4">
        <f t="shared" si="29"/>
        <v>0</v>
      </c>
      <c r="L612" s="1">
        <v>311151</v>
      </c>
      <c r="M612" s="93">
        <f t="shared" si="27"/>
        <v>0</v>
      </c>
      <c r="N612" s="2">
        <v>14946.5</v>
      </c>
      <c r="O612" s="97">
        <v>14946.5</v>
      </c>
      <c r="P612" s="52">
        <v>0.95</v>
      </c>
    </row>
    <row r="613" spans="1:16" ht="40.950000000000003" customHeight="1" x14ac:dyDescent="0.3">
      <c r="A613" s="4">
        <v>154</v>
      </c>
      <c r="B613" s="10" t="s">
        <v>360</v>
      </c>
      <c r="C613" s="10"/>
      <c r="D613" s="10"/>
      <c r="E613" s="10"/>
      <c r="F613" s="10" t="s">
        <v>220</v>
      </c>
      <c r="G613" s="4" t="s">
        <v>48</v>
      </c>
      <c r="H613" s="4">
        <v>18</v>
      </c>
      <c r="I613" s="4">
        <f t="shared" si="28"/>
        <v>260570</v>
      </c>
      <c r="J613" s="4">
        <v>274467</v>
      </c>
      <c r="K613" s="4">
        <f t="shared" si="29"/>
        <v>0</v>
      </c>
      <c r="L613" s="1">
        <v>274467</v>
      </c>
      <c r="M613" s="93">
        <f t="shared" ref="M613:M677" si="30">O613-N613</f>
        <v>0</v>
      </c>
      <c r="N613" s="2">
        <v>13897</v>
      </c>
      <c r="O613" s="97">
        <v>13897</v>
      </c>
      <c r="P613" s="52">
        <v>0.95</v>
      </c>
    </row>
    <row r="614" spans="1:16" ht="40.950000000000003" customHeight="1" x14ac:dyDescent="0.3">
      <c r="A614" s="4">
        <v>154</v>
      </c>
      <c r="B614" s="10" t="s">
        <v>360</v>
      </c>
      <c r="C614" s="10"/>
      <c r="D614" s="10"/>
      <c r="E614" s="10"/>
      <c r="F614" s="10" t="s">
        <v>220</v>
      </c>
      <c r="G614" s="4" t="s">
        <v>128</v>
      </c>
      <c r="H614" s="4">
        <v>15</v>
      </c>
      <c r="I614" s="4">
        <f t="shared" si="28"/>
        <v>149896.5</v>
      </c>
      <c r="J614" s="4">
        <v>162052</v>
      </c>
      <c r="K614" s="4">
        <f t="shared" si="29"/>
        <v>0</v>
      </c>
      <c r="L614" s="1">
        <v>162052</v>
      </c>
      <c r="M614" s="93">
        <f t="shared" si="30"/>
        <v>0</v>
      </c>
      <c r="N614" s="2">
        <v>12155.5</v>
      </c>
      <c r="O614" s="97">
        <v>12155.5</v>
      </c>
      <c r="P614" s="52">
        <v>0.95</v>
      </c>
    </row>
    <row r="615" spans="1:16" ht="40.950000000000003" customHeight="1" x14ac:dyDescent="0.3">
      <c r="A615" s="4">
        <v>154</v>
      </c>
      <c r="B615" s="10" t="s">
        <v>360</v>
      </c>
      <c r="C615" s="10"/>
      <c r="D615" s="10"/>
      <c r="E615" s="10"/>
      <c r="F615" s="10" t="s">
        <v>220</v>
      </c>
      <c r="G615" s="4" t="s">
        <v>11</v>
      </c>
      <c r="H615" s="4">
        <v>11</v>
      </c>
      <c r="I615" s="4">
        <f t="shared" si="28"/>
        <v>108783</v>
      </c>
      <c r="J615" s="4">
        <v>118061</v>
      </c>
      <c r="K615" s="4">
        <f t="shared" si="29"/>
        <v>0</v>
      </c>
      <c r="L615" s="1">
        <v>118061</v>
      </c>
      <c r="M615" s="93">
        <f t="shared" si="30"/>
        <v>0</v>
      </c>
      <c r="N615" s="2">
        <v>9278</v>
      </c>
      <c r="O615" s="97">
        <v>9278</v>
      </c>
      <c r="P615" s="52">
        <v>0.95799999999999996</v>
      </c>
    </row>
    <row r="616" spans="1:16" ht="40.950000000000003" customHeight="1" x14ac:dyDescent="0.3">
      <c r="A616" s="4">
        <v>154</v>
      </c>
      <c r="B616" s="10" t="s">
        <v>360</v>
      </c>
      <c r="C616" s="10"/>
      <c r="D616" s="10"/>
      <c r="E616" s="10"/>
      <c r="F616" s="10" t="s">
        <v>220</v>
      </c>
      <c r="G616" s="4" t="s">
        <v>7</v>
      </c>
      <c r="H616" s="4"/>
      <c r="I616" s="4">
        <f t="shared" si="28"/>
        <v>648</v>
      </c>
      <c r="J616" s="4">
        <v>648</v>
      </c>
      <c r="K616" s="4">
        <f t="shared" si="29"/>
        <v>0</v>
      </c>
      <c r="L616" s="1">
        <v>648</v>
      </c>
      <c r="M616" s="93">
        <f t="shared" si="30"/>
        <v>0</v>
      </c>
      <c r="N616" s="2"/>
      <c r="O616" s="97"/>
      <c r="P616" s="52"/>
    </row>
    <row r="617" spans="1:16" ht="40.950000000000003" customHeight="1" x14ac:dyDescent="0.3">
      <c r="A617" s="4">
        <v>154</v>
      </c>
      <c r="B617" s="10" t="s">
        <v>360</v>
      </c>
      <c r="C617" s="10"/>
      <c r="D617" s="10"/>
      <c r="E617" s="10"/>
      <c r="F617" s="10" t="s">
        <v>220</v>
      </c>
      <c r="G617" s="4" t="s">
        <v>8</v>
      </c>
      <c r="H617" s="4">
        <v>11</v>
      </c>
      <c r="I617" s="4">
        <f t="shared" si="28"/>
        <v>114406</v>
      </c>
      <c r="J617" s="4">
        <v>118546</v>
      </c>
      <c r="K617" s="4">
        <f t="shared" si="29"/>
        <v>0</v>
      </c>
      <c r="L617" s="1">
        <v>118546</v>
      </c>
      <c r="M617" s="93">
        <f t="shared" si="30"/>
        <v>0</v>
      </c>
      <c r="N617" s="2">
        <v>4140</v>
      </c>
      <c r="O617" s="97">
        <v>4140</v>
      </c>
      <c r="P617" s="52">
        <v>0.95</v>
      </c>
    </row>
    <row r="618" spans="1:16" ht="40.950000000000003" customHeight="1" x14ac:dyDescent="0.3">
      <c r="A618" s="4">
        <v>155</v>
      </c>
      <c r="B618" s="10" t="s">
        <v>361</v>
      </c>
      <c r="C618" s="10"/>
      <c r="D618" s="10"/>
      <c r="E618" s="10"/>
      <c r="F618" s="10" t="s">
        <v>220</v>
      </c>
      <c r="G618" s="4" t="s">
        <v>48</v>
      </c>
      <c r="H618" s="4">
        <v>5</v>
      </c>
      <c r="I618" s="4">
        <f t="shared" ref="I618:I682" si="31">J618-O618</f>
        <v>37947</v>
      </c>
      <c r="J618" s="4">
        <v>40627</v>
      </c>
      <c r="K618" s="4">
        <f t="shared" si="29"/>
        <v>0</v>
      </c>
      <c r="L618" s="1">
        <v>40627</v>
      </c>
      <c r="M618" s="93">
        <f t="shared" si="30"/>
        <v>0</v>
      </c>
      <c r="N618" s="2">
        <v>2680</v>
      </c>
      <c r="O618" s="97">
        <f>1960+720</f>
        <v>2680</v>
      </c>
      <c r="P618" s="52">
        <v>0.97</v>
      </c>
    </row>
    <row r="619" spans="1:16" ht="40.950000000000003" customHeight="1" x14ac:dyDescent="0.3">
      <c r="A619" s="4">
        <v>156</v>
      </c>
      <c r="B619" s="10" t="s">
        <v>371</v>
      </c>
      <c r="C619" s="10"/>
      <c r="D619" s="10"/>
      <c r="E619" s="10"/>
      <c r="F619" s="10" t="s">
        <v>220</v>
      </c>
      <c r="G619" s="4" t="s">
        <v>122</v>
      </c>
      <c r="H619" s="4">
        <v>22</v>
      </c>
      <c r="I619" s="4">
        <f t="shared" si="31"/>
        <v>298020</v>
      </c>
      <c r="J619" s="4">
        <v>323990</v>
      </c>
      <c r="K619" s="4">
        <f t="shared" si="29"/>
        <v>0</v>
      </c>
      <c r="L619" s="1">
        <v>323990</v>
      </c>
      <c r="M619" s="93">
        <f t="shared" si="30"/>
        <v>0</v>
      </c>
      <c r="N619" s="2">
        <v>25970</v>
      </c>
      <c r="O619" s="97">
        <v>25970</v>
      </c>
      <c r="P619" s="52">
        <v>0.95</v>
      </c>
    </row>
    <row r="620" spans="1:16" ht="40.950000000000003" customHeight="1" x14ac:dyDescent="0.3">
      <c r="A620" s="4">
        <v>157</v>
      </c>
      <c r="B620" s="10" t="s">
        <v>372</v>
      </c>
      <c r="C620" s="10"/>
      <c r="D620" s="10"/>
      <c r="E620" s="10"/>
      <c r="F620" s="10" t="s">
        <v>220</v>
      </c>
      <c r="G620" s="4" t="s">
        <v>85</v>
      </c>
      <c r="H620" s="4">
        <v>4</v>
      </c>
      <c r="I620" s="4">
        <f t="shared" si="31"/>
        <v>12653</v>
      </c>
      <c r="J620" s="4">
        <v>14538</v>
      </c>
      <c r="K620" s="4">
        <f t="shared" si="29"/>
        <v>0</v>
      </c>
      <c r="L620" s="1">
        <v>14538</v>
      </c>
      <c r="M620" s="93">
        <f t="shared" si="30"/>
        <v>0</v>
      </c>
      <c r="N620" s="2">
        <v>1885</v>
      </c>
      <c r="O620" s="97">
        <v>1885</v>
      </c>
      <c r="P620" s="52" t="s">
        <v>1456</v>
      </c>
    </row>
    <row r="621" spans="1:16" ht="40.950000000000003" customHeight="1" x14ac:dyDescent="0.3">
      <c r="A621" s="4">
        <v>158</v>
      </c>
      <c r="B621" s="10" t="s">
        <v>427</v>
      </c>
      <c r="C621" s="10"/>
      <c r="D621" s="10"/>
      <c r="E621" s="10"/>
      <c r="F621" s="10" t="s">
        <v>220</v>
      </c>
      <c r="G621" s="4" t="s">
        <v>128</v>
      </c>
      <c r="H621" s="4">
        <v>11</v>
      </c>
      <c r="I621" s="4">
        <f t="shared" si="31"/>
        <v>150914</v>
      </c>
      <c r="J621" s="4">
        <v>156814</v>
      </c>
      <c r="K621" s="4">
        <f t="shared" si="29"/>
        <v>0</v>
      </c>
      <c r="L621" s="1">
        <v>156814</v>
      </c>
      <c r="M621" s="93">
        <f t="shared" si="30"/>
        <v>0</v>
      </c>
      <c r="N621" s="2">
        <v>5900</v>
      </c>
      <c r="O621" s="97">
        <v>5900</v>
      </c>
      <c r="P621" s="52">
        <v>0.92</v>
      </c>
    </row>
    <row r="622" spans="1:16" ht="40.950000000000003" customHeight="1" x14ac:dyDescent="0.3">
      <c r="A622" s="4">
        <v>159</v>
      </c>
      <c r="B622" s="10" t="s">
        <v>459</v>
      </c>
      <c r="C622" s="10" t="s">
        <v>460</v>
      </c>
      <c r="D622" s="10" t="s">
        <v>411</v>
      </c>
      <c r="E622" s="10">
        <v>9</v>
      </c>
      <c r="F622" s="10" t="s">
        <v>1353</v>
      </c>
      <c r="G622" s="4" t="s">
        <v>14</v>
      </c>
      <c r="H622" s="4">
        <v>6</v>
      </c>
      <c r="I622" s="4">
        <f t="shared" si="31"/>
        <v>152353</v>
      </c>
      <c r="J622" s="4">
        <v>159583</v>
      </c>
      <c r="K622" s="4">
        <f t="shared" si="29"/>
        <v>0</v>
      </c>
      <c r="L622" s="1">
        <v>159583</v>
      </c>
      <c r="M622" s="93">
        <f t="shared" si="30"/>
        <v>0</v>
      </c>
      <c r="N622" s="2">
        <v>7230</v>
      </c>
      <c r="O622" s="97">
        <v>7230</v>
      </c>
      <c r="P622" s="52">
        <v>1</v>
      </c>
    </row>
    <row r="623" spans="1:16" ht="40.950000000000003" customHeight="1" x14ac:dyDescent="0.3">
      <c r="A623" s="4">
        <v>159</v>
      </c>
      <c r="B623" s="10" t="s">
        <v>459</v>
      </c>
      <c r="C623" s="10"/>
      <c r="D623" s="10"/>
      <c r="E623" s="10"/>
      <c r="F623" s="10" t="s">
        <v>460</v>
      </c>
      <c r="G623" s="4" t="s">
        <v>411</v>
      </c>
      <c r="H623" s="4">
        <v>12</v>
      </c>
      <c r="I623" s="4">
        <f t="shared" si="31"/>
        <v>89256</v>
      </c>
      <c r="J623" s="4">
        <v>96216</v>
      </c>
      <c r="K623" s="4">
        <f t="shared" si="29"/>
        <v>0</v>
      </c>
      <c r="L623" s="1">
        <v>96216</v>
      </c>
      <c r="M623" s="93">
        <f t="shared" si="30"/>
        <v>0</v>
      </c>
      <c r="N623" s="2">
        <v>6960</v>
      </c>
      <c r="O623" s="97">
        <v>6960</v>
      </c>
      <c r="P623" s="52" t="s">
        <v>1532</v>
      </c>
    </row>
    <row r="624" spans="1:16" ht="40.950000000000003" customHeight="1" x14ac:dyDescent="0.3">
      <c r="A624" s="4">
        <v>160</v>
      </c>
      <c r="B624" s="10" t="s">
        <v>342</v>
      </c>
      <c r="C624" s="10"/>
      <c r="D624" s="10"/>
      <c r="E624" s="10"/>
      <c r="F624" s="10" t="s">
        <v>343</v>
      </c>
      <c r="G624" s="4" t="s">
        <v>169</v>
      </c>
      <c r="H624" s="4"/>
      <c r="I624" s="4">
        <f t="shared" si="31"/>
        <v>68015</v>
      </c>
      <c r="J624" s="4">
        <v>68015</v>
      </c>
      <c r="K624" s="4">
        <f t="shared" si="29"/>
        <v>0</v>
      </c>
      <c r="L624" s="1">
        <v>68015</v>
      </c>
      <c r="M624" s="93">
        <f t="shared" si="30"/>
        <v>0</v>
      </c>
      <c r="N624" s="2"/>
      <c r="O624" s="97"/>
      <c r="P624" s="52"/>
    </row>
    <row r="625" spans="1:16" ht="40.950000000000003" customHeight="1" x14ac:dyDescent="0.3">
      <c r="A625" s="4">
        <v>160</v>
      </c>
      <c r="B625" s="10" t="s">
        <v>342</v>
      </c>
      <c r="C625" s="10"/>
      <c r="D625" s="10"/>
      <c r="E625" s="10"/>
      <c r="F625" s="10" t="s">
        <v>343</v>
      </c>
      <c r="G625" s="4" t="s">
        <v>200</v>
      </c>
      <c r="H625" s="4"/>
      <c r="I625" s="4">
        <f t="shared" si="31"/>
        <v>7410</v>
      </c>
      <c r="J625" s="4">
        <v>7410</v>
      </c>
      <c r="K625" s="4">
        <f t="shared" si="29"/>
        <v>0</v>
      </c>
      <c r="L625" s="1">
        <v>7410</v>
      </c>
      <c r="M625" s="93">
        <f t="shared" si="30"/>
        <v>0</v>
      </c>
      <c r="N625" s="2"/>
      <c r="O625" s="97"/>
      <c r="P625" s="52"/>
    </row>
    <row r="626" spans="1:16" ht="40.950000000000003" customHeight="1" x14ac:dyDescent="0.3">
      <c r="A626" s="4">
        <v>161</v>
      </c>
      <c r="B626" s="10" t="s">
        <v>347</v>
      </c>
      <c r="C626" s="11"/>
      <c r="D626" s="10"/>
      <c r="E626" s="10"/>
      <c r="F626" s="10" t="s">
        <v>348</v>
      </c>
      <c r="G626" s="146" t="s">
        <v>169</v>
      </c>
      <c r="H626" s="4">
        <v>21</v>
      </c>
      <c r="I626" s="4">
        <f t="shared" si="31"/>
        <v>659476</v>
      </c>
      <c r="J626" s="4">
        <v>763277</v>
      </c>
      <c r="K626" s="4">
        <f t="shared" si="29"/>
        <v>0</v>
      </c>
      <c r="L626" s="1">
        <v>763277</v>
      </c>
      <c r="M626" s="93">
        <f t="shared" si="30"/>
        <v>0</v>
      </c>
      <c r="N626" s="2">
        <v>103801</v>
      </c>
      <c r="O626" s="97">
        <v>103801</v>
      </c>
      <c r="P626" s="63">
        <v>1</v>
      </c>
    </row>
    <row r="627" spans="1:16" ht="40.950000000000003" customHeight="1" x14ac:dyDescent="0.3">
      <c r="A627" s="4">
        <v>161</v>
      </c>
      <c r="B627" s="10" t="s">
        <v>347</v>
      </c>
      <c r="C627" s="11"/>
      <c r="D627" s="10"/>
      <c r="E627" s="10"/>
      <c r="F627" s="10" t="s">
        <v>348</v>
      </c>
      <c r="G627" s="146" t="s">
        <v>198</v>
      </c>
      <c r="H627" s="4">
        <v>10</v>
      </c>
      <c r="I627" s="4">
        <f t="shared" si="31"/>
        <v>70441</v>
      </c>
      <c r="J627" s="4">
        <v>80291</v>
      </c>
      <c r="K627" s="4">
        <f t="shared" si="29"/>
        <v>0</v>
      </c>
      <c r="L627" s="1">
        <v>80291</v>
      </c>
      <c r="M627" s="93">
        <f t="shared" si="30"/>
        <v>0</v>
      </c>
      <c r="N627" s="2">
        <v>9850</v>
      </c>
      <c r="O627" s="97">
        <f>1080+2490+2425+3455+400</f>
        <v>9850</v>
      </c>
      <c r="P627" s="52">
        <v>1</v>
      </c>
    </row>
    <row r="628" spans="1:16" ht="40.950000000000003" customHeight="1" x14ac:dyDescent="0.3">
      <c r="A628" s="4">
        <v>161</v>
      </c>
      <c r="B628" s="10" t="s">
        <v>347</v>
      </c>
      <c r="C628" s="11"/>
      <c r="D628" s="10"/>
      <c r="E628" s="10"/>
      <c r="F628" s="10" t="s">
        <v>348</v>
      </c>
      <c r="G628" s="146" t="s">
        <v>200</v>
      </c>
      <c r="H628" s="4">
        <v>13</v>
      </c>
      <c r="I628" s="4">
        <f t="shared" si="31"/>
        <v>228698</v>
      </c>
      <c r="J628" s="4">
        <v>253448</v>
      </c>
      <c r="K628" s="4">
        <f t="shared" si="29"/>
        <v>0</v>
      </c>
      <c r="L628" s="1">
        <v>253448</v>
      </c>
      <c r="M628" s="93">
        <f t="shared" si="30"/>
        <v>0</v>
      </c>
      <c r="N628" s="2">
        <v>24750</v>
      </c>
      <c r="O628" s="97">
        <v>24750</v>
      </c>
      <c r="P628" s="62">
        <v>1</v>
      </c>
    </row>
    <row r="629" spans="1:16" ht="40.950000000000003" customHeight="1" x14ac:dyDescent="0.3">
      <c r="A629" s="4">
        <v>161</v>
      </c>
      <c r="B629" s="10" t="s">
        <v>347</v>
      </c>
      <c r="C629" s="11"/>
      <c r="D629" s="10"/>
      <c r="E629" s="10"/>
      <c r="F629" s="10" t="s">
        <v>348</v>
      </c>
      <c r="G629" s="146" t="s">
        <v>346</v>
      </c>
      <c r="H629" s="4">
        <v>6</v>
      </c>
      <c r="I629" s="4">
        <f t="shared" si="31"/>
        <v>80680</v>
      </c>
      <c r="J629" s="4">
        <v>80800</v>
      </c>
      <c r="K629" s="4">
        <f t="shared" si="29"/>
        <v>0</v>
      </c>
      <c r="L629" s="1">
        <v>80800</v>
      </c>
      <c r="M629" s="93">
        <f t="shared" si="30"/>
        <v>0</v>
      </c>
      <c r="N629" s="2">
        <v>120</v>
      </c>
      <c r="O629" s="97">
        <v>120</v>
      </c>
      <c r="P629" s="63">
        <v>1</v>
      </c>
    </row>
    <row r="630" spans="1:16" ht="40.950000000000003" customHeight="1" x14ac:dyDescent="0.3">
      <c r="A630" s="4">
        <v>161</v>
      </c>
      <c r="B630" s="10" t="s">
        <v>347</v>
      </c>
      <c r="C630" s="11"/>
      <c r="D630" s="10"/>
      <c r="E630" s="10"/>
      <c r="F630" s="10" t="s">
        <v>348</v>
      </c>
      <c r="G630" s="146" t="s">
        <v>368</v>
      </c>
      <c r="H630" s="4">
        <v>3</v>
      </c>
      <c r="I630" s="4">
        <f t="shared" si="31"/>
        <v>2048</v>
      </c>
      <c r="J630" s="4">
        <v>2048</v>
      </c>
      <c r="K630" s="4">
        <f t="shared" si="29"/>
        <v>0</v>
      </c>
      <c r="L630" s="1">
        <v>2048</v>
      </c>
      <c r="M630" s="93">
        <f t="shared" si="30"/>
        <v>0</v>
      </c>
      <c r="N630" s="2"/>
      <c r="O630" s="97"/>
      <c r="P630" s="52">
        <v>1</v>
      </c>
    </row>
    <row r="631" spans="1:16" ht="40.950000000000003" customHeight="1" x14ac:dyDescent="0.3">
      <c r="A631" s="4">
        <v>161</v>
      </c>
      <c r="B631" s="10" t="s">
        <v>347</v>
      </c>
      <c r="C631" s="11"/>
      <c r="D631" s="10"/>
      <c r="E631" s="10"/>
      <c r="F631" s="10" t="s">
        <v>385</v>
      </c>
      <c r="G631" s="146" t="s">
        <v>198</v>
      </c>
      <c r="H631" s="4">
        <v>6</v>
      </c>
      <c r="I631" s="4">
        <f t="shared" si="31"/>
        <v>9420</v>
      </c>
      <c r="J631" s="4">
        <v>9780</v>
      </c>
      <c r="K631" s="4">
        <f t="shared" si="29"/>
        <v>0</v>
      </c>
      <c r="L631" s="1">
        <v>9780</v>
      </c>
      <c r="M631" s="93">
        <f t="shared" si="30"/>
        <v>0</v>
      </c>
      <c r="N631" s="2">
        <v>360</v>
      </c>
      <c r="O631" s="97">
        <f>120+240</f>
        <v>360</v>
      </c>
      <c r="P631" s="52">
        <v>1</v>
      </c>
    </row>
    <row r="632" spans="1:16" ht="40.950000000000003" customHeight="1" x14ac:dyDescent="0.3">
      <c r="A632" s="4">
        <v>161</v>
      </c>
      <c r="B632" s="10" t="s">
        <v>347</v>
      </c>
      <c r="C632" s="11"/>
      <c r="D632" s="10"/>
      <c r="E632" s="10"/>
      <c r="F632" s="10" t="s">
        <v>385</v>
      </c>
      <c r="G632" s="146" t="s">
        <v>169</v>
      </c>
      <c r="H632" s="4">
        <v>10</v>
      </c>
      <c r="I632" s="4">
        <f t="shared" si="31"/>
        <v>282396</v>
      </c>
      <c r="J632" s="4">
        <v>288605</v>
      </c>
      <c r="K632" s="4">
        <f t="shared" si="29"/>
        <v>0</v>
      </c>
      <c r="L632" s="1">
        <v>288605</v>
      </c>
      <c r="M632" s="93">
        <f t="shared" si="30"/>
        <v>0</v>
      </c>
      <c r="N632" s="2">
        <v>6209</v>
      </c>
      <c r="O632" s="97">
        <f>3240+2774+195</f>
        <v>6209</v>
      </c>
      <c r="P632" s="52">
        <v>1</v>
      </c>
    </row>
    <row r="633" spans="1:16" ht="40.950000000000003" customHeight="1" x14ac:dyDescent="0.3">
      <c r="A633" s="4">
        <v>162</v>
      </c>
      <c r="B633" s="10" t="s">
        <v>443</v>
      </c>
      <c r="C633" s="11"/>
      <c r="D633" s="10"/>
      <c r="E633" s="10"/>
      <c r="F633" s="10" t="s">
        <v>444</v>
      </c>
      <c r="G633" s="4" t="s">
        <v>198</v>
      </c>
      <c r="H633" s="4">
        <v>6</v>
      </c>
      <c r="I633" s="4">
        <f t="shared" si="31"/>
        <v>171713</v>
      </c>
      <c r="J633" s="4">
        <v>174293</v>
      </c>
      <c r="K633" s="4">
        <f t="shared" si="29"/>
        <v>0</v>
      </c>
      <c r="L633" s="1">
        <v>174293</v>
      </c>
      <c r="M633" s="93">
        <f t="shared" si="30"/>
        <v>0</v>
      </c>
      <c r="N633" s="2">
        <v>2580</v>
      </c>
      <c r="O633" s="97">
        <f>720+1620+60+180</f>
        <v>2580</v>
      </c>
      <c r="P633" s="52">
        <v>0.85</v>
      </c>
    </row>
    <row r="634" spans="1:16" ht="40.950000000000003" customHeight="1" x14ac:dyDescent="0.3">
      <c r="A634" s="4">
        <v>162</v>
      </c>
      <c r="B634" s="10" t="s">
        <v>443</v>
      </c>
      <c r="C634" s="11"/>
      <c r="D634" s="10"/>
      <c r="E634" s="10"/>
      <c r="F634" s="10" t="s">
        <v>444</v>
      </c>
      <c r="G634" s="4" t="s">
        <v>391</v>
      </c>
      <c r="H634" s="4"/>
      <c r="I634" s="4">
        <f t="shared" si="31"/>
        <v>12240</v>
      </c>
      <c r="J634" s="4">
        <v>12240</v>
      </c>
      <c r="K634" s="4">
        <f t="shared" si="29"/>
        <v>0</v>
      </c>
      <c r="L634" s="1">
        <v>12240</v>
      </c>
      <c r="M634" s="93">
        <f t="shared" si="30"/>
        <v>0</v>
      </c>
      <c r="N634" s="2"/>
      <c r="O634" s="97"/>
      <c r="P634" s="52"/>
    </row>
    <row r="635" spans="1:16" ht="40.950000000000003" customHeight="1" x14ac:dyDescent="0.3">
      <c r="A635" s="4">
        <v>162</v>
      </c>
      <c r="B635" s="10" t="s">
        <v>443</v>
      </c>
      <c r="C635" s="11"/>
      <c r="D635" s="10"/>
      <c r="E635" s="10"/>
      <c r="F635" s="10" t="s">
        <v>444</v>
      </c>
      <c r="G635" s="4" t="s">
        <v>381</v>
      </c>
      <c r="H635" s="4"/>
      <c r="I635" s="4">
        <f t="shared" si="31"/>
        <v>5282</v>
      </c>
      <c r="J635" s="4">
        <v>5282</v>
      </c>
      <c r="K635" s="4">
        <f t="shared" si="29"/>
        <v>0</v>
      </c>
      <c r="L635" s="1">
        <v>5282</v>
      </c>
      <c r="M635" s="93">
        <f t="shared" si="30"/>
        <v>0</v>
      </c>
      <c r="N635" s="2"/>
      <c r="O635" s="97"/>
      <c r="P635" s="52"/>
    </row>
    <row r="636" spans="1:16" ht="40.950000000000003" customHeight="1" x14ac:dyDescent="0.3">
      <c r="A636" s="4">
        <v>162</v>
      </c>
      <c r="B636" s="10" t="s">
        <v>443</v>
      </c>
      <c r="C636" s="11"/>
      <c r="D636" s="10"/>
      <c r="E636" s="10"/>
      <c r="F636" s="10" t="s">
        <v>444</v>
      </c>
      <c r="G636" s="4" t="s">
        <v>368</v>
      </c>
      <c r="H636" s="4"/>
      <c r="I636" s="4">
        <f t="shared" si="31"/>
        <v>42101</v>
      </c>
      <c r="J636" s="4">
        <v>42101</v>
      </c>
      <c r="K636" s="4">
        <f t="shared" ref="K636:K701" si="32">L636-J636</f>
        <v>0</v>
      </c>
      <c r="L636" s="1">
        <v>42101</v>
      </c>
      <c r="M636" s="93">
        <f t="shared" si="30"/>
        <v>0</v>
      </c>
      <c r="N636" s="2"/>
      <c r="O636" s="97"/>
      <c r="P636" s="52"/>
    </row>
    <row r="637" spans="1:16" ht="40.950000000000003" customHeight="1" x14ac:dyDescent="0.3">
      <c r="A637" s="4">
        <v>162</v>
      </c>
      <c r="B637" s="10" t="s">
        <v>443</v>
      </c>
      <c r="C637" s="11"/>
      <c r="D637" s="10"/>
      <c r="E637" s="10"/>
      <c r="F637" s="10" t="s">
        <v>466</v>
      </c>
      <c r="G637" s="4" t="s">
        <v>198</v>
      </c>
      <c r="H637" s="4">
        <v>2</v>
      </c>
      <c r="I637" s="4">
        <f t="shared" si="31"/>
        <v>61009</v>
      </c>
      <c r="J637" s="4">
        <v>61009</v>
      </c>
      <c r="K637" s="4">
        <f t="shared" si="32"/>
        <v>0</v>
      </c>
      <c r="L637" s="1">
        <v>61009</v>
      </c>
      <c r="M637" s="93">
        <f t="shared" si="30"/>
        <v>0</v>
      </c>
      <c r="N637" s="2"/>
      <c r="O637" s="97"/>
      <c r="P637" s="52"/>
    </row>
    <row r="638" spans="1:16" ht="40.950000000000003" customHeight="1" x14ac:dyDescent="0.3">
      <c r="A638" s="4">
        <v>162</v>
      </c>
      <c r="B638" s="10" t="s">
        <v>443</v>
      </c>
      <c r="C638" s="11"/>
      <c r="D638" s="10"/>
      <c r="E638" s="10"/>
      <c r="F638" s="10" t="s">
        <v>476</v>
      </c>
      <c r="G638" s="4" t="s">
        <v>198</v>
      </c>
      <c r="H638" s="4"/>
      <c r="I638" s="4">
        <f t="shared" si="31"/>
        <v>31280</v>
      </c>
      <c r="J638" s="4">
        <v>31280</v>
      </c>
      <c r="K638" s="4">
        <f t="shared" si="32"/>
        <v>0</v>
      </c>
      <c r="L638" s="1">
        <v>31280</v>
      </c>
      <c r="M638" s="93">
        <f t="shared" si="30"/>
        <v>0</v>
      </c>
      <c r="N638" s="2"/>
      <c r="O638" s="97"/>
      <c r="P638" s="52"/>
    </row>
    <row r="639" spans="1:16" ht="40.950000000000003" customHeight="1" x14ac:dyDescent="0.3">
      <c r="A639" s="4">
        <v>162</v>
      </c>
      <c r="B639" s="10" t="s">
        <v>443</v>
      </c>
      <c r="C639" s="11"/>
      <c r="D639" s="10"/>
      <c r="E639" s="10"/>
      <c r="F639" s="10" t="s">
        <v>476</v>
      </c>
      <c r="G639" s="4" t="s">
        <v>200</v>
      </c>
      <c r="H639" s="4">
        <v>2</v>
      </c>
      <c r="I639" s="4">
        <f t="shared" si="31"/>
        <v>14025</v>
      </c>
      <c r="J639" s="4">
        <v>14025</v>
      </c>
      <c r="K639" s="4">
        <f>L639-J639</f>
        <v>0</v>
      </c>
      <c r="L639" s="1">
        <v>14025</v>
      </c>
      <c r="M639" s="93">
        <f t="shared" si="30"/>
        <v>0</v>
      </c>
      <c r="N639" s="2"/>
      <c r="O639" s="97"/>
      <c r="P639" s="52">
        <v>0.85</v>
      </c>
    </row>
    <row r="640" spans="1:16" ht="40.950000000000003" customHeight="1" x14ac:dyDescent="0.3">
      <c r="A640" s="4">
        <v>162</v>
      </c>
      <c r="B640" s="10" t="s">
        <v>443</v>
      </c>
      <c r="C640" s="11"/>
      <c r="D640" s="10"/>
      <c r="E640" s="10"/>
      <c r="F640" s="10" t="s">
        <v>476</v>
      </c>
      <c r="G640" s="4" t="s">
        <v>446</v>
      </c>
      <c r="H640" s="4">
        <v>3</v>
      </c>
      <c r="I640" s="4">
        <f t="shared" si="31"/>
        <v>16422</v>
      </c>
      <c r="J640" s="4">
        <v>16422</v>
      </c>
      <c r="K640" s="4">
        <f t="shared" si="32"/>
        <v>0</v>
      </c>
      <c r="L640" s="1">
        <v>16422</v>
      </c>
      <c r="M640" s="93">
        <f t="shared" si="30"/>
        <v>0</v>
      </c>
      <c r="N640" s="2"/>
      <c r="O640" s="97"/>
      <c r="P640" s="52">
        <v>0.85</v>
      </c>
    </row>
    <row r="641" spans="1:16" ht="40.950000000000003" customHeight="1" x14ac:dyDescent="0.3">
      <c r="A641" s="4">
        <v>162</v>
      </c>
      <c r="B641" s="10" t="s">
        <v>443</v>
      </c>
      <c r="C641" s="11"/>
      <c r="D641" s="10"/>
      <c r="E641" s="10"/>
      <c r="F641" s="10" t="s">
        <v>475</v>
      </c>
      <c r="G641" s="4" t="s">
        <v>169</v>
      </c>
      <c r="H641" s="4">
        <v>3</v>
      </c>
      <c r="I641" s="4">
        <f t="shared" si="31"/>
        <v>30069</v>
      </c>
      <c r="J641" s="4">
        <v>30069</v>
      </c>
      <c r="K641" s="4">
        <f t="shared" si="32"/>
        <v>0</v>
      </c>
      <c r="L641" s="1">
        <v>30069</v>
      </c>
      <c r="M641" s="93">
        <f t="shared" si="30"/>
        <v>0</v>
      </c>
      <c r="N641" s="2"/>
      <c r="O641" s="97"/>
      <c r="P641" s="52">
        <v>0.85</v>
      </c>
    </row>
    <row r="642" spans="1:16" ht="40.950000000000003" customHeight="1" x14ac:dyDescent="0.3">
      <c r="A642" s="4">
        <v>162</v>
      </c>
      <c r="B642" s="10" t="s">
        <v>443</v>
      </c>
      <c r="C642" s="11"/>
      <c r="D642" s="10"/>
      <c r="E642" s="10"/>
      <c r="F642" s="10" t="s">
        <v>475</v>
      </c>
      <c r="G642" s="4" t="s">
        <v>200</v>
      </c>
      <c r="H642" s="4">
        <v>2</v>
      </c>
      <c r="I642" s="4">
        <f t="shared" si="31"/>
        <v>13640</v>
      </c>
      <c r="J642" s="4">
        <v>13640</v>
      </c>
      <c r="K642" s="4">
        <f t="shared" si="32"/>
        <v>0</v>
      </c>
      <c r="L642" s="1">
        <v>13640</v>
      </c>
      <c r="M642" s="93">
        <f t="shared" si="30"/>
        <v>0</v>
      </c>
      <c r="N642" s="2"/>
      <c r="O642" s="97"/>
      <c r="P642" s="52">
        <v>0.85</v>
      </c>
    </row>
    <row r="643" spans="1:16" ht="40.950000000000003" customHeight="1" x14ac:dyDescent="0.3">
      <c r="A643" s="4">
        <v>162</v>
      </c>
      <c r="B643" s="10" t="s">
        <v>443</v>
      </c>
      <c r="C643" s="11"/>
      <c r="D643" s="10"/>
      <c r="E643" s="10"/>
      <c r="F643" s="10" t="s">
        <v>462</v>
      </c>
      <c r="G643" s="4" t="s">
        <v>200</v>
      </c>
      <c r="H643" s="4">
        <v>5</v>
      </c>
      <c r="I643" s="4">
        <f t="shared" si="31"/>
        <v>268287</v>
      </c>
      <c r="J643" s="4">
        <v>269367</v>
      </c>
      <c r="K643" s="4">
        <f t="shared" si="32"/>
        <v>0</v>
      </c>
      <c r="L643" s="1">
        <v>269367</v>
      </c>
      <c r="M643" s="93">
        <f t="shared" si="30"/>
        <v>0</v>
      </c>
      <c r="N643" s="2">
        <v>1080</v>
      </c>
      <c r="O643" s="97">
        <f>540+540</f>
        <v>1080</v>
      </c>
      <c r="P643" s="52">
        <v>0.85</v>
      </c>
    </row>
    <row r="644" spans="1:16" ht="40.950000000000003" customHeight="1" x14ac:dyDescent="0.3">
      <c r="A644" s="4">
        <v>163</v>
      </c>
      <c r="B644" s="10" t="s">
        <v>212</v>
      </c>
      <c r="C644" s="10"/>
      <c r="D644" s="10"/>
      <c r="E644" s="10"/>
      <c r="F644" s="10" t="s">
        <v>98</v>
      </c>
      <c r="G644" s="4" t="s">
        <v>11</v>
      </c>
      <c r="H644" s="4">
        <v>8</v>
      </c>
      <c r="I644" s="4">
        <f t="shared" si="31"/>
        <v>31004</v>
      </c>
      <c r="J644" s="4">
        <v>88664</v>
      </c>
      <c r="K644" s="4">
        <f t="shared" si="32"/>
        <v>0</v>
      </c>
      <c r="L644" s="1">
        <v>88664</v>
      </c>
      <c r="M644" s="93">
        <f t="shared" si="30"/>
        <v>0</v>
      </c>
      <c r="N644" s="2">
        <v>57660</v>
      </c>
      <c r="O644" s="97">
        <f>8600+8840+2160+41300-3240</f>
        <v>57660</v>
      </c>
      <c r="P644" s="52"/>
    </row>
    <row r="645" spans="1:16" ht="40.950000000000003" customHeight="1" x14ac:dyDescent="0.3">
      <c r="A645" s="4">
        <v>163</v>
      </c>
      <c r="B645" s="10" t="s">
        <v>212</v>
      </c>
      <c r="C645" s="10"/>
      <c r="D645" s="10"/>
      <c r="E645" s="10"/>
      <c r="F645" s="10" t="s">
        <v>98</v>
      </c>
      <c r="G645" s="4" t="s">
        <v>51</v>
      </c>
      <c r="H645" s="4">
        <v>10</v>
      </c>
      <c r="I645" s="4">
        <f t="shared" si="31"/>
        <v>30736</v>
      </c>
      <c r="J645" s="4">
        <v>88412</v>
      </c>
      <c r="K645" s="4">
        <f t="shared" si="32"/>
        <v>0</v>
      </c>
      <c r="L645" s="1">
        <v>88412</v>
      </c>
      <c r="M645" s="93">
        <f t="shared" si="30"/>
        <v>0</v>
      </c>
      <c r="N645" s="2">
        <v>57676</v>
      </c>
      <c r="O645" s="97">
        <f>3440+3560+3440+3440+2320+2293+27749+10125+1309</f>
        <v>57676</v>
      </c>
      <c r="P645" s="52"/>
    </row>
    <row r="646" spans="1:16" ht="40.950000000000003" customHeight="1" x14ac:dyDescent="0.3">
      <c r="A646" s="4">
        <v>163</v>
      </c>
      <c r="B646" s="10" t="s">
        <v>212</v>
      </c>
      <c r="C646" s="10"/>
      <c r="D646" s="10"/>
      <c r="E646" s="10"/>
      <c r="F646" s="10" t="s">
        <v>98</v>
      </c>
      <c r="G646" s="4" t="s">
        <v>90</v>
      </c>
      <c r="H646" s="4">
        <v>8</v>
      </c>
      <c r="I646" s="4">
        <f t="shared" si="31"/>
        <v>28415</v>
      </c>
      <c r="J646" s="4">
        <v>94253</v>
      </c>
      <c r="K646" s="4">
        <f t="shared" si="32"/>
        <v>0</v>
      </c>
      <c r="L646" s="1">
        <v>94253</v>
      </c>
      <c r="M646" s="93">
        <f t="shared" si="30"/>
        <v>0</v>
      </c>
      <c r="N646" s="2">
        <v>65838</v>
      </c>
      <c r="O646" s="97">
        <f>5160+3440+17505+30475+4200-920+280+5698</f>
        <v>65838</v>
      </c>
      <c r="P646" s="52"/>
    </row>
    <row r="647" spans="1:16" ht="40.950000000000003" customHeight="1" x14ac:dyDescent="0.3">
      <c r="A647" s="4">
        <v>163</v>
      </c>
      <c r="B647" s="10" t="s">
        <v>212</v>
      </c>
      <c r="C647" s="10"/>
      <c r="D647" s="10"/>
      <c r="E647" s="10"/>
      <c r="F647" s="10" t="s">
        <v>98</v>
      </c>
      <c r="G647" s="4" t="s">
        <v>8</v>
      </c>
      <c r="H647" s="4">
        <v>7</v>
      </c>
      <c r="I647" s="4">
        <f t="shared" si="31"/>
        <v>23599</v>
      </c>
      <c r="J647" s="4">
        <v>88664</v>
      </c>
      <c r="K647" s="4">
        <f t="shared" si="32"/>
        <v>0</v>
      </c>
      <c r="L647" s="1">
        <v>88664</v>
      </c>
      <c r="M647" s="93">
        <f t="shared" si="30"/>
        <v>0</v>
      </c>
      <c r="N647" s="2">
        <v>65065</v>
      </c>
      <c r="O647" s="97">
        <f>8600+9460+44405+2600</f>
        <v>65065</v>
      </c>
      <c r="P647" s="52"/>
    </row>
    <row r="648" spans="1:16" ht="40.950000000000003" customHeight="1" x14ac:dyDescent="0.3">
      <c r="A648" s="4">
        <v>164</v>
      </c>
      <c r="B648" s="10" t="s">
        <v>97</v>
      </c>
      <c r="C648" s="10"/>
      <c r="D648" s="10"/>
      <c r="E648" s="10"/>
      <c r="F648" s="10" t="s">
        <v>98</v>
      </c>
      <c r="G648" s="4" t="s">
        <v>7</v>
      </c>
      <c r="H648" s="4"/>
      <c r="I648" s="4">
        <f t="shared" si="31"/>
        <v>10650</v>
      </c>
      <c r="J648" s="4">
        <v>10650</v>
      </c>
      <c r="K648" s="4">
        <f t="shared" si="32"/>
        <v>0</v>
      </c>
      <c r="L648" s="1">
        <v>10650</v>
      </c>
      <c r="M648" s="93">
        <f t="shared" si="30"/>
        <v>0</v>
      </c>
      <c r="N648" s="2"/>
      <c r="O648" s="97"/>
      <c r="P648" s="52"/>
    </row>
    <row r="649" spans="1:16" ht="40.950000000000003" customHeight="1" x14ac:dyDescent="0.3">
      <c r="A649" s="4">
        <v>164</v>
      </c>
      <c r="B649" s="10" t="s">
        <v>97</v>
      </c>
      <c r="C649" s="10"/>
      <c r="D649" s="10"/>
      <c r="E649" s="10"/>
      <c r="F649" s="10" t="s">
        <v>98</v>
      </c>
      <c r="G649" s="4" t="s">
        <v>8</v>
      </c>
      <c r="H649" s="4"/>
      <c r="I649" s="4">
        <f t="shared" si="31"/>
        <v>10650</v>
      </c>
      <c r="J649" s="4">
        <v>10650</v>
      </c>
      <c r="K649" s="4">
        <f t="shared" si="32"/>
        <v>0</v>
      </c>
      <c r="L649" s="1">
        <v>10650</v>
      </c>
      <c r="M649" s="93">
        <f t="shared" si="30"/>
        <v>0</v>
      </c>
      <c r="N649" s="2"/>
      <c r="O649" s="97"/>
      <c r="P649" s="52"/>
    </row>
    <row r="650" spans="1:16" ht="40.950000000000003" customHeight="1" x14ac:dyDescent="0.3">
      <c r="A650" s="4">
        <v>164</v>
      </c>
      <c r="B650" s="10" t="s">
        <v>97</v>
      </c>
      <c r="C650" s="10"/>
      <c r="D650" s="10"/>
      <c r="E650" s="10"/>
      <c r="F650" s="10" t="s">
        <v>98</v>
      </c>
      <c r="G650" s="4" t="s">
        <v>9</v>
      </c>
      <c r="H650" s="4"/>
      <c r="I650" s="4">
        <f t="shared" si="31"/>
        <v>10650</v>
      </c>
      <c r="J650" s="4">
        <v>10650</v>
      </c>
      <c r="K650" s="4">
        <f t="shared" si="32"/>
        <v>0</v>
      </c>
      <c r="L650" s="1">
        <v>10650</v>
      </c>
      <c r="M650" s="93">
        <f t="shared" si="30"/>
        <v>0</v>
      </c>
      <c r="N650" s="2"/>
      <c r="O650" s="97"/>
      <c r="P650" s="52"/>
    </row>
    <row r="651" spans="1:16" ht="40.950000000000003" customHeight="1" x14ac:dyDescent="0.3">
      <c r="A651" s="4">
        <v>164</v>
      </c>
      <c r="B651" s="10" t="s">
        <v>97</v>
      </c>
      <c r="C651" s="10"/>
      <c r="D651" s="10"/>
      <c r="E651" s="10"/>
      <c r="F651" s="10" t="s">
        <v>98</v>
      </c>
      <c r="G651" s="4" t="s">
        <v>70</v>
      </c>
      <c r="H651" s="4"/>
      <c r="I651" s="4">
        <f t="shared" si="31"/>
        <v>10650</v>
      </c>
      <c r="J651" s="4">
        <v>10650</v>
      </c>
      <c r="K651" s="4">
        <f t="shared" si="32"/>
        <v>0</v>
      </c>
      <c r="L651" s="1">
        <v>10650</v>
      </c>
      <c r="M651" s="93">
        <f t="shared" si="30"/>
        <v>0</v>
      </c>
      <c r="N651" s="2"/>
      <c r="O651" s="97"/>
      <c r="P651" s="52"/>
    </row>
    <row r="652" spans="1:16" ht="40.950000000000003" customHeight="1" x14ac:dyDescent="0.3">
      <c r="A652" s="4">
        <v>164</v>
      </c>
      <c r="B652" s="10" t="s">
        <v>97</v>
      </c>
      <c r="C652" s="10"/>
      <c r="D652" s="10"/>
      <c r="E652" s="10"/>
      <c r="F652" s="10" t="s">
        <v>98</v>
      </c>
      <c r="G652" s="4" t="s">
        <v>22</v>
      </c>
      <c r="H652" s="4"/>
      <c r="I652" s="4">
        <f t="shared" si="31"/>
        <v>10650</v>
      </c>
      <c r="J652" s="4">
        <v>10650</v>
      </c>
      <c r="K652" s="4">
        <f t="shared" si="32"/>
        <v>0</v>
      </c>
      <c r="L652" s="1">
        <v>10650</v>
      </c>
      <c r="M652" s="93">
        <f t="shared" si="30"/>
        <v>0</v>
      </c>
      <c r="N652" s="2"/>
      <c r="O652" s="97"/>
      <c r="P652" s="52"/>
    </row>
    <row r="653" spans="1:16" ht="40.950000000000003" customHeight="1" x14ac:dyDescent="0.3">
      <c r="A653" s="4">
        <v>164</v>
      </c>
      <c r="B653" s="10" t="s">
        <v>97</v>
      </c>
      <c r="C653" s="10"/>
      <c r="D653" s="10"/>
      <c r="E653" s="10"/>
      <c r="F653" s="10" t="s">
        <v>98</v>
      </c>
      <c r="G653" s="4" t="s">
        <v>90</v>
      </c>
      <c r="H653" s="4"/>
      <c r="I653" s="4">
        <f t="shared" si="31"/>
        <v>10650</v>
      </c>
      <c r="J653" s="4">
        <v>10650</v>
      </c>
      <c r="K653" s="4">
        <f t="shared" si="32"/>
        <v>0</v>
      </c>
      <c r="L653" s="1">
        <v>10650</v>
      </c>
      <c r="M653" s="93">
        <f t="shared" si="30"/>
        <v>0</v>
      </c>
      <c r="N653" s="2"/>
      <c r="O653" s="97"/>
      <c r="P653" s="52"/>
    </row>
    <row r="654" spans="1:16" ht="40.950000000000003" customHeight="1" x14ac:dyDescent="0.3">
      <c r="A654" s="4">
        <v>164</v>
      </c>
      <c r="B654" s="10" t="s">
        <v>97</v>
      </c>
      <c r="C654" s="10"/>
      <c r="D654" s="10"/>
      <c r="E654" s="10"/>
      <c r="F654" s="10" t="s">
        <v>98</v>
      </c>
      <c r="G654" s="4" t="s">
        <v>39</v>
      </c>
      <c r="H654" s="4"/>
      <c r="I654" s="4">
        <f t="shared" si="31"/>
        <v>10650</v>
      </c>
      <c r="J654" s="4">
        <v>10650</v>
      </c>
      <c r="K654" s="4">
        <f t="shared" si="32"/>
        <v>0</v>
      </c>
      <c r="L654" s="1">
        <v>10650</v>
      </c>
      <c r="M654" s="93">
        <f t="shared" si="30"/>
        <v>0</v>
      </c>
      <c r="N654" s="2"/>
      <c r="O654" s="97"/>
      <c r="P654" s="52"/>
    </row>
    <row r="655" spans="1:16" ht="40.950000000000003" customHeight="1" x14ac:dyDescent="0.3">
      <c r="A655" s="4">
        <v>164</v>
      </c>
      <c r="B655" s="10" t="s">
        <v>97</v>
      </c>
      <c r="C655" s="10"/>
      <c r="D655" s="10"/>
      <c r="E655" s="10"/>
      <c r="F655" s="10" t="s">
        <v>98</v>
      </c>
      <c r="G655" s="4" t="s">
        <v>11</v>
      </c>
      <c r="H655" s="4"/>
      <c r="I655" s="4">
        <f t="shared" si="31"/>
        <v>10650</v>
      </c>
      <c r="J655" s="4">
        <v>10650</v>
      </c>
      <c r="K655" s="4">
        <f t="shared" si="32"/>
        <v>0</v>
      </c>
      <c r="L655" s="1">
        <v>10650</v>
      </c>
      <c r="M655" s="93">
        <f t="shared" si="30"/>
        <v>0</v>
      </c>
      <c r="N655" s="2"/>
      <c r="O655" s="97"/>
      <c r="P655" s="52"/>
    </row>
    <row r="656" spans="1:16" ht="40.950000000000003" customHeight="1" x14ac:dyDescent="0.3">
      <c r="A656" s="4">
        <v>165</v>
      </c>
      <c r="B656" s="10" t="s">
        <v>206</v>
      </c>
      <c r="C656" s="10"/>
      <c r="D656" s="10"/>
      <c r="E656" s="10"/>
      <c r="F656" s="10" t="s">
        <v>98</v>
      </c>
      <c r="G656" s="4" t="s">
        <v>199</v>
      </c>
      <c r="H656" s="4"/>
      <c r="I656" s="4">
        <f t="shared" si="31"/>
        <v>474</v>
      </c>
      <c r="J656" s="4">
        <v>23350</v>
      </c>
      <c r="K656" s="4">
        <f t="shared" si="32"/>
        <v>0</v>
      </c>
      <c r="L656" s="1">
        <v>23350</v>
      </c>
      <c r="M656" s="93">
        <f t="shared" si="30"/>
        <v>0</v>
      </c>
      <c r="N656" s="2">
        <v>22876</v>
      </c>
      <c r="O656" s="97">
        <f>17226+5650</f>
        <v>22876</v>
      </c>
      <c r="P656" s="52"/>
    </row>
    <row r="657" spans="1:16" ht="40.950000000000003" customHeight="1" x14ac:dyDescent="0.3">
      <c r="A657" s="4">
        <v>165</v>
      </c>
      <c r="B657" s="10" t="s">
        <v>206</v>
      </c>
      <c r="C657" s="10"/>
      <c r="D657" s="10"/>
      <c r="E657" s="10"/>
      <c r="F657" s="10" t="s">
        <v>98</v>
      </c>
      <c r="G657" s="4" t="s">
        <v>7</v>
      </c>
      <c r="H657" s="4"/>
      <c r="I657" s="4">
        <f t="shared" si="31"/>
        <v>7059</v>
      </c>
      <c r="J657" s="4">
        <v>17379</v>
      </c>
      <c r="K657" s="4">
        <f t="shared" si="32"/>
        <v>0</v>
      </c>
      <c r="L657" s="1">
        <v>17379</v>
      </c>
      <c r="M657" s="93">
        <f t="shared" si="30"/>
        <v>0</v>
      </c>
      <c r="N657" s="2">
        <v>10320</v>
      </c>
      <c r="O657" s="97">
        <v>10320</v>
      </c>
      <c r="P657" s="52"/>
    </row>
    <row r="658" spans="1:16" ht="40.950000000000003" customHeight="1" x14ac:dyDescent="0.3">
      <c r="A658" s="4">
        <v>166</v>
      </c>
      <c r="B658" s="10" t="s">
        <v>127</v>
      </c>
      <c r="C658" s="10"/>
      <c r="D658" s="10"/>
      <c r="E658" s="10"/>
      <c r="F658" s="10" t="s">
        <v>98</v>
      </c>
      <c r="G658" s="4" t="s">
        <v>128</v>
      </c>
      <c r="H658" s="4"/>
      <c r="I658" s="4">
        <f t="shared" si="31"/>
        <v>10650</v>
      </c>
      <c r="J658" s="4">
        <v>10650</v>
      </c>
      <c r="K658" s="4">
        <f t="shared" si="32"/>
        <v>0</v>
      </c>
      <c r="L658" s="1">
        <v>10650</v>
      </c>
      <c r="M658" s="93">
        <f t="shared" si="30"/>
        <v>0</v>
      </c>
      <c r="N658" s="2"/>
      <c r="O658" s="97"/>
      <c r="P658" s="52"/>
    </row>
    <row r="659" spans="1:16" ht="40.950000000000003" customHeight="1" x14ac:dyDescent="0.3">
      <c r="A659" s="4">
        <v>166</v>
      </c>
      <c r="B659" s="10" t="s">
        <v>127</v>
      </c>
      <c r="C659" s="10"/>
      <c r="D659" s="10"/>
      <c r="E659" s="10"/>
      <c r="F659" s="10" t="s">
        <v>98</v>
      </c>
      <c r="G659" s="4" t="s">
        <v>64</v>
      </c>
      <c r="H659" s="4"/>
      <c r="I659" s="4">
        <f t="shared" si="31"/>
        <v>10410</v>
      </c>
      <c r="J659" s="4">
        <v>10650</v>
      </c>
      <c r="K659" s="4">
        <f t="shared" si="32"/>
        <v>0</v>
      </c>
      <c r="L659" s="1">
        <v>10650</v>
      </c>
      <c r="M659" s="93">
        <f t="shared" si="30"/>
        <v>0</v>
      </c>
      <c r="N659" s="2">
        <v>240</v>
      </c>
      <c r="O659" s="97">
        <v>240</v>
      </c>
      <c r="P659" s="52"/>
    </row>
    <row r="660" spans="1:16" ht="40.950000000000003" customHeight="1" x14ac:dyDescent="0.3">
      <c r="A660" s="4">
        <v>166</v>
      </c>
      <c r="B660" s="10" t="s">
        <v>127</v>
      </c>
      <c r="C660" s="10"/>
      <c r="D660" s="10"/>
      <c r="E660" s="10"/>
      <c r="F660" s="10" t="s">
        <v>98</v>
      </c>
      <c r="G660" s="4" t="s">
        <v>114</v>
      </c>
      <c r="H660" s="4"/>
      <c r="I660" s="4">
        <f t="shared" si="31"/>
        <v>10650</v>
      </c>
      <c r="J660" s="4">
        <v>10650</v>
      </c>
      <c r="K660" s="4">
        <f t="shared" si="32"/>
        <v>0</v>
      </c>
      <c r="L660" s="1">
        <v>10650</v>
      </c>
      <c r="M660" s="93">
        <f t="shared" si="30"/>
        <v>0</v>
      </c>
      <c r="N660" s="2"/>
      <c r="O660" s="97"/>
      <c r="P660" s="52"/>
    </row>
    <row r="661" spans="1:16" ht="40.950000000000003" customHeight="1" x14ac:dyDescent="0.3">
      <c r="A661" s="4">
        <v>166</v>
      </c>
      <c r="B661" s="10" t="s">
        <v>127</v>
      </c>
      <c r="C661" s="10"/>
      <c r="D661" s="10"/>
      <c r="E661" s="10"/>
      <c r="F661" s="10" t="s">
        <v>98</v>
      </c>
      <c r="G661" s="4" t="s">
        <v>85</v>
      </c>
      <c r="H661" s="4"/>
      <c r="I661" s="4">
        <f t="shared" si="31"/>
        <v>10650</v>
      </c>
      <c r="J661" s="4">
        <v>10650</v>
      </c>
      <c r="K661" s="4">
        <f t="shared" si="32"/>
        <v>0</v>
      </c>
      <c r="L661" s="1">
        <v>10650</v>
      </c>
      <c r="M661" s="93">
        <f t="shared" si="30"/>
        <v>0</v>
      </c>
      <c r="N661" s="2"/>
      <c r="O661" s="97"/>
      <c r="P661" s="52"/>
    </row>
    <row r="662" spans="1:16" ht="40.950000000000003" customHeight="1" x14ac:dyDescent="0.3">
      <c r="A662" s="4">
        <v>166</v>
      </c>
      <c r="B662" s="10" t="s">
        <v>127</v>
      </c>
      <c r="C662" s="10"/>
      <c r="D662" s="10"/>
      <c r="E662" s="10"/>
      <c r="F662" s="10" t="s">
        <v>98</v>
      </c>
      <c r="G662" s="4" t="s">
        <v>181</v>
      </c>
      <c r="H662" s="4"/>
      <c r="I662" s="4">
        <f t="shared" si="31"/>
        <v>2700</v>
      </c>
      <c r="J662" s="4">
        <v>2700</v>
      </c>
      <c r="K662" s="4">
        <f t="shared" si="32"/>
        <v>0</v>
      </c>
      <c r="L662" s="1">
        <v>2700</v>
      </c>
      <c r="M662" s="93">
        <f t="shared" si="30"/>
        <v>0</v>
      </c>
      <c r="N662" s="2"/>
      <c r="O662" s="97"/>
      <c r="P662" s="52"/>
    </row>
    <row r="663" spans="1:16" ht="40.950000000000003" customHeight="1" x14ac:dyDescent="0.3">
      <c r="A663" s="4">
        <v>166</v>
      </c>
      <c r="B663" s="10" t="s">
        <v>127</v>
      </c>
      <c r="C663" s="10"/>
      <c r="D663" s="10"/>
      <c r="E663" s="10"/>
      <c r="F663" s="10" t="s">
        <v>98</v>
      </c>
      <c r="G663" s="4" t="s">
        <v>143</v>
      </c>
      <c r="H663" s="4"/>
      <c r="I663" s="4">
        <f t="shared" si="31"/>
        <v>960</v>
      </c>
      <c r="J663" s="4">
        <v>960</v>
      </c>
      <c r="K663" s="4">
        <f t="shared" si="32"/>
        <v>0</v>
      </c>
      <c r="L663" s="1">
        <v>960</v>
      </c>
      <c r="M663" s="93">
        <f t="shared" si="30"/>
        <v>0</v>
      </c>
      <c r="N663" s="2"/>
      <c r="O663" s="97"/>
      <c r="P663" s="52"/>
    </row>
    <row r="664" spans="1:16" ht="40.950000000000003" customHeight="1" x14ac:dyDescent="0.3">
      <c r="A664" s="4">
        <v>167</v>
      </c>
      <c r="B664" s="10" t="s">
        <v>129</v>
      </c>
      <c r="C664" s="10"/>
      <c r="D664" s="10"/>
      <c r="E664" s="10"/>
      <c r="F664" s="10" t="s">
        <v>98</v>
      </c>
      <c r="G664" s="4" t="s">
        <v>9</v>
      </c>
      <c r="H664" s="4">
        <v>8</v>
      </c>
      <c r="I664" s="4">
        <f t="shared" si="31"/>
        <v>32087</v>
      </c>
      <c r="J664" s="4">
        <v>90366</v>
      </c>
      <c r="K664" s="4">
        <f t="shared" si="32"/>
        <v>0</v>
      </c>
      <c r="L664" s="1">
        <v>90366</v>
      </c>
      <c r="M664" s="93">
        <f t="shared" si="30"/>
        <v>0</v>
      </c>
      <c r="N664" s="2">
        <v>58279</v>
      </c>
      <c r="O664" s="97">
        <f>12040+480+1720+15215+26665+1304+315+540</f>
        <v>58279</v>
      </c>
      <c r="P664" s="52"/>
    </row>
    <row r="665" spans="1:16" ht="40.950000000000003" customHeight="1" x14ac:dyDescent="0.3">
      <c r="A665" s="4">
        <v>167</v>
      </c>
      <c r="B665" s="10" t="s">
        <v>129</v>
      </c>
      <c r="C665" s="10"/>
      <c r="D665" s="10"/>
      <c r="E665" s="10"/>
      <c r="F665" s="10" t="s">
        <v>98</v>
      </c>
      <c r="G665" s="4" t="s">
        <v>22</v>
      </c>
      <c r="H665" s="4"/>
      <c r="I665" s="4">
        <f t="shared" si="31"/>
        <v>25109</v>
      </c>
      <c r="J665" s="4">
        <v>89824</v>
      </c>
      <c r="K665" s="4">
        <f t="shared" si="32"/>
        <v>0</v>
      </c>
      <c r="L665" s="1">
        <v>89824</v>
      </c>
      <c r="M665" s="93">
        <f t="shared" si="30"/>
        <v>0</v>
      </c>
      <c r="N665" s="2">
        <v>64715</v>
      </c>
      <c r="O665" s="97">
        <f>8600+7900+47190+485+400+140</f>
        <v>64715</v>
      </c>
      <c r="P665" s="52"/>
    </row>
    <row r="666" spans="1:16" ht="40.950000000000003" customHeight="1" x14ac:dyDescent="0.3">
      <c r="A666" s="4">
        <v>167</v>
      </c>
      <c r="B666" s="10" t="s">
        <v>129</v>
      </c>
      <c r="C666" s="10"/>
      <c r="D666" s="10"/>
      <c r="E666" s="10"/>
      <c r="F666" s="10" t="s">
        <v>98</v>
      </c>
      <c r="G666" s="4" t="s">
        <v>70</v>
      </c>
      <c r="H666" s="4">
        <v>5</v>
      </c>
      <c r="I666" s="4">
        <f t="shared" si="31"/>
        <v>6567</v>
      </c>
      <c r="J666" s="4">
        <v>15287</v>
      </c>
      <c r="K666" s="4">
        <f t="shared" si="32"/>
        <v>0</v>
      </c>
      <c r="L666" s="1">
        <v>15287</v>
      </c>
      <c r="M666" s="93">
        <f t="shared" si="30"/>
        <v>0</v>
      </c>
      <c r="N666" s="2">
        <v>8720</v>
      </c>
      <c r="O666" s="97">
        <f>1840+3440+1720+1720</f>
        <v>8720</v>
      </c>
      <c r="P666" s="52"/>
    </row>
    <row r="667" spans="1:16" ht="40.950000000000003" customHeight="1" x14ac:dyDescent="0.3">
      <c r="A667" s="4">
        <v>167</v>
      </c>
      <c r="B667" s="10" t="s">
        <v>129</v>
      </c>
      <c r="C667" s="10"/>
      <c r="D667" s="10"/>
      <c r="E667" s="10"/>
      <c r="F667" s="10" t="s">
        <v>98</v>
      </c>
      <c r="G667" s="4" t="s">
        <v>48</v>
      </c>
      <c r="H667" s="4"/>
      <c r="I667" s="4">
        <f t="shared" si="31"/>
        <v>10530</v>
      </c>
      <c r="J667" s="4">
        <v>10650</v>
      </c>
      <c r="K667" s="4">
        <f t="shared" si="32"/>
        <v>0</v>
      </c>
      <c r="L667" s="1">
        <v>10650</v>
      </c>
      <c r="M667" s="93">
        <f t="shared" si="30"/>
        <v>0</v>
      </c>
      <c r="N667" s="2">
        <v>120</v>
      </c>
      <c r="O667" s="97">
        <v>120</v>
      </c>
      <c r="P667" s="52"/>
    </row>
    <row r="668" spans="1:16" ht="40.950000000000003" customHeight="1" x14ac:dyDescent="0.3">
      <c r="A668" s="4">
        <v>167</v>
      </c>
      <c r="B668" s="10" t="s">
        <v>129</v>
      </c>
      <c r="C668" s="10"/>
      <c r="D668" s="10"/>
      <c r="E668" s="10"/>
      <c r="F668" s="10" t="s">
        <v>98</v>
      </c>
      <c r="G668" s="4" t="s">
        <v>49</v>
      </c>
      <c r="H668" s="4"/>
      <c r="I668" s="4">
        <f t="shared" si="31"/>
        <v>8175</v>
      </c>
      <c r="J668" s="4">
        <v>8175</v>
      </c>
      <c r="K668" s="4">
        <f t="shared" si="32"/>
        <v>0</v>
      </c>
      <c r="L668" s="1">
        <v>8175</v>
      </c>
      <c r="M668" s="93">
        <f t="shared" si="30"/>
        <v>0</v>
      </c>
      <c r="N668" s="2"/>
      <c r="O668" s="97"/>
      <c r="P668" s="52"/>
    </row>
    <row r="669" spans="1:16" ht="40.950000000000003" customHeight="1" x14ac:dyDescent="0.3">
      <c r="A669" s="4">
        <v>167</v>
      </c>
      <c r="B669" s="10" t="s">
        <v>129</v>
      </c>
      <c r="C669" s="10"/>
      <c r="D669" s="10"/>
      <c r="E669" s="10"/>
      <c r="F669" s="10" t="s">
        <v>98</v>
      </c>
      <c r="G669" s="4" t="s">
        <v>51</v>
      </c>
      <c r="H669" s="4"/>
      <c r="I669" s="4">
        <f t="shared" si="31"/>
        <v>10650</v>
      </c>
      <c r="J669" s="4">
        <v>10650</v>
      </c>
      <c r="K669" s="4">
        <f t="shared" si="32"/>
        <v>0</v>
      </c>
      <c r="L669" s="1">
        <v>10650</v>
      </c>
      <c r="M669" s="93">
        <f t="shared" si="30"/>
        <v>0</v>
      </c>
      <c r="N669" s="2"/>
      <c r="O669" s="97"/>
      <c r="P669" s="52"/>
    </row>
    <row r="670" spans="1:16" ht="40.950000000000003" customHeight="1" x14ac:dyDescent="0.3">
      <c r="A670" s="4">
        <v>167</v>
      </c>
      <c r="B670" s="10" t="s">
        <v>129</v>
      </c>
      <c r="C670" s="10"/>
      <c r="D670" s="10"/>
      <c r="E670" s="10"/>
      <c r="F670" s="10" t="s">
        <v>98</v>
      </c>
      <c r="G670" s="4" t="s">
        <v>346</v>
      </c>
      <c r="H670" s="4">
        <v>3</v>
      </c>
      <c r="I670" s="4">
        <f t="shared" si="31"/>
        <v>1783</v>
      </c>
      <c r="J670" s="4">
        <v>1903</v>
      </c>
      <c r="K670" s="4">
        <f t="shared" si="32"/>
        <v>0</v>
      </c>
      <c r="L670" s="1">
        <v>1903</v>
      </c>
      <c r="M670" s="93">
        <f t="shared" si="30"/>
        <v>0</v>
      </c>
      <c r="N670" s="2">
        <v>120</v>
      </c>
      <c r="O670" s="97">
        <f>120</f>
        <v>120</v>
      </c>
      <c r="P670" s="52"/>
    </row>
    <row r="671" spans="1:16" ht="40.950000000000003" customHeight="1" x14ac:dyDescent="0.3">
      <c r="A671" s="4">
        <v>167</v>
      </c>
      <c r="B671" s="10" t="s">
        <v>129</v>
      </c>
      <c r="C671" s="10"/>
      <c r="D671" s="10"/>
      <c r="E671" s="10"/>
      <c r="F671" s="10" t="s">
        <v>98</v>
      </c>
      <c r="G671" s="4" t="s">
        <v>122</v>
      </c>
      <c r="H671" s="4"/>
      <c r="I671" s="4">
        <f t="shared" si="31"/>
        <v>10650</v>
      </c>
      <c r="J671" s="4">
        <v>10650</v>
      </c>
      <c r="K671" s="4">
        <f t="shared" si="32"/>
        <v>0</v>
      </c>
      <c r="L671" s="1">
        <v>10650</v>
      </c>
      <c r="M671" s="93">
        <f t="shared" si="30"/>
        <v>0</v>
      </c>
      <c r="N671" s="2"/>
      <c r="O671" s="97"/>
      <c r="P671" s="52"/>
    </row>
    <row r="672" spans="1:16" ht="40.950000000000003" customHeight="1" x14ac:dyDescent="0.3">
      <c r="A672" s="4">
        <v>167</v>
      </c>
      <c r="B672" s="10" t="s">
        <v>129</v>
      </c>
      <c r="C672" s="10"/>
      <c r="D672" s="10"/>
      <c r="E672" s="10"/>
      <c r="F672" s="10" t="s">
        <v>98</v>
      </c>
      <c r="G672" s="4" t="s">
        <v>143</v>
      </c>
      <c r="H672" s="4"/>
      <c r="I672" s="4">
        <f t="shared" si="31"/>
        <v>10530</v>
      </c>
      <c r="J672" s="4">
        <v>10650</v>
      </c>
      <c r="K672" s="4">
        <f t="shared" si="32"/>
        <v>0</v>
      </c>
      <c r="L672" s="1">
        <v>10650</v>
      </c>
      <c r="M672" s="93">
        <f t="shared" si="30"/>
        <v>0</v>
      </c>
      <c r="N672" s="2">
        <v>120</v>
      </c>
      <c r="O672" s="97">
        <v>120</v>
      </c>
      <c r="P672" s="52"/>
    </row>
    <row r="673" spans="1:16" ht="40.950000000000003" customHeight="1" x14ac:dyDescent="0.3">
      <c r="A673" s="4">
        <v>167</v>
      </c>
      <c r="B673" s="10" t="s">
        <v>129</v>
      </c>
      <c r="C673" s="10"/>
      <c r="D673" s="10"/>
      <c r="E673" s="10"/>
      <c r="F673" s="10" t="s">
        <v>98</v>
      </c>
      <c r="G673" s="4" t="s">
        <v>362</v>
      </c>
      <c r="H673" s="4"/>
      <c r="I673" s="4">
        <f t="shared" si="31"/>
        <v>612</v>
      </c>
      <c r="J673" s="4">
        <v>612</v>
      </c>
      <c r="K673" s="4">
        <f t="shared" si="32"/>
        <v>0</v>
      </c>
      <c r="L673" s="1">
        <v>612</v>
      </c>
      <c r="M673" s="93">
        <f t="shared" si="30"/>
        <v>0</v>
      </c>
      <c r="N673" s="2"/>
      <c r="O673" s="97"/>
      <c r="P673" s="52"/>
    </row>
    <row r="674" spans="1:16" ht="40.950000000000003" customHeight="1" x14ac:dyDescent="0.3">
      <c r="A674" s="4">
        <v>167</v>
      </c>
      <c r="B674" s="10" t="s">
        <v>129</v>
      </c>
      <c r="C674" s="10"/>
      <c r="D674" s="10"/>
      <c r="E674" s="10"/>
      <c r="F674" s="10" t="s">
        <v>98</v>
      </c>
      <c r="G674" s="4" t="s">
        <v>198</v>
      </c>
      <c r="H674" s="4"/>
      <c r="I674" s="4">
        <f t="shared" si="31"/>
        <v>8136</v>
      </c>
      <c r="J674" s="4">
        <v>21981</v>
      </c>
      <c r="K674" s="4">
        <f t="shared" si="32"/>
        <v>0</v>
      </c>
      <c r="L674" s="1">
        <v>21981</v>
      </c>
      <c r="M674" s="93">
        <f t="shared" si="30"/>
        <v>0</v>
      </c>
      <c r="N674" s="2">
        <v>13845</v>
      </c>
      <c r="O674" s="97">
        <f>9315+1350+3180</f>
        <v>13845</v>
      </c>
      <c r="P674" s="52"/>
    </row>
    <row r="675" spans="1:16" ht="40.950000000000003" customHeight="1" x14ac:dyDescent="0.3">
      <c r="A675" s="4">
        <v>167</v>
      </c>
      <c r="B675" s="10" t="s">
        <v>129</v>
      </c>
      <c r="C675" s="10"/>
      <c r="D675" s="10"/>
      <c r="E675" s="10"/>
      <c r="F675" s="10" t="s">
        <v>98</v>
      </c>
      <c r="G675" s="4" t="s">
        <v>169</v>
      </c>
      <c r="H675" s="4">
        <v>5</v>
      </c>
      <c r="I675" s="4">
        <f t="shared" si="31"/>
        <v>9647</v>
      </c>
      <c r="J675" s="4">
        <v>55537</v>
      </c>
      <c r="K675" s="4">
        <f t="shared" si="32"/>
        <v>0</v>
      </c>
      <c r="L675" s="1">
        <v>55537</v>
      </c>
      <c r="M675" s="93">
        <f t="shared" si="30"/>
        <v>0</v>
      </c>
      <c r="N675" s="2">
        <v>45890</v>
      </c>
      <c r="O675" s="97">
        <f>45190+700</f>
        <v>45890</v>
      </c>
      <c r="P675" s="52">
        <v>0.95</v>
      </c>
    </row>
    <row r="676" spans="1:16" ht="40.950000000000003" customHeight="1" x14ac:dyDescent="0.3">
      <c r="A676" s="4">
        <v>167</v>
      </c>
      <c r="B676" s="10" t="s">
        <v>129</v>
      </c>
      <c r="C676" s="10"/>
      <c r="D676" s="10"/>
      <c r="E676" s="10"/>
      <c r="F676" s="10" t="s">
        <v>98</v>
      </c>
      <c r="G676" s="4" t="s">
        <v>200</v>
      </c>
      <c r="H676" s="4"/>
      <c r="I676" s="4">
        <f t="shared" si="31"/>
        <v>3192</v>
      </c>
      <c r="J676" s="4">
        <v>3192</v>
      </c>
      <c r="K676" s="4">
        <f t="shared" si="32"/>
        <v>0</v>
      </c>
      <c r="L676" s="1">
        <v>3192</v>
      </c>
      <c r="M676" s="93">
        <f t="shared" si="30"/>
        <v>0</v>
      </c>
      <c r="N676" s="2"/>
      <c r="O676" s="97"/>
      <c r="P676" s="52"/>
    </row>
    <row r="677" spans="1:16" ht="40.950000000000003" customHeight="1" x14ac:dyDescent="0.3">
      <c r="A677" s="4">
        <v>167</v>
      </c>
      <c r="B677" s="10" t="s">
        <v>129</v>
      </c>
      <c r="C677" s="10"/>
      <c r="D677" s="10"/>
      <c r="E677" s="10"/>
      <c r="F677" s="10" t="s">
        <v>98</v>
      </c>
      <c r="G677" s="4" t="s">
        <v>199</v>
      </c>
      <c r="H677" s="4"/>
      <c r="I677" s="4">
        <f t="shared" si="31"/>
        <v>5422</v>
      </c>
      <c r="J677" s="4">
        <v>5702</v>
      </c>
      <c r="K677" s="4">
        <f t="shared" si="32"/>
        <v>0</v>
      </c>
      <c r="L677" s="1">
        <v>5702</v>
      </c>
      <c r="M677" s="93">
        <f t="shared" si="30"/>
        <v>0</v>
      </c>
      <c r="N677" s="2">
        <v>280</v>
      </c>
      <c r="O677" s="97">
        <f>40+240</f>
        <v>280</v>
      </c>
      <c r="P677" s="52"/>
    </row>
    <row r="678" spans="1:16" ht="40.950000000000003" customHeight="1" x14ac:dyDescent="0.3">
      <c r="A678" s="4">
        <v>167</v>
      </c>
      <c r="B678" s="10" t="s">
        <v>129</v>
      </c>
      <c r="C678" s="10"/>
      <c r="D678" s="10"/>
      <c r="E678" s="10"/>
      <c r="F678" s="10" t="s">
        <v>98</v>
      </c>
      <c r="G678" s="4" t="s">
        <v>391</v>
      </c>
      <c r="H678" s="4"/>
      <c r="I678" s="4">
        <f t="shared" si="31"/>
        <v>0</v>
      </c>
      <c r="J678" s="4">
        <v>427</v>
      </c>
      <c r="K678" s="4">
        <f t="shared" si="32"/>
        <v>0</v>
      </c>
      <c r="L678" s="1">
        <v>427</v>
      </c>
      <c r="M678" s="93">
        <f t="shared" ref="M678:M747" si="33">O678-N678</f>
        <v>0</v>
      </c>
      <c r="N678" s="2">
        <v>427</v>
      </c>
      <c r="O678" s="97">
        <v>427</v>
      </c>
      <c r="P678" s="52"/>
    </row>
    <row r="679" spans="1:16" ht="40.950000000000003" customHeight="1" x14ac:dyDescent="0.3">
      <c r="A679" s="4">
        <v>167</v>
      </c>
      <c r="B679" s="10" t="s">
        <v>129</v>
      </c>
      <c r="C679" s="10"/>
      <c r="D679" s="10"/>
      <c r="E679" s="10"/>
      <c r="F679" s="10" t="s">
        <v>98</v>
      </c>
      <c r="G679" s="4" t="s">
        <v>368</v>
      </c>
      <c r="H679" s="4"/>
      <c r="I679" s="4">
        <f t="shared" si="31"/>
        <v>1281</v>
      </c>
      <c r="J679" s="4">
        <v>1281</v>
      </c>
      <c r="K679" s="4">
        <f t="shared" si="32"/>
        <v>0</v>
      </c>
      <c r="L679" s="1">
        <v>1281</v>
      </c>
      <c r="M679" s="93">
        <f t="shared" si="33"/>
        <v>0</v>
      </c>
      <c r="N679" s="2"/>
      <c r="O679" s="97"/>
      <c r="P679" s="52"/>
    </row>
    <row r="680" spans="1:16" ht="40.950000000000003" customHeight="1" x14ac:dyDescent="0.3">
      <c r="A680" s="4">
        <v>167</v>
      </c>
      <c r="B680" s="10" t="s">
        <v>129</v>
      </c>
      <c r="C680" s="10"/>
      <c r="D680" s="10"/>
      <c r="E680" s="10"/>
      <c r="F680" s="10" t="s">
        <v>98</v>
      </c>
      <c r="G680" s="4" t="s">
        <v>50</v>
      </c>
      <c r="H680" s="4"/>
      <c r="I680" s="4">
        <f t="shared" si="31"/>
        <v>10650</v>
      </c>
      <c r="J680" s="4">
        <v>10650</v>
      </c>
      <c r="K680" s="4">
        <f t="shared" si="32"/>
        <v>0</v>
      </c>
      <c r="L680" s="1">
        <v>10650</v>
      </c>
      <c r="M680" s="93">
        <f t="shared" si="33"/>
        <v>0</v>
      </c>
      <c r="N680" s="2"/>
      <c r="O680" s="97"/>
      <c r="P680" s="52"/>
    </row>
    <row r="681" spans="1:16" ht="40.950000000000003" customHeight="1" x14ac:dyDescent="0.3">
      <c r="A681" s="4">
        <v>168</v>
      </c>
      <c r="B681" s="10" t="s">
        <v>266</v>
      </c>
      <c r="C681" s="10"/>
      <c r="D681" s="10"/>
      <c r="E681" s="10"/>
      <c r="F681" s="10" t="s">
        <v>98</v>
      </c>
      <c r="G681" s="4" t="s">
        <v>7</v>
      </c>
      <c r="H681" s="4"/>
      <c r="I681" s="4">
        <f t="shared" si="31"/>
        <v>23340</v>
      </c>
      <c r="J681" s="4">
        <v>71480</v>
      </c>
      <c r="K681" s="4">
        <f t="shared" si="32"/>
        <v>0</v>
      </c>
      <c r="L681" s="1">
        <v>71480</v>
      </c>
      <c r="M681" s="93">
        <f t="shared" si="33"/>
        <v>0</v>
      </c>
      <c r="N681" s="2">
        <v>48140</v>
      </c>
      <c r="O681" s="97">
        <f>5160+3440+18280+16790+570+3900</f>
        <v>48140</v>
      </c>
      <c r="P681" s="52"/>
    </row>
    <row r="682" spans="1:16" ht="40.950000000000003" customHeight="1" x14ac:dyDescent="0.3">
      <c r="A682" s="4">
        <v>168</v>
      </c>
      <c r="B682" s="10" t="s">
        <v>266</v>
      </c>
      <c r="C682" s="10"/>
      <c r="D682" s="10"/>
      <c r="E682" s="10"/>
      <c r="F682" s="10" t="s">
        <v>98</v>
      </c>
      <c r="G682" s="4" t="s">
        <v>49</v>
      </c>
      <c r="H682" s="4"/>
      <c r="I682" s="4">
        <f t="shared" si="31"/>
        <v>27407</v>
      </c>
      <c r="J682" s="4">
        <v>76407</v>
      </c>
      <c r="K682" s="4">
        <f t="shared" si="32"/>
        <v>0</v>
      </c>
      <c r="L682" s="1">
        <v>76407</v>
      </c>
      <c r="M682" s="93">
        <f t="shared" si="33"/>
        <v>0</v>
      </c>
      <c r="N682" s="2">
        <v>49000</v>
      </c>
      <c r="O682" s="97">
        <f>5160+1720+18700+5600+10800+7020</f>
        <v>49000</v>
      </c>
      <c r="P682" s="52"/>
    </row>
    <row r="683" spans="1:16" ht="40.950000000000003" customHeight="1" x14ac:dyDescent="0.3">
      <c r="A683" s="4">
        <v>168</v>
      </c>
      <c r="B683" s="10" t="s">
        <v>266</v>
      </c>
      <c r="C683" s="10"/>
      <c r="D683" s="10"/>
      <c r="E683" s="10"/>
      <c r="F683" s="10" t="s">
        <v>98</v>
      </c>
      <c r="G683" s="4" t="s">
        <v>85</v>
      </c>
      <c r="H683" s="4"/>
      <c r="I683" s="4">
        <f t="shared" ref="I683:I752" si="34">J683-O683</f>
        <v>28087</v>
      </c>
      <c r="J683" s="4">
        <v>80560</v>
      </c>
      <c r="K683" s="4">
        <f t="shared" si="32"/>
        <v>0</v>
      </c>
      <c r="L683" s="1">
        <v>80560</v>
      </c>
      <c r="M683" s="93">
        <f t="shared" si="33"/>
        <v>0</v>
      </c>
      <c r="N683" s="2">
        <v>52473</v>
      </c>
      <c r="O683" s="97">
        <f>3440+1720+39466+3440+1900+2387+120</f>
        <v>52473</v>
      </c>
      <c r="P683" s="52"/>
    </row>
    <row r="684" spans="1:16" ht="40.950000000000003" customHeight="1" x14ac:dyDescent="0.3">
      <c r="A684" s="4">
        <v>168</v>
      </c>
      <c r="B684" s="10" t="s">
        <v>266</v>
      </c>
      <c r="C684" s="10"/>
      <c r="D684" s="10"/>
      <c r="E684" s="10"/>
      <c r="F684" s="10" t="s">
        <v>98</v>
      </c>
      <c r="G684" s="4" t="s">
        <v>122</v>
      </c>
      <c r="H684" s="4"/>
      <c r="I684" s="4">
        <f t="shared" si="34"/>
        <v>28778</v>
      </c>
      <c r="J684" s="4">
        <v>77503</v>
      </c>
      <c r="K684" s="4">
        <f t="shared" si="32"/>
        <v>0</v>
      </c>
      <c r="L684" s="1">
        <v>77503</v>
      </c>
      <c r="M684" s="93">
        <f t="shared" si="33"/>
        <v>0</v>
      </c>
      <c r="N684" s="2">
        <v>48725</v>
      </c>
      <c r="O684" s="97">
        <f>3440+1720+7390+27537+10313-880-795</f>
        <v>48725</v>
      </c>
      <c r="P684" s="52"/>
    </row>
    <row r="685" spans="1:16" ht="40.950000000000003" customHeight="1" x14ac:dyDescent="0.3">
      <c r="A685" s="4">
        <v>169</v>
      </c>
      <c r="B685" s="10" t="s">
        <v>216</v>
      </c>
      <c r="C685" s="10"/>
      <c r="D685" s="10"/>
      <c r="E685" s="10"/>
      <c r="F685" s="10" t="s">
        <v>98</v>
      </c>
      <c r="G685" s="4" t="s">
        <v>50</v>
      </c>
      <c r="H685" s="4">
        <v>5</v>
      </c>
      <c r="I685" s="4">
        <f t="shared" si="34"/>
        <v>8350</v>
      </c>
      <c r="J685" s="4">
        <v>21230</v>
      </c>
      <c r="K685" s="4">
        <f t="shared" si="32"/>
        <v>0</v>
      </c>
      <c r="L685" s="1">
        <v>21230</v>
      </c>
      <c r="M685" s="93">
        <f t="shared" si="33"/>
        <v>0</v>
      </c>
      <c r="N685" s="2">
        <v>12880</v>
      </c>
      <c r="O685" s="97">
        <v>12880</v>
      </c>
      <c r="P685" s="52">
        <v>0.94299999999999995</v>
      </c>
    </row>
    <row r="686" spans="1:16" ht="40.950000000000003" customHeight="1" x14ac:dyDescent="0.3">
      <c r="A686" s="4">
        <v>169</v>
      </c>
      <c r="B686" s="10" t="s">
        <v>216</v>
      </c>
      <c r="C686" s="10"/>
      <c r="D686" s="10"/>
      <c r="E686" s="10"/>
      <c r="F686" s="10" t="s">
        <v>98</v>
      </c>
      <c r="G686" s="4" t="s">
        <v>64</v>
      </c>
      <c r="H686" s="4">
        <v>4</v>
      </c>
      <c r="I686" s="4">
        <f t="shared" si="34"/>
        <v>13072</v>
      </c>
      <c r="J686" s="4">
        <v>48785</v>
      </c>
      <c r="K686" s="4">
        <f t="shared" si="32"/>
        <v>0</v>
      </c>
      <c r="L686" s="1">
        <v>48785</v>
      </c>
      <c r="M686" s="93">
        <f t="shared" si="33"/>
        <v>0</v>
      </c>
      <c r="N686" s="2">
        <v>35713</v>
      </c>
      <c r="O686" s="97">
        <f>6880+16+45+6985+13889+7898</f>
        <v>35713</v>
      </c>
      <c r="P686" s="52"/>
    </row>
    <row r="687" spans="1:16" ht="40.950000000000003" customHeight="1" x14ac:dyDescent="0.3">
      <c r="A687" s="4">
        <v>169</v>
      </c>
      <c r="B687" s="10" t="s">
        <v>216</v>
      </c>
      <c r="C687" s="10"/>
      <c r="D687" s="10"/>
      <c r="E687" s="10"/>
      <c r="F687" s="10" t="s">
        <v>98</v>
      </c>
      <c r="G687" s="4" t="s">
        <v>39</v>
      </c>
      <c r="H687" s="4">
        <v>5</v>
      </c>
      <c r="I687" s="4">
        <f t="shared" si="34"/>
        <v>10890</v>
      </c>
      <c r="J687" s="4">
        <v>31850</v>
      </c>
      <c r="K687" s="4">
        <f t="shared" si="32"/>
        <v>0</v>
      </c>
      <c r="L687" s="1">
        <v>31850</v>
      </c>
      <c r="M687" s="93">
        <f t="shared" si="33"/>
        <v>0</v>
      </c>
      <c r="N687" s="2">
        <v>20960</v>
      </c>
      <c r="O687" s="97">
        <f>10320+3440+1720+5480</f>
        <v>20960</v>
      </c>
      <c r="P687" s="52"/>
    </row>
    <row r="688" spans="1:16" ht="40.950000000000003" customHeight="1" x14ac:dyDescent="0.3">
      <c r="A688" s="4">
        <v>170</v>
      </c>
      <c r="B688" s="10" t="s">
        <v>227</v>
      </c>
      <c r="C688" s="10"/>
      <c r="D688" s="10"/>
      <c r="E688" s="10"/>
      <c r="F688" s="10" t="s">
        <v>98</v>
      </c>
      <c r="G688" s="4" t="s">
        <v>49</v>
      </c>
      <c r="H688" s="4"/>
      <c r="I688" s="4">
        <f t="shared" si="34"/>
        <v>3530</v>
      </c>
      <c r="J688" s="4">
        <v>8690</v>
      </c>
      <c r="K688" s="4">
        <f t="shared" si="32"/>
        <v>0</v>
      </c>
      <c r="L688" s="1">
        <v>8690</v>
      </c>
      <c r="M688" s="93">
        <f t="shared" si="33"/>
        <v>0</v>
      </c>
      <c r="N688" s="2">
        <v>5160</v>
      </c>
      <c r="O688" s="97">
        <v>5160</v>
      </c>
      <c r="P688" s="52"/>
    </row>
    <row r="689" spans="1:16" ht="40.950000000000003" customHeight="1" x14ac:dyDescent="0.3">
      <c r="A689" s="4">
        <v>170</v>
      </c>
      <c r="B689" s="10" t="s">
        <v>227</v>
      </c>
      <c r="C689" s="10"/>
      <c r="D689" s="10"/>
      <c r="E689" s="10"/>
      <c r="F689" s="10" t="s">
        <v>98</v>
      </c>
      <c r="G689" s="4" t="s">
        <v>128</v>
      </c>
      <c r="H689" s="4"/>
      <c r="I689" s="4">
        <f t="shared" si="34"/>
        <v>3526</v>
      </c>
      <c r="J689" s="4">
        <v>8686</v>
      </c>
      <c r="K689" s="4">
        <f t="shared" si="32"/>
        <v>0</v>
      </c>
      <c r="L689" s="1">
        <v>8686</v>
      </c>
      <c r="M689" s="93">
        <f t="shared" si="33"/>
        <v>0</v>
      </c>
      <c r="N689" s="2">
        <v>5160</v>
      </c>
      <c r="O689" s="97">
        <v>5160</v>
      </c>
      <c r="P689" s="52"/>
    </row>
    <row r="690" spans="1:16" ht="40.950000000000003" customHeight="1" x14ac:dyDescent="0.3">
      <c r="A690" s="4">
        <v>171</v>
      </c>
      <c r="B690" s="10" t="s">
        <v>226</v>
      </c>
      <c r="C690" s="10"/>
      <c r="D690" s="10"/>
      <c r="E690" s="10"/>
      <c r="F690" s="10" t="s">
        <v>98</v>
      </c>
      <c r="G690" s="4" t="s">
        <v>85</v>
      </c>
      <c r="H690" s="4" t="s">
        <v>650</v>
      </c>
      <c r="I690" s="4">
        <f t="shared" si="34"/>
        <v>1833</v>
      </c>
      <c r="J690" s="4">
        <v>6113</v>
      </c>
      <c r="K690" s="4">
        <f t="shared" si="32"/>
        <v>0</v>
      </c>
      <c r="L690" s="1">
        <v>6113</v>
      </c>
      <c r="M690" s="93">
        <f t="shared" si="33"/>
        <v>0</v>
      </c>
      <c r="N690" s="2">
        <v>4280</v>
      </c>
      <c r="O690" s="97">
        <f>2580+1700</f>
        <v>4280</v>
      </c>
      <c r="P690" s="52"/>
    </row>
    <row r="691" spans="1:16" ht="40.950000000000003" customHeight="1" x14ac:dyDescent="0.3">
      <c r="A691" s="4">
        <v>172</v>
      </c>
      <c r="B691" s="10" t="s">
        <v>247</v>
      </c>
      <c r="C691" s="10"/>
      <c r="D691" s="10"/>
      <c r="E691" s="10"/>
      <c r="F691" s="10" t="s">
        <v>98</v>
      </c>
      <c r="G691" s="4" t="s">
        <v>114</v>
      </c>
      <c r="H691" s="4">
        <v>6</v>
      </c>
      <c r="I691" s="4">
        <f t="shared" si="34"/>
        <v>32479</v>
      </c>
      <c r="J691" s="4">
        <v>86892</v>
      </c>
      <c r="K691" s="4">
        <f t="shared" si="32"/>
        <v>0</v>
      </c>
      <c r="L691" s="1">
        <v>86892</v>
      </c>
      <c r="M691" s="93">
        <f t="shared" si="33"/>
        <v>0</v>
      </c>
      <c r="N691" s="2">
        <v>54413</v>
      </c>
      <c r="O691" s="97">
        <f>1720+26410+15858+9792+433+200</f>
        <v>54413</v>
      </c>
      <c r="P691" s="52"/>
    </row>
    <row r="692" spans="1:16" ht="40.950000000000003" customHeight="1" x14ac:dyDescent="0.3">
      <c r="A692" s="4">
        <v>172</v>
      </c>
      <c r="B692" s="10" t="s">
        <v>247</v>
      </c>
      <c r="C692" s="10"/>
      <c r="D692" s="10"/>
      <c r="E692" s="10"/>
      <c r="F692" s="10" t="s">
        <v>98</v>
      </c>
      <c r="G692" s="4" t="s">
        <v>70</v>
      </c>
      <c r="H692" s="4"/>
      <c r="I692" s="4">
        <f t="shared" si="34"/>
        <v>26412</v>
      </c>
      <c r="J692" s="4">
        <v>71637</v>
      </c>
      <c r="K692" s="4">
        <f t="shared" si="32"/>
        <v>0</v>
      </c>
      <c r="L692" s="1">
        <v>71637</v>
      </c>
      <c r="M692" s="93">
        <f t="shared" si="33"/>
        <v>0</v>
      </c>
      <c r="N692" s="2">
        <v>45225</v>
      </c>
      <c r="O692" s="97">
        <f>5160+17200+23845-730-250</f>
        <v>45225</v>
      </c>
      <c r="P692" s="52"/>
    </row>
    <row r="693" spans="1:16" ht="40.950000000000003" customHeight="1" x14ac:dyDescent="0.3">
      <c r="A693" s="4">
        <v>172</v>
      </c>
      <c r="B693" s="10" t="s">
        <v>247</v>
      </c>
      <c r="C693" s="10"/>
      <c r="D693" s="10"/>
      <c r="E693" s="10"/>
      <c r="F693" s="10" t="s">
        <v>98</v>
      </c>
      <c r="G693" s="4" t="s">
        <v>128</v>
      </c>
      <c r="H693" s="4"/>
      <c r="I693" s="4">
        <f t="shared" si="34"/>
        <v>27663</v>
      </c>
      <c r="J693" s="4">
        <v>77503</v>
      </c>
      <c r="K693" s="4">
        <f t="shared" si="32"/>
        <v>0</v>
      </c>
      <c r="L693" s="1">
        <v>77503</v>
      </c>
      <c r="M693" s="93">
        <f t="shared" si="33"/>
        <v>0</v>
      </c>
      <c r="N693" s="2">
        <v>49840</v>
      </c>
      <c r="O693" s="97">
        <f>15490+15655+5160+1720+10515+1300</f>
        <v>49840</v>
      </c>
      <c r="P693" s="52"/>
    </row>
    <row r="694" spans="1:16" ht="40.950000000000003" customHeight="1" x14ac:dyDescent="0.3">
      <c r="A694" s="4">
        <v>172</v>
      </c>
      <c r="B694" s="10" t="s">
        <v>247</v>
      </c>
      <c r="C694" s="10"/>
      <c r="D694" s="10"/>
      <c r="E694" s="10"/>
      <c r="F694" s="10" t="s">
        <v>98</v>
      </c>
      <c r="G694" s="4" t="s">
        <v>143</v>
      </c>
      <c r="H694" s="4"/>
      <c r="I694" s="4">
        <f t="shared" si="34"/>
        <v>30578</v>
      </c>
      <c r="J694" s="4">
        <v>86672</v>
      </c>
      <c r="K694" s="4">
        <f t="shared" si="32"/>
        <v>0</v>
      </c>
      <c r="L694" s="1">
        <v>86672</v>
      </c>
      <c r="M694" s="93">
        <f t="shared" si="33"/>
        <v>0</v>
      </c>
      <c r="N694" s="2">
        <v>56094</v>
      </c>
      <c r="O694" s="97">
        <f>6880+12040+41704-1940-2590</f>
        <v>56094</v>
      </c>
      <c r="P694" s="52"/>
    </row>
    <row r="695" spans="1:16" ht="40.950000000000003" customHeight="1" x14ac:dyDescent="0.3">
      <c r="A695" s="4">
        <v>172</v>
      </c>
      <c r="B695" s="10" t="s">
        <v>247</v>
      </c>
      <c r="C695" s="10"/>
      <c r="D695" s="10"/>
      <c r="E695" s="10"/>
      <c r="F695" s="10" t="s">
        <v>98</v>
      </c>
      <c r="G695" s="4" t="s">
        <v>435</v>
      </c>
      <c r="H695" s="4"/>
      <c r="I695" s="4">
        <f t="shared" si="34"/>
        <v>3035</v>
      </c>
      <c r="J695" s="4">
        <v>12375</v>
      </c>
      <c r="K695" s="4">
        <f t="shared" si="32"/>
        <v>0</v>
      </c>
      <c r="L695" s="1">
        <v>12375</v>
      </c>
      <c r="M695" s="93">
        <f t="shared" si="33"/>
        <v>0</v>
      </c>
      <c r="N695" s="2">
        <v>9340</v>
      </c>
      <c r="O695" s="97">
        <v>9340</v>
      </c>
      <c r="P695" s="52"/>
    </row>
    <row r="696" spans="1:16" ht="40.950000000000003" customHeight="1" x14ac:dyDescent="0.3">
      <c r="A696" s="4">
        <v>172</v>
      </c>
      <c r="B696" s="10" t="s">
        <v>247</v>
      </c>
      <c r="C696" s="10"/>
      <c r="D696" s="10"/>
      <c r="E696" s="10"/>
      <c r="F696" s="10" t="s">
        <v>98</v>
      </c>
      <c r="G696" s="4" t="s">
        <v>391</v>
      </c>
      <c r="H696" s="4"/>
      <c r="I696" s="4">
        <f t="shared" si="34"/>
        <v>2876</v>
      </c>
      <c r="J696" s="4">
        <v>10782</v>
      </c>
      <c r="K696" s="4">
        <f t="shared" si="32"/>
        <v>0</v>
      </c>
      <c r="L696" s="1">
        <v>10782</v>
      </c>
      <c r="M696" s="93">
        <f t="shared" si="33"/>
        <v>0</v>
      </c>
      <c r="N696" s="2">
        <v>7906</v>
      </c>
      <c r="O696" s="97">
        <v>7906</v>
      </c>
      <c r="P696" s="52"/>
    </row>
    <row r="697" spans="1:16" ht="40.950000000000003" customHeight="1" x14ac:dyDescent="0.3">
      <c r="A697" s="4">
        <v>172</v>
      </c>
      <c r="B697" s="10" t="s">
        <v>247</v>
      </c>
      <c r="C697" s="10"/>
      <c r="D697" s="10"/>
      <c r="E697" s="10"/>
      <c r="F697" s="10" t="s">
        <v>98</v>
      </c>
      <c r="G697" s="4" t="s">
        <v>362</v>
      </c>
      <c r="H697" s="4"/>
      <c r="I697" s="4">
        <f t="shared" si="34"/>
        <v>472</v>
      </c>
      <c r="J697" s="4">
        <v>4320</v>
      </c>
      <c r="K697" s="4">
        <f t="shared" si="32"/>
        <v>0</v>
      </c>
      <c r="L697" s="1">
        <v>4320</v>
      </c>
      <c r="M697" s="93">
        <f t="shared" si="33"/>
        <v>0</v>
      </c>
      <c r="N697" s="2">
        <v>3848</v>
      </c>
      <c r="O697" s="97">
        <v>3848</v>
      </c>
      <c r="P697" s="52"/>
    </row>
    <row r="698" spans="1:16" ht="40.950000000000003" customHeight="1" x14ac:dyDescent="0.3">
      <c r="A698" s="4">
        <v>172</v>
      </c>
      <c r="B698" s="10" t="s">
        <v>247</v>
      </c>
      <c r="C698" s="10"/>
      <c r="D698" s="10"/>
      <c r="E698" s="10"/>
      <c r="F698" s="10" t="s">
        <v>98</v>
      </c>
      <c r="G698" s="4" t="s">
        <v>169</v>
      </c>
      <c r="H698" s="4">
        <v>6</v>
      </c>
      <c r="I698" s="4">
        <f t="shared" si="34"/>
        <v>20355</v>
      </c>
      <c r="J698" s="4">
        <v>81255</v>
      </c>
      <c r="K698" s="4">
        <f t="shared" si="32"/>
        <v>0</v>
      </c>
      <c r="L698" s="1">
        <v>81255</v>
      </c>
      <c r="M698" s="93">
        <f t="shared" si="33"/>
        <v>0</v>
      </c>
      <c r="N698" s="2">
        <v>60900</v>
      </c>
      <c r="O698" s="97">
        <f>13050+9650+5040+28860+4100+200</f>
        <v>60900</v>
      </c>
      <c r="P698" s="52"/>
    </row>
    <row r="699" spans="1:16" ht="40.950000000000003" customHeight="1" x14ac:dyDescent="0.3">
      <c r="A699" s="4">
        <v>173</v>
      </c>
      <c r="B699" s="10" t="s">
        <v>267</v>
      </c>
      <c r="C699" s="10"/>
      <c r="D699" s="10"/>
      <c r="E699" s="10"/>
      <c r="F699" s="10" t="s">
        <v>98</v>
      </c>
      <c r="G699" s="4" t="s">
        <v>48</v>
      </c>
      <c r="H699" s="4">
        <v>8</v>
      </c>
      <c r="I699" s="4">
        <f t="shared" si="34"/>
        <v>33213</v>
      </c>
      <c r="J699" s="4">
        <v>90091</v>
      </c>
      <c r="K699" s="4">
        <f t="shared" si="32"/>
        <v>0</v>
      </c>
      <c r="L699" s="1">
        <v>90091</v>
      </c>
      <c r="M699" s="93">
        <f t="shared" si="33"/>
        <v>0</v>
      </c>
      <c r="N699" s="2">
        <v>56878</v>
      </c>
      <c r="O699" s="97">
        <f>5160+17210+12350+19175+18-335+3300</f>
        <v>56878</v>
      </c>
      <c r="P699" s="52"/>
    </row>
    <row r="700" spans="1:16" ht="40.950000000000003" customHeight="1" x14ac:dyDescent="0.3">
      <c r="A700" s="4">
        <v>173</v>
      </c>
      <c r="B700" s="10" t="s">
        <v>267</v>
      </c>
      <c r="C700" s="10"/>
      <c r="D700" s="10"/>
      <c r="E700" s="10"/>
      <c r="F700" s="10" t="s">
        <v>98</v>
      </c>
      <c r="G700" s="4" t="s">
        <v>50</v>
      </c>
      <c r="H700" s="4">
        <v>5</v>
      </c>
      <c r="I700" s="4">
        <f t="shared" si="34"/>
        <v>22903</v>
      </c>
      <c r="J700" s="4">
        <v>65278</v>
      </c>
      <c r="K700" s="4">
        <f t="shared" si="32"/>
        <v>0</v>
      </c>
      <c r="L700" s="1">
        <v>65278</v>
      </c>
      <c r="M700" s="93">
        <f t="shared" si="33"/>
        <v>0</v>
      </c>
      <c r="N700" s="2">
        <v>42375</v>
      </c>
      <c r="O700" s="97">
        <f>21550+4860+17450-1520+35</f>
        <v>42375</v>
      </c>
      <c r="P700" s="52"/>
    </row>
    <row r="701" spans="1:16" ht="40.950000000000003" customHeight="1" x14ac:dyDescent="0.3">
      <c r="A701" s="4">
        <v>173</v>
      </c>
      <c r="B701" s="10" t="s">
        <v>267</v>
      </c>
      <c r="C701" s="10"/>
      <c r="D701" s="10"/>
      <c r="E701" s="10"/>
      <c r="F701" s="10" t="s">
        <v>98</v>
      </c>
      <c r="G701" s="4" t="s">
        <v>200</v>
      </c>
      <c r="H701" s="4">
        <v>2</v>
      </c>
      <c r="I701" s="4">
        <f t="shared" si="34"/>
        <v>1026</v>
      </c>
      <c r="J701" s="4">
        <v>20866</v>
      </c>
      <c r="K701" s="4">
        <f t="shared" si="32"/>
        <v>0</v>
      </c>
      <c r="L701" s="1">
        <v>20866</v>
      </c>
      <c r="M701" s="93">
        <f t="shared" si="33"/>
        <v>0</v>
      </c>
      <c r="N701" s="2">
        <v>19840</v>
      </c>
      <c r="O701" s="97">
        <f>19450+390</f>
        <v>19840</v>
      </c>
      <c r="P701" s="52"/>
    </row>
    <row r="702" spans="1:16" ht="40.950000000000003" customHeight="1" x14ac:dyDescent="0.3">
      <c r="A702" s="4">
        <v>173</v>
      </c>
      <c r="B702" s="10" t="s">
        <v>267</v>
      </c>
      <c r="C702" s="10"/>
      <c r="D702" s="10"/>
      <c r="E702" s="10"/>
      <c r="F702" s="10" t="s">
        <v>98</v>
      </c>
      <c r="G702" s="4" t="s">
        <v>122</v>
      </c>
      <c r="H702" s="4">
        <v>2</v>
      </c>
      <c r="I702" s="4">
        <f t="shared" si="34"/>
        <v>2553</v>
      </c>
      <c r="J702" s="4">
        <v>6113</v>
      </c>
      <c r="K702" s="4">
        <f t="shared" ref="K702:K771" si="35">L702-J702</f>
        <v>0</v>
      </c>
      <c r="L702" s="1">
        <v>6113</v>
      </c>
      <c r="M702" s="93">
        <f t="shared" si="33"/>
        <v>0</v>
      </c>
      <c r="N702" s="2">
        <v>3560</v>
      </c>
      <c r="O702" s="97">
        <f>3440+120</f>
        <v>3560</v>
      </c>
      <c r="P702" s="52"/>
    </row>
    <row r="703" spans="1:16" ht="40.950000000000003" customHeight="1" x14ac:dyDescent="0.3">
      <c r="A703" s="4">
        <v>174</v>
      </c>
      <c r="B703" s="10" t="s">
        <v>298</v>
      </c>
      <c r="C703" s="10"/>
      <c r="D703" s="10"/>
      <c r="E703" s="10"/>
      <c r="F703" s="10" t="s">
        <v>98</v>
      </c>
      <c r="G703" s="4" t="s">
        <v>122</v>
      </c>
      <c r="H703" s="4"/>
      <c r="I703" s="4">
        <f t="shared" si="34"/>
        <v>1175</v>
      </c>
      <c r="J703" s="4">
        <v>2895</v>
      </c>
      <c r="K703" s="4">
        <f t="shared" si="35"/>
        <v>0</v>
      </c>
      <c r="L703" s="1">
        <v>2895</v>
      </c>
      <c r="M703" s="93">
        <f t="shared" si="33"/>
        <v>0</v>
      </c>
      <c r="N703" s="2">
        <v>1720</v>
      </c>
      <c r="O703" s="97">
        <v>1720</v>
      </c>
      <c r="P703" s="52"/>
    </row>
    <row r="704" spans="1:16" ht="40.950000000000003" customHeight="1" x14ac:dyDescent="0.3">
      <c r="A704" s="4">
        <v>175</v>
      </c>
      <c r="B704" s="10" t="s">
        <v>331</v>
      </c>
      <c r="C704" s="10"/>
      <c r="D704" s="10"/>
      <c r="E704" s="10"/>
      <c r="F704" s="10" t="s">
        <v>98</v>
      </c>
      <c r="G704" s="4" t="s">
        <v>64</v>
      </c>
      <c r="H704" s="4"/>
      <c r="I704" s="4">
        <f t="shared" si="34"/>
        <v>13611</v>
      </c>
      <c r="J704" s="4">
        <v>39211</v>
      </c>
      <c r="K704" s="4">
        <f t="shared" si="35"/>
        <v>0</v>
      </c>
      <c r="L704" s="1">
        <v>39211</v>
      </c>
      <c r="M704" s="93">
        <f t="shared" si="33"/>
        <v>0</v>
      </c>
      <c r="N704" s="2">
        <v>25600</v>
      </c>
      <c r="O704" s="97">
        <f>12129+15221-1750</f>
        <v>25600</v>
      </c>
      <c r="P704" s="52"/>
    </row>
    <row r="705" spans="1:16" ht="40.950000000000003" customHeight="1" x14ac:dyDescent="0.3">
      <c r="A705" s="4">
        <v>176</v>
      </c>
      <c r="B705" s="10" t="s">
        <v>377</v>
      </c>
      <c r="C705" s="10"/>
      <c r="D705" s="10"/>
      <c r="E705" s="10"/>
      <c r="F705" s="10" t="s">
        <v>98</v>
      </c>
      <c r="G705" s="4" t="s">
        <v>199</v>
      </c>
      <c r="H705" s="4"/>
      <c r="I705" s="4">
        <f t="shared" si="34"/>
        <v>9900</v>
      </c>
      <c r="J705" s="4">
        <v>9900</v>
      </c>
      <c r="K705" s="4">
        <f t="shared" si="35"/>
        <v>0</v>
      </c>
      <c r="L705" s="1">
        <v>9900</v>
      </c>
      <c r="M705" s="93">
        <f t="shared" si="33"/>
        <v>0</v>
      </c>
      <c r="N705" s="2"/>
      <c r="O705" s="97"/>
      <c r="P705" s="52"/>
    </row>
    <row r="706" spans="1:16" ht="40.950000000000003" customHeight="1" x14ac:dyDescent="0.3">
      <c r="A706" s="4">
        <v>177</v>
      </c>
      <c r="B706" s="10" t="s">
        <v>382</v>
      </c>
      <c r="C706" s="10"/>
      <c r="D706" s="10"/>
      <c r="E706" s="10"/>
      <c r="F706" s="10" t="s">
        <v>98</v>
      </c>
      <c r="G706" s="4" t="s">
        <v>39</v>
      </c>
      <c r="H706" s="4">
        <v>5</v>
      </c>
      <c r="I706" s="4">
        <f t="shared" si="34"/>
        <v>15333</v>
      </c>
      <c r="J706" s="4">
        <v>53488</v>
      </c>
      <c r="K706" s="4">
        <f t="shared" si="35"/>
        <v>0</v>
      </c>
      <c r="L706" s="1">
        <v>53488</v>
      </c>
      <c r="M706" s="93">
        <f t="shared" si="33"/>
        <v>0</v>
      </c>
      <c r="N706" s="2">
        <v>38155</v>
      </c>
      <c r="O706" s="97">
        <f>14685+24640-1320+150</f>
        <v>38155</v>
      </c>
      <c r="P706" s="52"/>
    </row>
    <row r="707" spans="1:16" ht="40.950000000000003" customHeight="1" x14ac:dyDescent="0.3">
      <c r="A707" s="4">
        <v>177</v>
      </c>
      <c r="B707" s="10" t="s">
        <v>382</v>
      </c>
      <c r="C707" s="10"/>
      <c r="D707" s="10"/>
      <c r="E707" s="10"/>
      <c r="F707" s="10" t="s">
        <v>98</v>
      </c>
      <c r="G707" s="4" t="s">
        <v>7</v>
      </c>
      <c r="H707" s="4"/>
      <c r="I707" s="4">
        <f t="shared" si="34"/>
        <v>579</v>
      </c>
      <c r="J707" s="4">
        <v>1998</v>
      </c>
      <c r="K707" s="4">
        <f t="shared" si="35"/>
        <v>0</v>
      </c>
      <c r="L707" s="1">
        <v>1998</v>
      </c>
      <c r="M707" s="93">
        <f t="shared" si="33"/>
        <v>0</v>
      </c>
      <c r="N707" s="2">
        <v>1419</v>
      </c>
      <c r="O707" s="97">
        <f>1439-20</f>
        <v>1419</v>
      </c>
      <c r="P707" s="52"/>
    </row>
    <row r="708" spans="1:16" ht="40.950000000000003" customHeight="1" x14ac:dyDescent="0.3">
      <c r="A708" s="4">
        <v>177</v>
      </c>
      <c r="B708" s="10" t="s">
        <v>382</v>
      </c>
      <c r="C708" s="10"/>
      <c r="D708" s="10"/>
      <c r="E708" s="10"/>
      <c r="F708" s="10" t="s">
        <v>98</v>
      </c>
      <c r="G708" s="4" t="s">
        <v>8</v>
      </c>
      <c r="H708" s="4">
        <v>2</v>
      </c>
      <c r="I708" s="4">
        <f t="shared" si="34"/>
        <v>401</v>
      </c>
      <c r="J708" s="4">
        <v>2220</v>
      </c>
      <c r="K708" s="4">
        <f t="shared" si="35"/>
        <v>0</v>
      </c>
      <c r="L708" s="1">
        <v>2220</v>
      </c>
      <c r="M708" s="93">
        <f t="shared" si="33"/>
        <v>0</v>
      </c>
      <c r="N708" s="2">
        <v>1819</v>
      </c>
      <c r="O708" s="97">
        <f>1419+400</f>
        <v>1819</v>
      </c>
      <c r="P708" s="52"/>
    </row>
    <row r="709" spans="1:16" ht="40.950000000000003" customHeight="1" x14ac:dyDescent="0.3">
      <c r="A709" s="4">
        <v>177</v>
      </c>
      <c r="B709" s="10" t="s">
        <v>382</v>
      </c>
      <c r="C709" s="10"/>
      <c r="D709" s="10"/>
      <c r="E709" s="10"/>
      <c r="F709" s="10" t="s">
        <v>98</v>
      </c>
      <c r="G709" s="4" t="s">
        <v>9</v>
      </c>
      <c r="H709" s="4"/>
      <c r="I709" s="4">
        <f t="shared" si="34"/>
        <v>579</v>
      </c>
      <c r="J709" s="4">
        <v>1998</v>
      </c>
      <c r="K709" s="4">
        <f t="shared" si="35"/>
        <v>0</v>
      </c>
      <c r="L709" s="1">
        <v>1998</v>
      </c>
      <c r="M709" s="93">
        <f t="shared" si="33"/>
        <v>0</v>
      </c>
      <c r="N709" s="2">
        <v>1419</v>
      </c>
      <c r="O709" s="97">
        <v>1419</v>
      </c>
      <c r="P709" s="52"/>
    </row>
    <row r="710" spans="1:16" ht="40.950000000000003" customHeight="1" x14ac:dyDescent="0.3">
      <c r="A710" s="4">
        <v>177</v>
      </c>
      <c r="B710" s="10" t="s">
        <v>382</v>
      </c>
      <c r="C710" s="10"/>
      <c r="D710" s="10"/>
      <c r="E710" s="10"/>
      <c r="F710" s="10" t="s">
        <v>98</v>
      </c>
      <c r="G710" s="4" t="s">
        <v>11</v>
      </c>
      <c r="H710" s="4"/>
      <c r="I710" s="4">
        <f t="shared" si="34"/>
        <v>579</v>
      </c>
      <c r="J710" s="4">
        <v>1998</v>
      </c>
      <c r="K710" s="4">
        <f t="shared" si="35"/>
        <v>0</v>
      </c>
      <c r="L710" s="1">
        <v>1998</v>
      </c>
      <c r="M710" s="93">
        <f t="shared" si="33"/>
        <v>0</v>
      </c>
      <c r="N710" s="2">
        <v>1419</v>
      </c>
      <c r="O710" s="97">
        <v>1419</v>
      </c>
      <c r="P710" s="52"/>
    </row>
    <row r="711" spans="1:16" ht="40.950000000000003" customHeight="1" x14ac:dyDescent="0.3">
      <c r="A711" s="4">
        <v>177</v>
      </c>
      <c r="B711" s="10" t="s">
        <v>382</v>
      </c>
      <c r="C711" s="10"/>
      <c r="D711" s="10"/>
      <c r="E711" s="10"/>
      <c r="F711" s="10" t="s">
        <v>98</v>
      </c>
      <c r="G711" s="4" t="s">
        <v>22</v>
      </c>
      <c r="H711" s="4">
        <v>2</v>
      </c>
      <c r="I711" s="4">
        <f t="shared" si="34"/>
        <v>592</v>
      </c>
      <c r="J711" s="4">
        <v>2131</v>
      </c>
      <c r="K711" s="4">
        <f t="shared" si="35"/>
        <v>0</v>
      </c>
      <c r="L711" s="1">
        <v>2131</v>
      </c>
      <c r="M711" s="93">
        <f t="shared" si="33"/>
        <v>0</v>
      </c>
      <c r="N711" s="2">
        <v>1539</v>
      </c>
      <c r="O711" s="97">
        <f>1419+120</f>
        <v>1539</v>
      </c>
      <c r="P711" s="52"/>
    </row>
    <row r="712" spans="1:16" ht="40.950000000000003" customHeight="1" x14ac:dyDescent="0.3">
      <c r="A712" s="4">
        <v>177</v>
      </c>
      <c r="B712" s="10" t="s">
        <v>382</v>
      </c>
      <c r="C712" s="10"/>
      <c r="D712" s="10"/>
      <c r="E712" s="10"/>
      <c r="F712" s="10" t="s">
        <v>98</v>
      </c>
      <c r="G712" s="4" t="s">
        <v>70</v>
      </c>
      <c r="H712" s="4" t="s">
        <v>650</v>
      </c>
      <c r="I712" s="4">
        <f t="shared" si="34"/>
        <v>441</v>
      </c>
      <c r="J712" s="4">
        <v>2220</v>
      </c>
      <c r="K712" s="4">
        <f t="shared" si="35"/>
        <v>0</v>
      </c>
      <c r="L712" s="1">
        <v>2220</v>
      </c>
      <c r="M712" s="93">
        <f t="shared" si="33"/>
        <v>0</v>
      </c>
      <c r="N712" s="2">
        <v>1779</v>
      </c>
      <c r="O712" s="97">
        <f>1419+360</f>
        <v>1779</v>
      </c>
      <c r="P712" s="52"/>
    </row>
    <row r="713" spans="1:16" ht="40.950000000000003" customHeight="1" x14ac:dyDescent="0.3">
      <c r="A713" s="4">
        <v>177</v>
      </c>
      <c r="B713" s="10" t="s">
        <v>382</v>
      </c>
      <c r="C713" s="10"/>
      <c r="D713" s="10"/>
      <c r="E713" s="10"/>
      <c r="F713" s="10" t="s">
        <v>98</v>
      </c>
      <c r="G713" s="4" t="s">
        <v>114</v>
      </c>
      <c r="H713" s="4">
        <v>2</v>
      </c>
      <c r="I713" s="4">
        <f t="shared" si="34"/>
        <v>592.5</v>
      </c>
      <c r="J713" s="4">
        <v>2131</v>
      </c>
      <c r="K713" s="4">
        <f t="shared" si="35"/>
        <v>0</v>
      </c>
      <c r="L713" s="1">
        <v>2131</v>
      </c>
      <c r="M713" s="93">
        <f t="shared" si="33"/>
        <v>0</v>
      </c>
      <c r="N713" s="2">
        <v>1538.5</v>
      </c>
      <c r="O713" s="97">
        <f>1418.5+120</f>
        <v>1538.5</v>
      </c>
      <c r="P713" s="52"/>
    </row>
    <row r="714" spans="1:16" ht="40.950000000000003" customHeight="1" x14ac:dyDescent="0.3">
      <c r="A714" s="4">
        <v>177</v>
      </c>
      <c r="B714" s="10" t="s">
        <v>382</v>
      </c>
      <c r="C714" s="10"/>
      <c r="D714" s="10"/>
      <c r="E714" s="10"/>
      <c r="F714" s="10" t="s">
        <v>98</v>
      </c>
      <c r="G714" s="4" t="s">
        <v>424</v>
      </c>
      <c r="H714" s="4"/>
      <c r="I714" s="4">
        <f t="shared" si="34"/>
        <v>855</v>
      </c>
      <c r="J714" s="4">
        <v>855</v>
      </c>
      <c r="K714" s="4">
        <f t="shared" si="35"/>
        <v>0</v>
      </c>
      <c r="L714" s="1">
        <v>855</v>
      </c>
      <c r="M714" s="93">
        <f t="shared" si="33"/>
        <v>0</v>
      </c>
      <c r="N714" s="2"/>
      <c r="O714" s="97"/>
      <c r="P714" s="52"/>
    </row>
    <row r="715" spans="1:16" ht="40.950000000000003" customHeight="1" x14ac:dyDescent="0.3">
      <c r="A715" s="4">
        <v>177</v>
      </c>
      <c r="B715" s="10" t="s">
        <v>382</v>
      </c>
      <c r="C715" s="10"/>
      <c r="D715" s="10"/>
      <c r="E715" s="10"/>
      <c r="F715" s="10" t="s">
        <v>98</v>
      </c>
      <c r="G715" s="4" t="s">
        <v>200</v>
      </c>
      <c r="H715" s="4"/>
      <c r="I715" s="4">
        <f t="shared" si="34"/>
        <v>2350</v>
      </c>
      <c r="J715" s="4">
        <v>4806</v>
      </c>
      <c r="K715" s="4">
        <f t="shared" si="35"/>
        <v>0</v>
      </c>
      <c r="L715" s="1">
        <v>4806</v>
      </c>
      <c r="M715" s="93">
        <f t="shared" si="33"/>
        <v>0</v>
      </c>
      <c r="N715" s="2">
        <v>2456</v>
      </c>
      <c r="O715" s="97">
        <v>2456</v>
      </c>
      <c r="P715" s="52"/>
    </row>
    <row r="716" spans="1:16" ht="40.950000000000003" customHeight="1" x14ac:dyDescent="0.3">
      <c r="A716" s="4">
        <v>178</v>
      </c>
      <c r="B716" s="10" t="s">
        <v>230</v>
      </c>
      <c r="C716" s="10"/>
      <c r="D716" s="10"/>
      <c r="E716" s="10"/>
      <c r="F716" s="10" t="s">
        <v>224</v>
      </c>
      <c r="G716" s="4" t="s">
        <v>11</v>
      </c>
      <c r="H716" s="4">
        <v>13</v>
      </c>
      <c r="I716" s="4">
        <f t="shared" si="34"/>
        <v>198836</v>
      </c>
      <c r="J716" s="4">
        <v>203793</v>
      </c>
      <c r="K716" s="4">
        <f t="shared" si="35"/>
        <v>0</v>
      </c>
      <c r="L716" s="1">
        <v>203793</v>
      </c>
      <c r="M716" s="93">
        <f t="shared" si="33"/>
        <v>0</v>
      </c>
      <c r="N716" s="2">
        <v>4957</v>
      </c>
      <c r="O716" s="97">
        <v>4957</v>
      </c>
      <c r="P716" s="52"/>
    </row>
    <row r="717" spans="1:16" ht="40.950000000000003" customHeight="1" x14ac:dyDescent="0.3">
      <c r="A717" s="4">
        <v>178</v>
      </c>
      <c r="B717" s="10" t="s">
        <v>230</v>
      </c>
      <c r="C717" s="10"/>
      <c r="D717" s="10"/>
      <c r="E717" s="10"/>
      <c r="F717" s="10" t="s">
        <v>224</v>
      </c>
      <c r="G717" s="4" t="s">
        <v>8</v>
      </c>
      <c r="H717" s="4">
        <v>6</v>
      </c>
      <c r="I717" s="4">
        <f t="shared" si="34"/>
        <v>56925</v>
      </c>
      <c r="J717" s="4">
        <v>57525</v>
      </c>
      <c r="K717" s="4">
        <f t="shared" si="35"/>
        <v>0</v>
      </c>
      <c r="L717" s="1">
        <v>57525</v>
      </c>
      <c r="M717" s="93">
        <f t="shared" si="33"/>
        <v>0</v>
      </c>
      <c r="N717" s="2">
        <v>600</v>
      </c>
      <c r="O717" s="97">
        <v>600</v>
      </c>
      <c r="P717" s="52">
        <v>0.9</v>
      </c>
    </row>
    <row r="718" spans="1:16" ht="40.950000000000003" customHeight="1" x14ac:dyDescent="0.3">
      <c r="A718" s="4">
        <v>178</v>
      </c>
      <c r="B718" s="10" t="s">
        <v>230</v>
      </c>
      <c r="C718" s="10"/>
      <c r="D718" s="10"/>
      <c r="E718" s="10"/>
      <c r="F718" s="10" t="s">
        <v>224</v>
      </c>
      <c r="G718" s="4" t="s">
        <v>335</v>
      </c>
      <c r="H718" s="4">
        <v>6</v>
      </c>
      <c r="I718" s="4">
        <f t="shared" si="34"/>
        <v>26709</v>
      </c>
      <c r="J718" s="4">
        <v>28239</v>
      </c>
      <c r="K718" s="4">
        <f t="shared" si="35"/>
        <v>0</v>
      </c>
      <c r="L718" s="1">
        <v>28239</v>
      </c>
      <c r="M718" s="93">
        <f t="shared" si="33"/>
        <v>0</v>
      </c>
      <c r="N718" s="2">
        <v>1530</v>
      </c>
      <c r="O718" s="97">
        <v>1530</v>
      </c>
      <c r="P718" s="52">
        <v>0.9</v>
      </c>
    </row>
    <row r="719" spans="1:16" ht="40.950000000000003" customHeight="1" x14ac:dyDescent="0.3">
      <c r="A719" s="4">
        <v>178</v>
      </c>
      <c r="B719" s="10" t="s">
        <v>230</v>
      </c>
      <c r="C719" s="10"/>
      <c r="D719" s="10"/>
      <c r="E719" s="10"/>
      <c r="F719" s="10" t="s">
        <v>224</v>
      </c>
      <c r="G719" s="4" t="s">
        <v>22</v>
      </c>
      <c r="H719" s="4">
        <v>19</v>
      </c>
      <c r="I719" s="4">
        <f t="shared" si="34"/>
        <v>177883</v>
      </c>
      <c r="J719" s="4">
        <v>187753</v>
      </c>
      <c r="K719" s="4">
        <f t="shared" si="35"/>
        <v>0</v>
      </c>
      <c r="L719" s="1">
        <v>187753</v>
      </c>
      <c r="M719" s="93">
        <f t="shared" si="33"/>
        <v>0</v>
      </c>
      <c r="N719" s="2">
        <v>9870</v>
      </c>
      <c r="O719" s="97">
        <v>9870</v>
      </c>
      <c r="P719" s="52"/>
    </row>
    <row r="720" spans="1:16" ht="40.950000000000003" customHeight="1" x14ac:dyDescent="0.3">
      <c r="A720" s="4">
        <v>178</v>
      </c>
      <c r="B720" s="10" t="s">
        <v>230</v>
      </c>
      <c r="C720" s="10"/>
      <c r="D720" s="10"/>
      <c r="E720" s="10"/>
      <c r="F720" s="10" t="s">
        <v>224</v>
      </c>
      <c r="G720" s="4" t="s">
        <v>70</v>
      </c>
      <c r="H720" s="4">
        <v>12</v>
      </c>
      <c r="I720" s="4">
        <f t="shared" si="34"/>
        <v>171781</v>
      </c>
      <c r="J720" s="4">
        <v>176469</v>
      </c>
      <c r="K720" s="4">
        <f t="shared" si="35"/>
        <v>0</v>
      </c>
      <c r="L720" s="1">
        <v>176469</v>
      </c>
      <c r="M720" s="93">
        <f t="shared" si="33"/>
        <v>0</v>
      </c>
      <c r="N720" s="2">
        <v>4688</v>
      </c>
      <c r="O720" s="97">
        <v>4688</v>
      </c>
      <c r="P720" s="52"/>
    </row>
    <row r="721" spans="1:16" ht="40.950000000000003" customHeight="1" x14ac:dyDescent="0.3">
      <c r="A721" s="4">
        <v>178</v>
      </c>
      <c r="B721" s="10" t="s">
        <v>230</v>
      </c>
      <c r="C721" s="10"/>
      <c r="D721" s="10"/>
      <c r="E721" s="10"/>
      <c r="F721" s="10" t="s">
        <v>224</v>
      </c>
      <c r="G721" s="4" t="s">
        <v>90</v>
      </c>
      <c r="H721" s="4">
        <v>13</v>
      </c>
      <c r="I721" s="4">
        <f t="shared" si="34"/>
        <v>174287</v>
      </c>
      <c r="J721" s="4">
        <v>180082</v>
      </c>
      <c r="K721" s="4">
        <f t="shared" si="35"/>
        <v>0</v>
      </c>
      <c r="L721" s="1">
        <v>180082</v>
      </c>
      <c r="M721" s="93">
        <f t="shared" si="33"/>
        <v>0</v>
      </c>
      <c r="N721" s="2">
        <v>5795</v>
      </c>
      <c r="O721" s="97">
        <v>5795</v>
      </c>
      <c r="P721" s="52">
        <v>0.9</v>
      </c>
    </row>
    <row r="722" spans="1:16" ht="40.950000000000003" customHeight="1" x14ac:dyDescent="0.3">
      <c r="A722" s="4">
        <v>178</v>
      </c>
      <c r="B722" s="10" t="s">
        <v>230</v>
      </c>
      <c r="C722" s="10"/>
      <c r="D722" s="10"/>
      <c r="E722" s="10"/>
      <c r="F722" s="10" t="s">
        <v>224</v>
      </c>
      <c r="G722" s="4" t="s">
        <v>7</v>
      </c>
      <c r="H722" s="4">
        <v>1</v>
      </c>
      <c r="I722" s="4">
        <f t="shared" si="34"/>
        <v>2016</v>
      </c>
      <c r="J722" s="4">
        <v>2016</v>
      </c>
      <c r="K722" s="4">
        <f t="shared" si="35"/>
        <v>0</v>
      </c>
      <c r="L722" s="1">
        <v>2016</v>
      </c>
      <c r="M722" s="93">
        <f t="shared" si="33"/>
        <v>0</v>
      </c>
      <c r="N722" s="2">
        <v>0</v>
      </c>
      <c r="O722" s="97">
        <v>0</v>
      </c>
      <c r="P722" s="52">
        <v>0.9</v>
      </c>
    </row>
    <row r="723" spans="1:16" ht="40.950000000000003" customHeight="1" x14ac:dyDescent="0.3">
      <c r="A723" s="4">
        <v>178</v>
      </c>
      <c r="B723" s="10" t="s">
        <v>230</v>
      </c>
      <c r="C723" s="10"/>
      <c r="D723" s="10"/>
      <c r="E723" s="10"/>
      <c r="F723" s="10" t="s">
        <v>224</v>
      </c>
      <c r="G723" s="4" t="s">
        <v>49</v>
      </c>
      <c r="H723" s="4">
        <v>1</v>
      </c>
      <c r="I723" s="4">
        <f t="shared" si="34"/>
        <v>1728</v>
      </c>
      <c r="J723" s="4">
        <v>1728</v>
      </c>
      <c r="K723" s="4">
        <f t="shared" si="35"/>
        <v>0</v>
      </c>
      <c r="L723" s="1">
        <v>1728</v>
      </c>
      <c r="M723" s="93">
        <f t="shared" si="33"/>
        <v>0</v>
      </c>
      <c r="N723" s="2">
        <v>0</v>
      </c>
      <c r="O723" s="97">
        <v>0</v>
      </c>
      <c r="P723" s="52">
        <v>0.9</v>
      </c>
    </row>
    <row r="724" spans="1:16" ht="40.950000000000003" customHeight="1" x14ac:dyDescent="0.3">
      <c r="A724" s="4">
        <v>178</v>
      </c>
      <c r="B724" s="10" t="s">
        <v>230</v>
      </c>
      <c r="C724" s="10"/>
      <c r="D724" s="10"/>
      <c r="E724" s="10"/>
      <c r="F724" s="10" t="s">
        <v>224</v>
      </c>
      <c r="G724" s="4" t="s">
        <v>39</v>
      </c>
      <c r="H724" s="4">
        <v>1</v>
      </c>
      <c r="I724" s="4">
        <f t="shared" si="34"/>
        <v>1632</v>
      </c>
      <c r="J724" s="4">
        <v>1632</v>
      </c>
      <c r="K724" s="4">
        <f t="shared" si="35"/>
        <v>0</v>
      </c>
      <c r="L724" s="1">
        <v>1632</v>
      </c>
      <c r="M724" s="93">
        <f t="shared" si="33"/>
        <v>0</v>
      </c>
      <c r="N724" s="2">
        <v>0</v>
      </c>
      <c r="O724" s="97">
        <v>0</v>
      </c>
      <c r="P724" s="52">
        <v>0.85</v>
      </c>
    </row>
    <row r="725" spans="1:16" ht="40.950000000000003" customHeight="1" x14ac:dyDescent="0.3">
      <c r="A725" s="4">
        <v>178</v>
      </c>
      <c r="B725" s="10" t="s">
        <v>230</v>
      </c>
      <c r="C725" s="10"/>
      <c r="D725" s="10"/>
      <c r="E725" s="10"/>
      <c r="F725" s="10" t="s">
        <v>224</v>
      </c>
      <c r="G725" s="4" t="s">
        <v>471</v>
      </c>
      <c r="H725" s="4">
        <v>1</v>
      </c>
      <c r="I725" s="4">
        <f t="shared" si="34"/>
        <v>1632</v>
      </c>
      <c r="J725" s="4">
        <v>1632</v>
      </c>
      <c r="K725" s="4">
        <f t="shared" si="35"/>
        <v>0</v>
      </c>
      <c r="L725" s="1">
        <v>1632</v>
      </c>
      <c r="M725" s="93">
        <f t="shared" si="33"/>
        <v>0</v>
      </c>
      <c r="N725" s="2">
        <v>0</v>
      </c>
      <c r="O725" s="97">
        <v>0</v>
      </c>
      <c r="P725" s="52">
        <v>0.85</v>
      </c>
    </row>
    <row r="726" spans="1:16" ht="40.950000000000003" customHeight="1" x14ac:dyDescent="0.3">
      <c r="A726" s="4">
        <v>178</v>
      </c>
      <c r="B726" s="10" t="s">
        <v>230</v>
      </c>
      <c r="C726" s="10"/>
      <c r="D726" s="10"/>
      <c r="E726" s="10"/>
      <c r="F726" s="10" t="s">
        <v>224</v>
      </c>
      <c r="G726" s="4" t="s">
        <v>50</v>
      </c>
      <c r="H726" s="4">
        <v>1</v>
      </c>
      <c r="I726" s="4">
        <f t="shared" si="34"/>
        <v>1632</v>
      </c>
      <c r="J726" s="4">
        <v>1632</v>
      </c>
      <c r="K726" s="4">
        <f t="shared" si="35"/>
        <v>0</v>
      </c>
      <c r="L726" s="1">
        <v>1632</v>
      </c>
      <c r="M726" s="93">
        <f t="shared" si="33"/>
        <v>0</v>
      </c>
      <c r="N726" s="2">
        <v>0</v>
      </c>
      <c r="O726" s="97">
        <v>0</v>
      </c>
      <c r="P726" s="52">
        <v>0.85</v>
      </c>
    </row>
    <row r="727" spans="1:16" ht="40.950000000000003" customHeight="1" x14ac:dyDescent="0.3">
      <c r="A727" s="4">
        <v>178</v>
      </c>
      <c r="B727" s="10" t="s">
        <v>230</v>
      </c>
      <c r="C727" s="10"/>
      <c r="D727" s="10"/>
      <c r="E727" s="10"/>
      <c r="F727" s="10" t="s">
        <v>224</v>
      </c>
      <c r="G727" s="4" t="s">
        <v>48</v>
      </c>
      <c r="H727" s="4">
        <v>16</v>
      </c>
      <c r="I727" s="4">
        <f t="shared" si="34"/>
        <v>203990</v>
      </c>
      <c r="J727" s="4">
        <v>208025</v>
      </c>
      <c r="K727" s="4">
        <f t="shared" si="35"/>
        <v>0</v>
      </c>
      <c r="L727" s="1">
        <v>208025</v>
      </c>
      <c r="M727" s="93">
        <f t="shared" si="33"/>
        <v>0</v>
      </c>
      <c r="N727" s="2">
        <v>4035</v>
      </c>
      <c r="O727" s="97">
        <v>4035</v>
      </c>
      <c r="P727" s="52" t="s">
        <v>1553</v>
      </c>
    </row>
    <row r="728" spans="1:16" ht="40.950000000000003" customHeight="1" x14ac:dyDescent="0.3">
      <c r="A728" s="4">
        <v>178</v>
      </c>
      <c r="B728" s="10" t="s">
        <v>230</v>
      </c>
      <c r="C728" s="10"/>
      <c r="D728" s="10"/>
      <c r="E728" s="10"/>
      <c r="F728" s="10" t="s">
        <v>224</v>
      </c>
      <c r="G728" s="4" t="s">
        <v>51</v>
      </c>
      <c r="H728" s="4">
        <v>18</v>
      </c>
      <c r="I728" s="4">
        <f t="shared" si="34"/>
        <v>187812</v>
      </c>
      <c r="J728" s="4">
        <v>195207</v>
      </c>
      <c r="K728" s="4">
        <f t="shared" si="35"/>
        <v>0</v>
      </c>
      <c r="L728" s="1">
        <v>195207</v>
      </c>
      <c r="M728" s="93">
        <f t="shared" si="33"/>
        <v>0</v>
      </c>
      <c r="N728" s="2">
        <v>7395</v>
      </c>
      <c r="O728" s="97">
        <v>7395</v>
      </c>
      <c r="P728" s="52">
        <v>0.9</v>
      </c>
    </row>
    <row r="729" spans="1:16" ht="40.950000000000003" customHeight="1" x14ac:dyDescent="0.3">
      <c r="A729" s="4">
        <v>178</v>
      </c>
      <c r="B729" s="10" t="s">
        <v>230</v>
      </c>
      <c r="C729" s="10"/>
      <c r="D729" s="10"/>
      <c r="E729" s="10"/>
      <c r="F729" s="10" t="s">
        <v>224</v>
      </c>
      <c r="G729" s="4" t="s">
        <v>85</v>
      </c>
      <c r="H729" s="4">
        <v>13</v>
      </c>
      <c r="I729" s="4">
        <f t="shared" si="34"/>
        <v>195451</v>
      </c>
      <c r="J729" s="4">
        <v>199431</v>
      </c>
      <c r="K729" s="4">
        <f t="shared" si="35"/>
        <v>0</v>
      </c>
      <c r="L729" s="1">
        <v>199431</v>
      </c>
      <c r="M729" s="93">
        <f t="shared" si="33"/>
        <v>0</v>
      </c>
      <c r="N729" s="2">
        <v>3980</v>
      </c>
      <c r="O729" s="97">
        <v>3980</v>
      </c>
      <c r="P729" s="52">
        <v>0.9</v>
      </c>
    </row>
    <row r="730" spans="1:16" ht="40.950000000000003" customHeight="1" x14ac:dyDescent="0.3">
      <c r="A730" s="4">
        <v>178</v>
      </c>
      <c r="B730" s="10" t="s">
        <v>230</v>
      </c>
      <c r="C730" s="10"/>
      <c r="D730" s="10"/>
      <c r="E730" s="10"/>
      <c r="F730" s="10" t="s">
        <v>224</v>
      </c>
      <c r="G730" s="4" t="s">
        <v>128</v>
      </c>
      <c r="H730" s="4">
        <v>10</v>
      </c>
      <c r="I730" s="4">
        <f t="shared" si="34"/>
        <v>100841</v>
      </c>
      <c r="J730" s="4">
        <v>106701</v>
      </c>
      <c r="K730" s="4">
        <f t="shared" si="35"/>
        <v>0</v>
      </c>
      <c r="L730" s="1">
        <v>106701</v>
      </c>
      <c r="M730" s="93">
        <f t="shared" si="33"/>
        <v>0</v>
      </c>
      <c r="N730" s="2">
        <v>5860</v>
      </c>
      <c r="O730" s="97">
        <v>5860</v>
      </c>
      <c r="P730" s="52">
        <v>0.9</v>
      </c>
    </row>
    <row r="731" spans="1:16" ht="40.950000000000003" customHeight="1" x14ac:dyDescent="0.3">
      <c r="A731" s="4">
        <v>178</v>
      </c>
      <c r="B731" s="10" t="s">
        <v>230</v>
      </c>
      <c r="C731" s="10"/>
      <c r="D731" s="10"/>
      <c r="E731" s="10"/>
      <c r="F731" s="10" t="s">
        <v>224</v>
      </c>
      <c r="G731" s="4" t="s">
        <v>122</v>
      </c>
      <c r="H731" s="4">
        <v>1</v>
      </c>
      <c r="I731" s="4">
        <f t="shared" si="34"/>
        <v>1728</v>
      </c>
      <c r="J731" s="4">
        <v>1728</v>
      </c>
      <c r="K731" s="4">
        <f t="shared" si="35"/>
        <v>0</v>
      </c>
      <c r="L731" s="1">
        <v>1728</v>
      </c>
      <c r="M731" s="93">
        <f t="shared" si="33"/>
        <v>0</v>
      </c>
      <c r="N731" s="2"/>
      <c r="O731" s="97"/>
      <c r="P731" s="52">
        <v>0.9</v>
      </c>
    </row>
    <row r="732" spans="1:16" ht="40.950000000000003" customHeight="1" x14ac:dyDescent="0.3">
      <c r="A732" s="4">
        <v>178</v>
      </c>
      <c r="B732" s="10" t="s">
        <v>230</v>
      </c>
      <c r="C732" s="10"/>
      <c r="D732" s="10"/>
      <c r="E732" s="10"/>
      <c r="F732" s="10" t="s">
        <v>224</v>
      </c>
      <c r="G732" s="4" t="s">
        <v>64</v>
      </c>
      <c r="H732" s="4">
        <v>16</v>
      </c>
      <c r="I732" s="4">
        <f t="shared" si="34"/>
        <v>196041</v>
      </c>
      <c r="J732" s="4">
        <v>201353</v>
      </c>
      <c r="K732" s="4">
        <f t="shared" si="35"/>
        <v>0</v>
      </c>
      <c r="L732" s="1">
        <v>201353</v>
      </c>
      <c r="M732" s="93">
        <f t="shared" si="33"/>
        <v>0</v>
      </c>
      <c r="N732" s="2">
        <v>5312</v>
      </c>
      <c r="O732" s="97">
        <v>5312</v>
      </c>
      <c r="P732" s="52">
        <v>0.93799999999999994</v>
      </c>
    </row>
    <row r="733" spans="1:16" ht="40.950000000000003" customHeight="1" x14ac:dyDescent="0.3">
      <c r="A733" s="4">
        <v>179</v>
      </c>
      <c r="B733" s="10" t="s">
        <v>231</v>
      </c>
      <c r="C733" s="10"/>
      <c r="D733" s="10"/>
      <c r="E733" s="10"/>
      <c r="F733" s="10" t="s">
        <v>224</v>
      </c>
      <c r="G733" s="4" t="s">
        <v>9</v>
      </c>
      <c r="H733" s="4"/>
      <c r="I733" s="4">
        <f t="shared" si="34"/>
        <v>96681</v>
      </c>
      <c r="J733" s="4">
        <v>96801</v>
      </c>
      <c r="K733" s="4">
        <f t="shared" si="35"/>
        <v>0</v>
      </c>
      <c r="L733" s="1">
        <v>96801</v>
      </c>
      <c r="M733" s="93">
        <f t="shared" si="33"/>
        <v>0</v>
      </c>
      <c r="N733" s="2">
        <v>120</v>
      </c>
      <c r="O733" s="97">
        <v>120</v>
      </c>
      <c r="P733" s="52"/>
    </row>
    <row r="734" spans="1:16" ht="40.950000000000003" customHeight="1" x14ac:dyDescent="0.3">
      <c r="A734" s="4">
        <v>180</v>
      </c>
      <c r="B734" s="10" t="s">
        <v>223</v>
      </c>
      <c r="C734" s="10"/>
      <c r="D734" s="10"/>
      <c r="E734" s="10"/>
      <c r="F734" s="10" t="s">
        <v>224</v>
      </c>
      <c r="G734" s="4" t="s">
        <v>7</v>
      </c>
      <c r="H734" s="4">
        <v>19</v>
      </c>
      <c r="I734" s="4">
        <f t="shared" si="34"/>
        <v>199074</v>
      </c>
      <c r="J734" s="4">
        <v>201859</v>
      </c>
      <c r="K734" s="4">
        <f t="shared" si="35"/>
        <v>0</v>
      </c>
      <c r="L734" s="1">
        <v>201859</v>
      </c>
      <c r="M734" s="93">
        <f t="shared" si="33"/>
        <v>0</v>
      </c>
      <c r="N734" s="2">
        <v>2785</v>
      </c>
      <c r="O734" s="97">
        <v>2785</v>
      </c>
      <c r="P734" s="52">
        <v>0.9</v>
      </c>
    </row>
    <row r="735" spans="1:16" ht="40.950000000000003" customHeight="1" x14ac:dyDescent="0.3">
      <c r="A735" s="4">
        <v>180</v>
      </c>
      <c r="B735" s="10" t="s">
        <v>223</v>
      </c>
      <c r="C735" s="10"/>
      <c r="D735" s="10"/>
      <c r="E735" s="10"/>
      <c r="F735" s="10" t="s">
        <v>224</v>
      </c>
      <c r="G735" s="4" t="s">
        <v>8</v>
      </c>
      <c r="H735" s="4"/>
      <c r="I735" s="4">
        <f t="shared" si="34"/>
        <v>6174</v>
      </c>
      <c r="J735" s="4">
        <v>6174</v>
      </c>
      <c r="K735" s="4">
        <f t="shared" si="35"/>
        <v>0</v>
      </c>
      <c r="L735" s="1">
        <v>6174</v>
      </c>
      <c r="M735" s="93">
        <f t="shared" si="33"/>
        <v>0</v>
      </c>
      <c r="N735" s="2"/>
      <c r="O735" s="97"/>
      <c r="P735" s="52"/>
    </row>
    <row r="736" spans="1:16" ht="40.950000000000003" customHeight="1" x14ac:dyDescent="0.3">
      <c r="A736" s="4">
        <v>180</v>
      </c>
      <c r="B736" s="10" t="s">
        <v>223</v>
      </c>
      <c r="C736" s="10"/>
      <c r="D736" s="10"/>
      <c r="E736" s="10"/>
      <c r="F736" s="10" t="s">
        <v>224</v>
      </c>
      <c r="G736" s="4" t="s">
        <v>122</v>
      </c>
      <c r="H736" s="4">
        <v>18</v>
      </c>
      <c r="I736" s="4">
        <f t="shared" si="34"/>
        <v>203627</v>
      </c>
      <c r="J736" s="4">
        <v>206003</v>
      </c>
      <c r="K736" s="4">
        <f t="shared" si="35"/>
        <v>0</v>
      </c>
      <c r="L736" s="1">
        <v>206003</v>
      </c>
      <c r="M736" s="93">
        <f t="shared" si="33"/>
        <v>0</v>
      </c>
      <c r="N736" s="2">
        <v>2376</v>
      </c>
      <c r="O736" s="97">
        <v>2376</v>
      </c>
      <c r="P736" s="52">
        <v>0.9</v>
      </c>
    </row>
    <row r="737" spans="1:16" ht="40.950000000000003" customHeight="1" x14ac:dyDescent="0.3">
      <c r="A737" s="4">
        <v>180</v>
      </c>
      <c r="B737" s="10" t="s">
        <v>223</v>
      </c>
      <c r="C737" s="10"/>
      <c r="D737" s="10"/>
      <c r="E737" s="10"/>
      <c r="F737" s="10" t="s">
        <v>224</v>
      </c>
      <c r="G737" s="4" t="s">
        <v>49</v>
      </c>
      <c r="H737" s="4">
        <v>15</v>
      </c>
      <c r="I737" s="4">
        <f t="shared" si="34"/>
        <v>197410</v>
      </c>
      <c r="J737" s="4">
        <v>200290</v>
      </c>
      <c r="K737" s="4">
        <f t="shared" si="35"/>
        <v>0</v>
      </c>
      <c r="L737" s="1">
        <v>200290</v>
      </c>
      <c r="M737" s="93">
        <f t="shared" si="33"/>
        <v>0</v>
      </c>
      <c r="N737" s="2">
        <v>2880</v>
      </c>
      <c r="O737" s="97">
        <v>2880</v>
      </c>
      <c r="P737" s="52" t="s">
        <v>1358</v>
      </c>
    </row>
    <row r="738" spans="1:16" ht="40.950000000000003" customHeight="1" x14ac:dyDescent="0.3">
      <c r="A738" s="4">
        <v>181</v>
      </c>
      <c r="B738" s="10" t="s">
        <v>234</v>
      </c>
      <c r="C738" s="10"/>
      <c r="D738" s="10"/>
      <c r="E738" s="10"/>
      <c r="F738" s="10" t="s">
        <v>224</v>
      </c>
      <c r="G738" s="4" t="s">
        <v>8</v>
      </c>
      <c r="H738" s="4">
        <v>7</v>
      </c>
      <c r="I738" s="4">
        <f t="shared" si="34"/>
        <v>149967</v>
      </c>
      <c r="J738" s="4">
        <v>153527</v>
      </c>
      <c r="K738" s="4">
        <f t="shared" si="35"/>
        <v>0</v>
      </c>
      <c r="L738" s="1">
        <v>153527</v>
      </c>
      <c r="M738" s="93">
        <f t="shared" si="33"/>
        <v>0</v>
      </c>
      <c r="N738" s="2">
        <v>3560</v>
      </c>
      <c r="O738" s="97">
        <v>3560</v>
      </c>
      <c r="P738" s="52" t="s">
        <v>1155</v>
      </c>
    </row>
    <row r="739" spans="1:16" ht="40.950000000000003" customHeight="1" x14ac:dyDescent="0.3">
      <c r="A739" s="4">
        <v>182</v>
      </c>
      <c r="B739" s="10" t="s">
        <v>239</v>
      </c>
      <c r="C739" s="10"/>
      <c r="D739" s="10"/>
      <c r="E739" s="10"/>
      <c r="F739" s="10" t="s">
        <v>224</v>
      </c>
      <c r="G739" s="4" t="s">
        <v>50</v>
      </c>
      <c r="H739" s="4">
        <v>21</v>
      </c>
      <c r="I739" s="4">
        <f t="shared" si="34"/>
        <v>204982</v>
      </c>
      <c r="J739" s="4">
        <v>207872</v>
      </c>
      <c r="K739" s="4">
        <f t="shared" si="35"/>
        <v>0</v>
      </c>
      <c r="L739" s="1">
        <v>207872</v>
      </c>
      <c r="M739" s="93">
        <f t="shared" si="33"/>
        <v>0</v>
      </c>
      <c r="N739" s="2">
        <v>2890</v>
      </c>
      <c r="O739" s="97">
        <v>2890</v>
      </c>
      <c r="P739" s="52" t="s">
        <v>1279</v>
      </c>
    </row>
    <row r="740" spans="1:16" ht="40.950000000000003" customHeight="1" x14ac:dyDescent="0.3">
      <c r="A740" s="4">
        <v>182</v>
      </c>
      <c r="B740" s="10" t="s">
        <v>239</v>
      </c>
      <c r="C740" s="10"/>
      <c r="D740" s="10"/>
      <c r="E740" s="10"/>
      <c r="F740" s="10" t="s">
        <v>224</v>
      </c>
      <c r="G740" s="4" t="s">
        <v>114</v>
      </c>
      <c r="H740" s="4">
        <v>5</v>
      </c>
      <c r="I740" s="4">
        <f t="shared" si="34"/>
        <v>20488</v>
      </c>
      <c r="J740" s="4">
        <v>22448</v>
      </c>
      <c r="K740" s="4">
        <f t="shared" si="35"/>
        <v>0</v>
      </c>
      <c r="L740" s="1">
        <v>22448</v>
      </c>
      <c r="M740" s="93">
        <f t="shared" si="33"/>
        <v>0</v>
      </c>
      <c r="N740" s="2">
        <v>1960</v>
      </c>
      <c r="O740" s="97">
        <v>1960</v>
      </c>
      <c r="P740" s="52"/>
    </row>
    <row r="741" spans="1:16" ht="40.950000000000003" customHeight="1" x14ac:dyDescent="0.3">
      <c r="A741" s="4">
        <v>183</v>
      </c>
      <c r="B741" s="10" t="s">
        <v>271</v>
      </c>
      <c r="C741" s="10"/>
      <c r="D741" s="10"/>
      <c r="E741" s="10"/>
      <c r="F741" s="10" t="s">
        <v>224</v>
      </c>
      <c r="G741" s="4" t="s">
        <v>39</v>
      </c>
      <c r="H741" s="4">
        <v>17</v>
      </c>
      <c r="I741" s="4">
        <f t="shared" si="34"/>
        <v>205801</v>
      </c>
      <c r="J741" s="4">
        <v>207888</v>
      </c>
      <c r="K741" s="4">
        <f t="shared" si="35"/>
        <v>0</v>
      </c>
      <c r="L741" s="1">
        <v>207888</v>
      </c>
      <c r="M741" s="93">
        <f t="shared" si="33"/>
        <v>0</v>
      </c>
      <c r="N741" s="2">
        <v>2087</v>
      </c>
      <c r="O741" s="97">
        <v>2087</v>
      </c>
      <c r="P741" s="52" t="s">
        <v>1525</v>
      </c>
    </row>
    <row r="742" spans="1:16" ht="40.950000000000003" customHeight="1" x14ac:dyDescent="0.3">
      <c r="A742" s="4">
        <v>184</v>
      </c>
      <c r="B742" s="10" t="s">
        <v>283</v>
      </c>
      <c r="C742" s="10"/>
      <c r="D742" s="10"/>
      <c r="E742" s="10"/>
      <c r="F742" s="10" t="s">
        <v>224</v>
      </c>
      <c r="G742" s="4" t="s">
        <v>114</v>
      </c>
      <c r="H742" s="4">
        <v>13</v>
      </c>
      <c r="I742" s="4">
        <f t="shared" si="34"/>
        <v>180464</v>
      </c>
      <c r="J742" s="4">
        <v>183204</v>
      </c>
      <c r="K742" s="4">
        <f t="shared" si="35"/>
        <v>0</v>
      </c>
      <c r="L742" s="1">
        <v>183204</v>
      </c>
      <c r="M742" s="93">
        <f t="shared" si="33"/>
        <v>0</v>
      </c>
      <c r="N742" s="2">
        <v>2740</v>
      </c>
      <c r="O742" s="97">
        <v>2740</v>
      </c>
      <c r="P742" s="52" t="s">
        <v>1524</v>
      </c>
    </row>
    <row r="743" spans="1:16" ht="40.950000000000003" customHeight="1" x14ac:dyDescent="0.3">
      <c r="A743" s="4">
        <v>185</v>
      </c>
      <c r="B743" s="10" t="s">
        <v>296</v>
      </c>
      <c r="C743" s="10"/>
      <c r="D743" s="10"/>
      <c r="E743" s="10"/>
      <c r="F743" s="10" t="s">
        <v>224</v>
      </c>
      <c r="G743" s="4" t="s">
        <v>143</v>
      </c>
      <c r="H743" s="4">
        <v>16</v>
      </c>
      <c r="I743" s="4">
        <f t="shared" si="34"/>
        <v>202814</v>
      </c>
      <c r="J743" s="4">
        <v>206384</v>
      </c>
      <c r="K743" s="4">
        <f t="shared" si="35"/>
        <v>0</v>
      </c>
      <c r="L743" s="1">
        <v>206384</v>
      </c>
      <c r="M743" s="93">
        <f t="shared" si="33"/>
        <v>0</v>
      </c>
      <c r="N743" s="2">
        <v>3570</v>
      </c>
      <c r="O743" s="97">
        <v>3570</v>
      </c>
      <c r="P743" s="52" t="s">
        <v>1526</v>
      </c>
    </row>
    <row r="744" spans="1:16" ht="40.950000000000003" customHeight="1" x14ac:dyDescent="0.3">
      <c r="A744" s="4">
        <v>186</v>
      </c>
      <c r="B744" s="10" t="s">
        <v>354</v>
      </c>
      <c r="C744" s="10"/>
      <c r="D744" s="10"/>
      <c r="E744" s="10"/>
      <c r="F744" s="10" t="s">
        <v>224</v>
      </c>
      <c r="G744" s="4" t="s">
        <v>128</v>
      </c>
      <c r="H744" s="4">
        <v>4</v>
      </c>
      <c r="I744" s="4">
        <f t="shared" si="34"/>
        <v>35055</v>
      </c>
      <c r="J744" s="4">
        <v>38115</v>
      </c>
      <c r="K744" s="4">
        <f t="shared" si="35"/>
        <v>0</v>
      </c>
      <c r="L744" s="1">
        <v>38115</v>
      </c>
      <c r="M744" s="93">
        <f t="shared" si="33"/>
        <v>0</v>
      </c>
      <c r="N744" s="2">
        <v>3060</v>
      </c>
      <c r="O744" s="97">
        <f>3060</f>
        <v>3060</v>
      </c>
      <c r="P744" s="52"/>
    </row>
    <row r="745" spans="1:16" ht="40.950000000000003" customHeight="1" x14ac:dyDescent="0.3">
      <c r="A745" s="4">
        <v>187</v>
      </c>
      <c r="B745" s="10" t="s">
        <v>355</v>
      </c>
      <c r="C745" s="10"/>
      <c r="D745" s="10"/>
      <c r="E745" s="10"/>
      <c r="F745" s="10" t="s">
        <v>224</v>
      </c>
      <c r="G745" s="4" t="s">
        <v>9</v>
      </c>
      <c r="H745" s="4">
        <v>9</v>
      </c>
      <c r="I745" s="4">
        <f t="shared" si="34"/>
        <v>77336</v>
      </c>
      <c r="J745" s="4">
        <v>79616</v>
      </c>
      <c r="K745" s="4">
        <f t="shared" si="35"/>
        <v>0</v>
      </c>
      <c r="L745" s="1">
        <v>79616</v>
      </c>
      <c r="M745" s="93">
        <f t="shared" si="33"/>
        <v>0</v>
      </c>
      <c r="N745" s="2">
        <v>2280</v>
      </c>
      <c r="O745" s="97">
        <f>120+120+120+480+480+60+900</f>
        <v>2280</v>
      </c>
      <c r="P745" s="52">
        <v>0.9</v>
      </c>
    </row>
    <row r="746" spans="1:16" ht="40.950000000000003" customHeight="1" x14ac:dyDescent="0.3">
      <c r="A746" s="4">
        <v>188</v>
      </c>
      <c r="B746" s="10" t="s">
        <v>392</v>
      </c>
      <c r="C746" s="10"/>
      <c r="D746" s="10"/>
      <c r="E746" s="10"/>
      <c r="F746" s="10" t="s">
        <v>224</v>
      </c>
      <c r="G746" s="4" t="s">
        <v>198</v>
      </c>
      <c r="H746" s="4">
        <v>7</v>
      </c>
      <c r="I746" s="4">
        <f t="shared" si="34"/>
        <v>70992</v>
      </c>
      <c r="J746" s="4">
        <v>74541</v>
      </c>
      <c r="K746" s="4">
        <f t="shared" si="35"/>
        <v>0</v>
      </c>
      <c r="L746" s="1">
        <v>74541</v>
      </c>
      <c r="M746" s="93">
        <f t="shared" si="33"/>
        <v>0</v>
      </c>
      <c r="N746" s="2">
        <v>3549</v>
      </c>
      <c r="O746" s="97">
        <v>3549</v>
      </c>
      <c r="P746" s="52">
        <v>0.9</v>
      </c>
    </row>
    <row r="747" spans="1:16" ht="40.950000000000003" customHeight="1" x14ac:dyDescent="0.3">
      <c r="A747" s="4">
        <v>188</v>
      </c>
      <c r="B747" s="10" t="s">
        <v>392</v>
      </c>
      <c r="C747" s="10"/>
      <c r="D747" s="10"/>
      <c r="E747" s="10"/>
      <c r="F747" s="10" t="s">
        <v>224</v>
      </c>
      <c r="G747" s="4" t="s">
        <v>200</v>
      </c>
      <c r="H747" s="4">
        <v>3</v>
      </c>
      <c r="I747" s="4">
        <f t="shared" si="34"/>
        <v>12073</v>
      </c>
      <c r="J747" s="4">
        <v>12873</v>
      </c>
      <c r="K747" s="4">
        <f t="shared" si="35"/>
        <v>0</v>
      </c>
      <c r="L747" s="1">
        <v>12873</v>
      </c>
      <c r="M747" s="93">
        <f t="shared" si="33"/>
        <v>0</v>
      </c>
      <c r="N747" s="2">
        <v>800</v>
      </c>
      <c r="O747" s="97">
        <v>800</v>
      </c>
      <c r="P747" s="52">
        <v>0.9</v>
      </c>
    </row>
    <row r="748" spans="1:16" ht="40.950000000000003" customHeight="1" x14ac:dyDescent="0.3">
      <c r="A748" s="4">
        <v>189</v>
      </c>
      <c r="B748" s="10" t="s">
        <v>408</v>
      </c>
      <c r="C748" s="10"/>
      <c r="D748" s="10"/>
      <c r="E748" s="10"/>
      <c r="F748" s="10" t="s">
        <v>224</v>
      </c>
      <c r="G748" s="4" t="s">
        <v>181</v>
      </c>
      <c r="H748" s="4">
        <v>21</v>
      </c>
      <c r="I748" s="4">
        <f t="shared" si="34"/>
        <v>634470</v>
      </c>
      <c r="J748" s="4">
        <v>641458</v>
      </c>
      <c r="K748" s="4">
        <f t="shared" si="35"/>
        <v>0</v>
      </c>
      <c r="L748" s="1">
        <v>641458</v>
      </c>
      <c r="M748" s="93">
        <f t="shared" ref="M748:M812" si="36">O748-N748</f>
        <v>0</v>
      </c>
      <c r="N748" s="2">
        <v>6988</v>
      </c>
      <c r="O748" s="97">
        <v>6988</v>
      </c>
      <c r="P748" s="52">
        <v>0.92</v>
      </c>
    </row>
    <row r="749" spans="1:16" ht="40.950000000000003" customHeight="1" x14ac:dyDescent="0.3">
      <c r="A749" s="4">
        <v>189</v>
      </c>
      <c r="B749" s="10" t="s">
        <v>408</v>
      </c>
      <c r="C749" s="10"/>
      <c r="D749" s="10"/>
      <c r="E749" s="10"/>
      <c r="F749" s="10" t="s">
        <v>224</v>
      </c>
      <c r="G749" s="4" t="s">
        <v>198</v>
      </c>
      <c r="H749" s="4">
        <v>11</v>
      </c>
      <c r="I749" s="4">
        <f t="shared" si="34"/>
        <v>69660</v>
      </c>
      <c r="J749" s="4">
        <v>70020</v>
      </c>
      <c r="K749" s="4">
        <f t="shared" si="35"/>
        <v>0</v>
      </c>
      <c r="L749" s="1">
        <v>70020</v>
      </c>
      <c r="M749" s="93">
        <f t="shared" si="36"/>
        <v>0</v>
      </c>
      <c r="N749" s="2">
        <v>360</v>
      </c>
      <c r="O749" s="97">
        <f>360</f>
        <v>360</v>
      </c>
      <c r="P749" s="52">
        <v>0.92</v>
      </c>
    </row>
    <row r="750" spans="1:16" ht="40.950000000000003" customHeight="1" x14ac:dyDescent="0.3">
      <c r="A750" s="4">
        <v>189</v>
      </c>
      <c r="B750" s="10" t="s">
        <v>408</v>
      </c>
      <c r="C750" s="10"/>
      <c r="D750" s="10"/>
      <c r="E750" s="10"/>
      <c r="F750" s="10" t="s">
        <v>224</v>
      </c>
      <c r="G750" s="4" t="s">
        <v>435</v>
      </c>
      <c r="H750" s="4">
        <v>8</v>
      </c>
      <c r="I750" s="4">
        <f t="shared" si="34"/>
        <v>72000.75</v>
      </c>
      <c r="J750" s="4">
        <v>72988</v>
      </c>
      <c r="K750" s="4">
        <f t="shared" si="35"/>
        <v>0</v>
      </c>
      <c r="L750" s="1">
        <v>72988</v>
      </c>
      <c r="M750" s="93">
        <f t="shared" si="36"/>
        <v>0</v>
      </c>
      <c r="N750" s="2">
        <v>987.25</v>
      </c>
      <c r="O750" s="97">
        <f>240+747.25</f>
        <v>987.25</v>
      </c>
      <c r="P750" s="52">
        <v>0.92</v>
      </c>
    </row>
    <row r="751" spans="1:16" ht="40.950000000000003" customHeight="1" x14ac:dyDescent="0.3">
      <c r="A751" s="4">
        <v>189</v>
      </c>
      <c r="B751" s="10" t="s">
        <v>408</v>
      </c>
      <c r="C751" s="10"/>
      <c r="D751" s="10"/>
      <c r="E751" s="10"/>
      <c r="F751" s="10" t="s">
        <v>224</v>
      </c>
      <c r="G751" s="4" t="s">
        <v>362</v>
      </c>
      <c r="H751" s="4">
        <v>6</v>
      </c>
      <c r="I751" s="4">
        <f t="shared" si="34"/>
        <v>4059</v>
      </c>
      <c r="J751" s="4">
        <v>4059</v>
      </c>
      <c r="K751" s="4">
        <f t="shared" si="35"/>
        <v>0</v>
      </c>
      <c r="L751" s="1">
        <v>4059</v>
      </c>
      <c r="M751" s="93">
        <f t="shared" si="36"/>
        <v>0</v>
      </c>
      <c r="N751" s="2"/>
      <c r="O751" s="97"/>
      <c r="P751" s="52">
        <v>0.92</v>
      </c>
    </row>
    <row r="752" spans="1:16" ht="40.950000000000003" customHeight="1" x14ac:dyDescent="0.3">
      <c r="A752" s="4">
        <v>189</v>
      </c>
      <c r="B752" s="10" t="s">
        <v>408</v>
      </c>
      <c r="C752" s="10"/>
      <c r="D752" s="10"/>
      <c r="E752" s="10"/>
      <c r="F752" s="10" t="s">
        <v>224</v>
      </c>
      <c r="G752" s="4" t="s">
        <v>446</v>
      </c>
      <c r="H752" s="4">
        <v>12</v>
      </c>
      <c r="I752" s="4">
        <f t="shared" si="34"/>
        <v>291516</v>
      </c>
      <c r="J752" s="4">
        <v>292176</v>
      </c>
      <c r="K752" s="4">
        <f t="shared" si="35"/>
        <v>0</v>
      </c>
      <c r="L752" s="1">
        <v>292176</v>
      </c>
      <c r="M752" s="93">
        <f t="shared" si="36"/>
        <v>0</v>
      </c>
      <c r="N752" s="2">
        <v>660</v>
      </c>
      <c r="O752" s="97">
        <f>360+300</f>
        <v>660</v>
      </c>
      <c r="P752" s="52"/>
    </row>
    <row r="753" spans="1:16" ht="40.950000000000003" customHeight="1" x14ac:dyDescent="0.3">
      <c r="A753" s="4">
        <v>189</v>
      </c>
      <c r="B753" s="10" t="s">
        <v>408</v>
      </c>
      <c r="C753" s="10"/>
      <c r="D753" s="10"/>
      <c r="E753" s="10"/>
      <c r="F753" s="10" t="s">
        <v>224</v>
      </c>
      <c r="G753" s="4" t="s">
        <v>391</v>
      </c>
      <c r="H753" s="4">
        <v>8</v>
      </c>
      <c r="I753" s="4">
        <f t="shared" ref="I753:I817" si="37">J753-O753</f>
        <v>12071</v>
      </c>
      <c r="J753" s="4">
        <v>12431</v>
      </c>
      <c r="K753" s="4">
        <f t="shared" si="35"/>
        <v>0</v>
      </c>
      <c r="L753" s="1">
        <v>12431</v>
      </c>
      <c r="M753" s="93">
        <f t="shared" si="36"/>
        <v>0</v>
      </c>
      <c r="N753" s="2">
        <v>360</v>
      </c>
      <c r="O753" s="97">
        <v>360</v>
      </c>
      <c r="P753" s="52" t="s">
        <v>1302</v>
      </c>
    </row>
    <row r="754" spans="1:16" ht="40.950000000000003" customHeight="1" x14ac:dyDescent="0.3">
      <c r="A754" s="4">
        <v>189</v>
      </c>
      <c r="B754" s="10" t="s">
        <v>408</v>
      </c>
      <c r="C754" s="10"/>
      <c r="D754" s="10"/>
      <c r="E754" s="10"/>
      <c r="F754" s="10" t="s">
        <v>224</v>
      </c>
      <c r="G754" s="4" t="s">
        <v>200</v>
      </c>
      <c r="H754" s="4">
        <v>13</v>
      </c>
      <c r="I754" s="4">
        <f t="shared" si="37"/>
        <v>205913</v>
      </c>
      <c r="J754" s="4">
        <v>207953</v>
      </c>
      <c r="K754" s="4">
        <f t="shared" si="35"/>
        <v>0</v>
      </c>
      <c r="L754" s="1">
        <v>207953</v>
      </c>
      <c r="M754" s="93">
        <f t="shared" si="36"/>
        <v>0</v>
      </c>
      <c r="N754" s="2">
        <v>2040</v>
      </c>
      <c r="O754" s="97">
        <v>2040</v>
      </c>
      <c r="P754" s="52">
        <v>0.92</v>
      </c>
    </row>
    <row r="755" spans="1:16" ht="40.950000000000003" customHeight="1" x14ac:dyDescent="0.3">
      <c r="A755" s="4">
        <v>189</v>
      </c>
      <c r="B755" s="10" t="s">
        <v>408</v>
      </c>
      <c r="C755" s="10"/>
      <c r="D755" s="10"/>
      <c r="E755" s="10"/>
      <c r="F755" s="10" t="s">
        <v>224</v>
      </c>
      <c r="G755" s="4" t="s">
        <v>199</v>
      </c>
      <c r="H755" s="4"/>
      <c r="I755" s="4">
        <f t="shared" si="37"/>
        <v>27648</v>
      </c>
      <c r="J755" s="4">
        <v>27648</v>
      </c>
      <c r="K755" s="4">
        <f t="shared" si="35"/>
        <v>0</v>
      </c>
      <c r="L755" s="1">
        <v>27648</v>
      </c>
      <c r="M755" s="93">
        <f t="shared" si="36"/>
        <v>0</v>
      </c>
      <c r="N755" s="2"/>
      <c r="O755" s="97"/>
      <c r="P755" s="52"/>
    </row>
    <row r="756" spans="1:16" ht="40.950000000000003" customHeight="1" x14ac:dyDescent="0.3">
      <c r="A756" s="4">
        <v>189</v>
      </c>
      <c r="B756" s="10" t="s">
        <v>408</v>
      </c>
      <c r="C756" s="10"/>
      <c r="D756" s="10"/>
      <c r="E756" s="10"/>
      <c r="F756" s="10" t="s">
        <v>220</v>
      </c>
      <c r="G756" s="4" t="s">
        <v>199</v>
      </c>
      <c r="H756" s="4">
        <v>4</v>
      </c>
      <c r="I756" s="4">
        <f t="shared" si="37"/>
        <v>12601</v>
      </c>
      <c r="J756" s="4">
        <v>13001</v>
      </c>
      <c r="K756" s="4">
        <f t="shared" si="35"/>
        <v>0</v>
      </c>
      <c r="L756" s="1">
        <v>13001</v>
      </c>
      <c r="M756" s="93">
        <f t="shared" si="36"/>
        <v>0</v>
      </c>
      <c r="N756" s="2">
        <v>400</v>
      </c>
      <c r="O756" s="97">
        <v>400</v>
      </c>
      <c r="P756" s="52"/>
    </row>
    <row r="757" spans="1:16" ht="40.950000000000003" customHeight="1" x14ac:dyDescent="0.3">
      <c r="A757" s="4">
        <v>190</v>
      </c>
      <c r="B757" s="10" t="s">
        <v>426</v>
      </c>
      <c r="C757" s="10"/>
      <c r="D757" s="10"/>
      <c r="E757" s="10"/>
      <c r="F757" s="10" t="s">
        <v>224</v>
      </c>
      <c r="G757" s="4" t="s">
        <v>198</v>
      </c>
      <c r="H757" s="4"/>
      <c r="I757" s="4">
        <f t="shared" si="37"/>
        <v>2467</v>
      </c>
      <c r="J757" s="4">
        <v>2467</v>
      </c>
      <c r="K757" s="4">
        <f t="shared" si="35"/>
        <v>0</v>
      </c>
      <c r="L757" s="1">
        <v>2467</v>
      </c>
      <c r="M757" s="93">
        <f t="shared" si="36"/>
        <v>0</v>
      </c>
      <c r="N757" s="2"/>
      <c r="O757" s="97"/>
      <c r="P757" s="52"/>
    </row>
    <row r="758" spans="1:16" ht="40.950000000000003" customHeight="1" x14ac:dyDescent="0.3">
      <c r="A758" s="4">
        <v>191</v>
      </c>
      <c r="B758" s="10" t="s">
        <v>384</v>
      </c>
      <c r="C758" s="10"/>
      <c r="D758" s="10"/>
      <c r="E758" s="10"/>
      <c r="F758" s="10" t="s">
        <v>385</v>
      </c>
      <c r="G758" s="4" t="s">
        <v>22</v>
      </c>
      <c r="H758" s="4">
        <v>6</v>
      </c>
      <c r="I758" s="4">
        <f t="shared" si="37"/>
        <v>5784</v>
      </c>
      <c r="J758" s="4">
        <v>7684</v>
      </c>
      <c r="K758" s="4">
        <f t="shared" si="35"/>
        <v>0</v>
      </c>
      <c r="L758" s="1">
        <v>7684</v>
      </c>
      <c r="M758" s="93">
        <f t="shared" si="36"/>
        <v>0</v>
      </c>
      <c r="N758" s="2">
        <v>1900</v>
      </c>
      <c r="O758" s="97">
        <v>1900</v>
      </c>
      <c r="P758" s="52">
        <v>0.70399999999999996</v>
      </c>
    </row>
    <row r="759" spans="1:16" ht="40.950000000000003" customHeight="1" x14ac:dyDescent="0.3">
      <c r="A759" s="4">
        <v>192</v>
      </c>
      <c r="B759" s="10" t="s">
        <v>386</v>
      </c>
      <c r="C759" s="10"/>
      <c r="D759" s="10"/>
      <c r="E759" s="10"/>
      <c r="F759" s="10" t="s">
        <v>385</v>
      </c>
      <c r="G759" s="4" t="s">
        <v>9</v>
      </c>
      <c r="H759" s="4">
        <v>7</v>
      </c>
      <c r="I759" s="4">
        <f t="shared" si="37"/>
        <v>22068</v>
      </c>
      <c r="J759" s="4">
        <v>24948</v>
      </c>
      <c r="K759" s="4">
        <f t="shared" si="35"/>
        <v>0</v>
      </c>
      <c r="L759" s="1">
        <v>24948</v>
      </c>
      <c r="M759" s="93">
        <f t="shared" si="36"/>
        <v>0</v>
      </c>
      <c r="N759" s="2">
        <v>2880</v>
      </c>
      <c r="O759" s="97">
        <v>2880</v>
      </c>
      <c r="P759" s="52" t="s">
        <v>1151</v>
      </c>
    </row>
    <row r="760" spans="1:16" ht="40.950000000000003" customHeight="1" x14ac:dyDescent="0.3">
      <c r="A760" s="4">
        <v>192</v>
      </c>
      <c r="B760" s="10" t="s">
        <v>386</v>
      </c>
      <c r="C760" s="10"/>
      <c r="D760" s="10"/>
      <c r="E760" s="10"/>
      <c r="F760" s="10" t="s">
        <v>385</v>
      </c>
      <c r="G760" s="4" t="s">
        <v>8</v>
      </c>
      <c r="H760" s="4">
        <v>7</v>
      </c>
      <c r="I760" s="4">
        <f t="shared" si="37"/>
        <v>22068</v>
      </c>
      <c r="J760" s="4">
        <v>24948</v>
      </c>
      <c r="K760" s="4">
        <f t="shared" si="35"/>
        <v>0</v>
      </c>
      <c r="L760" s="1">
        <v>24948</v>
      </c>
      <c r="M760" s="93">
        <f t="shared" si="36"/>
        <v>0</v>
      </c>
      <c r="N760" s="2">
        <v>2880</v>
      </c>
      <c r="O760" s="97">
        <v>2880</v>
      </c>
      <c r="P760" s="52" t="s">
        <v>1150</v>
      </c>
    </row>
    <row r="761" spans="1:16" ht="40.950000000000003" customHeight="1" x14ac:dyDescent="0.3">
      <c r="A761" s="4">
        <v>192</v>
      </c>
      <c r="B761" s="10" t="s">
        <v>386</v>
      </c>
      <c r="C761" s="10"/>
      <c r="D761" s="10"/>
      <c r="E761" s="10"/>
      <c r="F761" s="10" t="s">
        <v>385</v>
      </c>
      <c r="G761" s="4" t="s">
        <v>11</v>
      </c>
      <c r="H761" s="4">
        <v>4</v>
      </c>
      <c r="I761" s="4">
        <f t="shared" si="37"/>
        <v>16717</v>
      </c>
      <c r="J761" s="4">
        <v>20017</v>
      </c>
      <c r="K761" s="4">
        <f t="shared" si="35"/>
        <v>0</v>
      </c>
      <c r="L761" s="1">
        <v>20017</v>
      </c>
      <c r="M761" s="93">
        <f t="shared" si="36"/>
        <v>0</v>
      </c>
      <c r="N761" s="2">
        <v>3300</v>
      </c>
      <c r="O761" s="97">
        <v>3300</v>
      </c>
      <c r="P761" s="52" t="s">
        <v>1152</v>
      </c>
    </row>
    <row r="762" spans="1:16" ht="40.950000000000003" customHeight="1" x14ac:dyDescent="0.3">
      <c r="A762" s="4">
        <v>192</v>
      </c>
      <c r="B762" s="10" t="s">
        <v>386</v>
      </c>
      <c r="C762" s="10"/>
      <c r="D762" s="10"/>
      <c r="E762" s="10"/>
      <c r="F762" s="10" t="s">
        <v>385</v>
      </c>
      <c r="G762" s="4" t="s">
        <v>49</v>
      </c>
      <c r="H762" s="4">
        <v>6</v>
      </c>
      <c r="I762" s="4">
        <f t="shared" si="37"/>
        <v>22668</v>
      </c>
      <c r="J762" s="4">
        <v>24948</v>
      </c>
      <c r="K762" s="4">
        <f t="shared" si="35"/>
        <v>0</v>
      </c>
      <c r="L762" s="1">
        <v>24948</v>
      </c>
      <c r="M762" s="93">
        <f t="shared" si="36"/>
        <v>0</v>
      </c>
      <c r="N762" s="2">
        <v>2280</v>
      </c>
      <c r="O762" s="97">
        <v>2280</v>
      </c>
      <c r="P762" s="52">
        <v>0.92</v>
      </c>
    </row>
    <row r="763" spans="1:16" ht="40.950000000000003" customHeight="1" x14ac:dyDescent="0.3">
      <c r="A763" s="4">
        <v>192</v>
      </c>
      <c r="B763" s="10" t="s">
        <v>386</v>
      </c>
      <c r="C763" s="10"/>
      <c r="D763" s="10"/>
      <c r="E763" s="10"/>
      <c r="F763" s="10" t="s">
        <v>385</v>
      </c>
      <c r="G763" s="4" t="s">
        <v>200</v>
      </c>
      <c r="H763" s="4">
        <v>2</v>
      </c>
      <c r="I763" s="4">
        <f t="shared" si="37"/>
        <v>19892</v>
      </c>
      <c r="J763" s="4">
        <v>20012</v>
      </c>
      <c r="K763" s="4">
        <f t="shared" si="35"/>
        <v>0</v>
      </c>
      <c r="L763" s="1">
        <v>20012</v>
      </c>
      <c r="M763" s="93">
        <f t="shared" si="36"/>
        <v>0</v>
      </c>
      <c r="N763" s="2">
        <v>120</v>
      </c>
      <c r="O763" s="97">
        <f>120</f>
        <v>120</v>
      </c>
      <c r="P763" s="52"/>
    </row>
    <row r="764" spans="1:16" ht="40.950000000000003" customHeight="1" x14ac:dyDescent="0.3">
      <c r="A764" s="4">
        <v>192</v>
      </c>
      <c r="B764" s="10" t="s">
        <v>386</v>
      </c>
      <c r="C764" s="10"/>
      <c r="D764" s="10"/>
      <c r="E764" s="10"/>
      <c r="F764" s="10" t="s">
        <v>385</v>
      </c>
      <c r="G764" s="4" t="s">
        <v>181</v>
      </c>
      <c r="H764" s="4">
        <v>2</v>
      </c>
      <c r="I764" s="4">
        <f t="shared" si="37"/>
        <v>10714</v>
      </c>
      <c r="J764" s="4">
        <v>10984</v>
      </c>
      <c r="K764" s="4">
        <f t="shared" si="35"/>
        <v>0</v>
      </c>
      <c r="L764" s="1">
        <v>10984</v>
      </c>
      <c r="M764" s="93">
        <f t="shared" si="36"/>
        <v>0</v>
      </c>
      <c r="N764" s="2">
        <v>270</v>
      </c>
      <c r="O764" s="97">
        <f>270</f>
        <v>270</v>
      </c>
      <c r="P764" s="52"/>
    </row>
    <row r="765" spans="1:16" ht="40.950000000000003" customHeight="1" x14ac:dyDescent="0.3">
      <c r="A765" s="4">
        <v>192</v>
      </c>
      <c r="B765" s="10" t="s">
        <v>386</v>
      </c>
      <c r="C765" s="10"/>
      <c r="D765" s="10"/>
      <c r="E765" s="10"/>
      <c r="F765" s="10" t="s">
        <v>385</v>
      </c>
      <c r="G765" s="4" t="s">
        <v>7</v>
      </c>
      <c r="H765" s="4">
        <v>5</v>
      </c>
      <c r="I765" s="4">
        <f t="shared" si="37"/>
        <v>21148</v>
      </c>
      <c r="J765" s="4">
        <v>24948</v>
      </c>
      <c r="K765" s="4">
        <f t="shared" si="35"/>
        <v>0</v>
      </c>
      <c r="L765" s="1">
        <v>24948</v>
      </c>
      <c r="M765" s="93">
        <f t="shared" si="36"/>
        <v>0</v>
      </c>
      <c r="N765" s="2">
        <v>3800</v>
      </c>
      <c r="O765" s="97">
        <v>3800</v>
      </c>
      <c r="P765" s="52">
        <v>0.8</v>
      </c>
    </row>
    <row r="766" spans="1:16" ht="40.950000000000003" customHeight="1" x14ac:dyDescent="0.3">
      <c r="A766" s="4">
        <v>193</v>
      </c>
      <c r="B766" s="10" t="s">
        <v>431</v>
      </c>
      <c r="C766" s="10"/>
      <c r="D766" s="10"/>
      <c r="E766" s="10"/>
      <c r="F766" s="10" t="s">
        <v>385</v>
      </c>
      <c r="G766" s="4" t="s">
        <v>22</v>
      </c>
      <c r="H766" s="4">
        <v>6</v>
      </c>
      <c r="I766" s="4">
        <f t="shared" si="37"/>
        <v>10881</v>
      </c>
      <c r="J766" s="4">
        <v>14685</v>
      </c>
      <c r="K766" s="4">
        <f t="shared" si="35"/>
        <v>0</v>
      </c>
      <c r="L766" s="1">
        <v>14685</v>
      </c>
      <c r="M766" s="93">
        <f t="shared" si="36"/>
        <v>0</v>
      </c>
      <c r="N766" s="2">
        <v>3804</v>
      </c>
      <c r="O766" s="97">
        <v>3804</v>
      </c>
      <c r="P766" s="52">
        <v>0.90610000000000002</v>
      </c>
    </row>
    <row r="767" spans="1:16" ht="40.950000000000003" customHeight="1" x14ac:dyDescent="0.3">
      <c r="A767" s="4">
        <v>194</v>
      </c>
      <c r="B767" s="10" t="s">
        <v>445</v>
      </c>
      <c r="C767" s="10"/>
      <c r="D767" s="10"/>
      <c r="E767" s="10"/>
      <c r="F767" s="10" t="s">
        <v>385</v>
      </c>
      <c r="G767" s="4" t="s">
        <v>85</v>
      </c>
      <c r="H767" s="4">
        <v>8</v>
      </c>
      <c r="I767" s="4">
        <f t="shared" si="37"/>
        <v>23511</v>
      </c>
      <c r="J767" s="4">
        <v>25761</v>
      </c>
      <c r="K767" s="4">
        <f t="shared" si="35"/>
        <v>0</v>
      </c>
      <c r="L767" s="1">
        <v>25761</v>
      </c>
      <c r="M767" s="93">
        <f t="shared" si="36"/>
        <v>0</v>
      </c>
      <c r="N767" s="2">
        <v>2250</v>
      </c>
      <c r="O767" s="97">
        <v>2250</v>
      </c>
      <c r="P767" s="52"/>
    </row>
    <row r="768" spans="1:16" ht="40.950000000000003" customHeight="1" x14ac:dyDescent="0.3">
      <c r="A768" s="4">
        <v>194</v>
      </c>
      <c r="B768" s="10" t="s">
        <v>445</v>
      </c>
      <c r="C768" s="10"/>
      <c r="D768" s="10"/>
      <c r="E768" s="10"/>
      <c r="F768" s="10" t="s">
        <v>385</v>
      </c>
      <c r="G768" s="4" t="s">
        <v>122</v>
      </c>
      <c r="H768" s="4">
        <v>6</v>
      </c>
      <c r="I768" s="4">
        <f t="shared" si="37"/>
        <v>23446</v>
      </c>
      <c r="J768" s="4">
        <v>26236</v>
      </c>
      <c r="K768" s="4">
        <f t="shared" si="35"/>
        <v>0</v>
      </c>
      <c r="L768" s="1">
        <v>26236</v>
      </c>
      <c r="M768" s="93">
        <f t="shared" si="36"/>
        <v>0</v>
      </c>
      <c r="N768" s="2">
        <v>2790</v>
      </c>
      <c r="O768" s="97">
        <v>2790</v>
      </c>
      <c r="P768" s="52" t="s">
        <v>1457</v>
      </c>
    </row>
    <row r="769" spans="1:16" ht="40.950000000000003" customHeight="1" x14ac:dyDescent="0.3">
      <c r="A769" s="4">
        <v>195</v>
      </c>
      <c r="B769" s="10" t="s">
        <v>353</v>
      </c>
      <c r="C769" s="10"/>
      <c r="D769" s="10"/>
      <c r="E769" s="10"/>
      <c r="F769" s="10" t="s">
        <v>217</v>
      </c>
      <c r="G769" s="4" t="s">
        <v>181</v>
      </c>
      <c r="H769" s="4"/>
      <c r="I769" s="4">
        <f t="shared" si="37"/>
        <v>1080</v>
      </c>
      <c r="J769" s="4">
        <v>1080</v>
      </c>
      <c r="K769" s="4">
        <f t="shared" si="35"/>
        <v>0</v>
      </c>
      <c r="L769" s="1">
        <v>1080</v>
      </c>
      <c r="M769" s="93">
        <f t="shared" si="36"/>
        <v>0</v>
      </c>
      <c r="N769" s="2"/>
      <c r="O769" s="97"/>
      <c r="P769" s="52"/>
    </row>
    <row r="770" spans="1:16" ht="40.950000000000003" customHeight="1" x14ac:dyDescent="0.3">
      <c r="A770" s="4">
        <v>196</v>
      </c>
      <c r="B770" s="10" t="s">
        <v>393</v>
      </c>
      <c r="C770" s="10"/>
      <c r="D770" s="10"/>
      <c r="E770" s="10"/>
      <c r="F770" s="10" t="s">
        <v>394</v>
      </c>
      <c r="G770" s="4" t="s">
        <v>9</v>
      </c>
      <c r="H770" s="4"/>
      <c r="I770" s="4">
        <f t="shared" si="37"/>
        <v>13680</v>
      </c>
      <c r="J770" s="4">
        <v>13680</v>
      </c>
      <c r="K770" s="4">
        <f t="shared" si="35"/>
        <v>0</v>
      </c>
      <c r="L770" s="1">
        <v>13680</v>
      </c>
      <c r="M770" s="93">
        <f t="shared" si="36"/>
        <v>0</v>
      </c>
      <c r="N770" s="2"/>
      <c r="O770" s="97"/>
      <c r="P770" s="52"/>
    </row>
    <row r="771" spans="1:16" ht="40.950000000000003" customHeight="1" x14ac:dyDescent="0.3">
      <c r="A771" s="4">
        <v>196</v>
      </c>
      <c r="B771" s="10" t="s">
        <v>393</v>
      </c>
      <c r="C771" s="10"/>
      <c r="D771" s="10"/>
      <c r="E771" s="10"/>
      <c r="F771" s="10" t="s">
        <v>394</v>
      </c>
      <c r="G771" s="4" t="s">
        <v>7</v>
      </c>
      <c r="H771" s="4"/>
      <c r="I771" s="4">
        <f t="shared" si="37"/>
        <v>6840</v>
      </c>
      <c r="J771" s="4">
        <v>6840</v>
      </c>
      <c r="K771" s="4">
        <f t="shared" si="35"/>
        <v>0</v>
      </c>
      <c r="L771" s="1">
        <v>6840</v>
      </c>
      <c r="M771" s="93">
        <f t="shared" si="36"/>
        <v>0</v>
      </c>
      <c r="N771" s="2"/>
      <c r="O771" s="97"/>
      <c r="P771" s="52"/>
    </row>
    <row r="772" spans="1:16" ht="40.950000000000003" customHeight="1" x14ac:dyDescent="0.3">
      <c r="A772" s="4">
        <v>196</v>
      </c>
      <c r="B772" s="10" t="s">
        <v>393</v>
      </c>
      <c r="C772" s="10"/>
      <c r="D772" s="10"/>
      <c r="E772" s="10"/>
      <c r="F772" s="10" t="s">
        <v>394</v>
      </c>
      <c r="G772" s="4" t="s">
        <v>8</v>
      </c>
      <c r="H772" s="4"/>
      <c r="I772" s="4">
        <f t="shared" si="37"/>
        <v>13680</v>
      </c>
      <c r="J772" s="4">
        <v>13680</v>
      </c>
      <c r="K772" s="4">
        <f t="shared" ref="K772:K836" si="38">L772-J772</f>
        <v>0</v>
      </c>
      <c r="L772" s="1">
        <v>13680</v>
      </c>
      <c r="M772" s="93">
        <f t="shared" si="36"/>
        <v>0</v>
      </c>
      <c r="N772" s="2"/>
      <c r="O772" s="97"/>
      <c r="P772" s="52"/>
    </row>
    <row r="773" spans="1:16" ht="40.950000000000003" customHeight="1" x14ac:dyDescent="0.3">
      <c r="A773" s="4">
        <v>196</v>
      </c>
      <c r="B773" s="10" t="s">
        <v>393</v>
      </c>
      <c r="C773" s="10"/>
      <c r="D773" s="10"/>
      <c r="E773" s="10"/>
      <c r="F773" s="10" t="s">
        <v>394</v>
      </c>
      <c r="G773" s="4" t="s">
        <v>90</v>
      </c>
      <c r="H773" s="4"/>
      <c r="I773" s="4">
        <f t="shared" si="37"/>
        <v>13680</v>
      </c>
      <c r="J773" s="4">
        <v>13680</v>
      </c>
      <c r="K773" s="4">
        <f t="shared" si="38"/>
        <v>0</v>
      </c>
      <c r="L773" s="1">
        <v>13680</v>
      </c>
      <c r="M773" s="93">
        <f t="shared" si="36"/>
        <v>0</v>
      </c>
      <c r="N773" s="2"/>
      <c r="O773" s="97"/>
      <c r="P773" s="52"/>
    </row>
    <row r="774" spans="1:16" ht="40.950000000000003" customHeight="1" x14ac:dyDescent="0.3">
      <c r="A774" s="4">
        <v>196</v>
      </c>
      <c r="B774" s="10" t="s">
        <v>393</v>
      </c>
      <c r="C774" s="10"/>
      <c r="D774" s="10"/>
      <c r="E774" s="10"/>
      <c r="F774" s="10" t="s">
        <v>394</v>
      </c>
      <c r="G774" s="4" t="s">
        <v>48</v>
      </c>
      <c r="H774" s="4"/>
      <c r="I774" s="4">
        <f t="shared" si="37"/>
        <v>13680</v>
      </c>
      <c r="J774" s="4">
        <v>13680</v>
      </c>
      <c r="K774" s="4">
        <f t="shared" si="38"/>
        <v>0</v>
      </c>
      <c r="L774" s="1">
        <v>13680</v>
      </c>
      <c r="M774" s="93">
        <f t="shared" si="36"/>
        <v>0</v>
      </c>
      <c r="N774" s="2"/>
      <c r="O774" s="97"/>
      <c r="P774" s="52"/>
    </row>
    <row r="775" spans="1:16" ht="40.950000000000003" customHeight="1" x14ac:dyDescent="0.3">
      <c r="A775" s="4">
        <v>196</v>
      </c>
      <c r="B775" s="10" t="s">
        <v>393</v>
      </c>
      <c r="C775" s="10"/>
      <c r="D775" s="10"/>
      <c r="E775" s="10"/>
      <c r="F775" s="10" t="s">
        <v>394</v>
      </c>
      <c r="G775" s="4" t="s">
        <v>49</v>
      </c>
      <c r="H775" s="4"/>
      <c r="I775" s="4">
        <f t="shared" si="37"/>
        <v>13680</v>
      </c>
      <c r="J775" s="4">
        <v>13680</v>
      </c>
      <c r="K775" s="4">
        <f t="shared" si="38"/>
        <v>0</v>
      </c>
      <c r="L775" s="1">
        <v>13680</v>
      </c>
      <c r="M775" s="93">
        <f t="shared" si="36"/>
        <v>0</v>
      </c>
      <c r="N775" s="2"/>
      <c r="O775" s="97"/>
      <c r="P775" s="52"/>
    </row>
    <row r="776" spans="1:16" ht="40.950000000000003" customHeight="1" x14ac:dyDescent="0.3">
      <c r="A776" s="4">
        <v>196</v>
      </c>
      <c r="B776" s="10" t="s">
        <v>393</v>
      </c>
      <c r="C776" s="10"/>
      <c r="D776" s="10"/>
      <c r="E776" s="10"/>
      <c r="F776" s="10" t="s">
        <v>394</v>
      </c>
      <c r="G776" s="4" t="s">
        <v>50</v>
      </c>
      <c r="H776" s="4"/>
      <c r="I776" s="4">
        <f t="shared" si="37"/>
        <v>13680</v>
      </c>
      <c r="J776" s="4">
        <v>13680</v>
      </c>
      <c r="K776" s="4">
        <f t="shared" si="38"/>
        <v>0</v>
      </c>
      <c r="L776" s="1">
        <v>13680</v>
      </c>
      <c r="M776" s="93">
        <f t="shared" si="36"/>
        <v>0</v>
      </c>
      <c r="N776" s="2"/>
      <c r="O776" s="97"/>
      <c r="P776" s="52"/>
    </row>
    <row r="777" spans="1:16" ht="40.950000000000003" customHeight="1" x14ac:dyDescent="0.3">
      <c r="A777" s="4">
        <v>196</v>
      </c>
      <c r="B777" s="10" t="s">
        <v>393</v>
      </c>
      <c r="C777" s="10"/>
      <c r="D777" s="10"/>
      <c r="E777" s="10"/>
      <c r="F777" s="10" t="s">
        <v>394</v>
      </c>
      <c r="G777" s="4" t="s">
        <v>51</v>
      </c>
      <c r="H777" s="4"/>
      <c r="I777" s="4">
        <f t="shared" si="37"/>
        <v>13680</v>
      </c>
      <c r="J777" s="4">
        <v>13680</v>
      </c>
      <c r="K777" s="4">
        <f t="shared" si="38"/>
        <v>0</v>
      </c>
      <c r="L777" s="1">
        <v>13680</v>
      </c>
      <c r="M777" s="93">
        <f t="shared" si="36"/>
        <v>0</v>
      </c>
      <c r="N777" s="2"/>
      <c r="O777" s="97"/>
      <c r="P777" s="52"/>
    </row>
    <row r="778" spans="1:16" ht="40.950000000000003" customHeight="1" x14ac:dyDescent="0.3">
      <c r="A778" s="4">
        <v>196</v>
      </c>
      <c r="B778" s="10" t="s">
        <v>393</v>
      </c>
      <c r="C778" s="10"/>
      <c r="D778" s="10"/>
      <c r="E778" s="10"/>
      <c r="F778" s="10" t="s">
        <v>394</v>
      </c>
      <c r="G778" s="4" t="s">
        <v>39</v>
      </c>
      <c r="H778" s="4"/>
      <c r="I778" s="4">
        <f t="shared" si="37"/>
        <v>13680</v>
      </c>
      <c r="J778" s="4">
        <v>13680</v>
      </c>
      <c r="K778" s="4">
        <f t="shared" si="38"/>
        <v>0</v>
      </c>
      <c r="L778" s="1">
        <v>13680</v>
      </c>
      <c r="M778" s="93">
        <f t="shared" si="36"/>
        <v>0</v>
      </c>
      <c r="N778" s="2"/>
      <c r="O778" s="97"/>
      <c r="P778" s="52"/>
    </row>
    <row r="779" spans="1:16" ht="40.950000000000003" customHeight="1" x14ac:dyDescent="0.3">
      <c r="A779" s="4">
        <v>196</v>
      </c>
      <c r="B779" s="10" t="s">
        <v>393</v>
      </c>
      <c r="C779" s="10"/>
      <c r="D779" s="10"/>
      <c r="E779" s="10"/>
      <c r="F779" s="10" t="s">
        <v>394</v>
      </c>
      <c r="G779" s="4" t="s">
        <v>114</v>
      </c>
      <c r="H779" s="4"/>
      <c r="I779" s="4">
        <f t="shared" si="37"/>
        <v>13680</v>
      </c>
      <c r="J779" s="4">
        <v>13680</v>
      </c>
      <c r="K779" s="4">
        <f t="shared" si="38"/>
        <v>0</v>
      </c>
      <c r="L779" s="1">
        <v>13680</v>
      </c>
      <c r="M779" s="93">
        <f t="shared" si="36"/>
        <v>0</v>
      </c>
      <c r="N779" s="2"/>
      <c r="O779" s="97"/>
      <c r="P779" s="52"/>
    </row>
    <row r="780" spans="1:16" ht="40.950000000000003" customHeight="1" x14ac:dyDescent="0.3">
      <c r="A780" s="4">
        <v>196</v>
      </c>
      <c r="B780" s="10" t="s">
        <v>393</v>
      </c>
      <c r="C780" s="10"/>
      <c r="D780" s="10"/>
      <c r="E780" s="10"/>
      <c r="F780" s="10" t="s">
        <v>394</v>
      </c>
      <c r="G780" s="4" t="s">
        <v>85</v>
      </c>
      <c r="H780" s="4"/>
      <c r="I780" s="4">
        <f t="shared" si="37"/>
        <v>13680</v>
      </c>
      <c r="J780" s="4">
        <v>13680</v>
      </c>
      <c r="K780" s="4">
        <f t="shared" si="38"/>
        <v>0</v>
      </c>
      <c r="L780" s="1">
        <v>13680</v>
      </c>
      <c r="M780" s="93">
        <f t="shared" si="36"/>
        <v>0</v>
      </c>
      <c r="N780" s="2"/>
      <c r="O780" s="97"/>
      <c r="P780" s="52"/>
    </row>
    <row r="781" spans="1:16" ht="40.950000000000003" customHeight="1" x14ac:dyDescent="0.3">
      <c r="A781" s="4">
        <v>196</v>
      </c>
      <c r="B781" s="10" t="s">
        <v>393</v>
      </c>
      <c r="C781" s="10"/>
      <c r="D781" s="10"/>
      <c r="E781" s="10"/>
      <c r="F781" s="10" t="s">
        <v>394</v>
      </c>
      <c r="G781" s="4" t="s">
        <v>128</v>
      </c>
      <c r="H781" s="4"/>
      <c r="I781" s="4">
        <f t="shared" si="37"/>
        <v>13680</v>
      </c>
      <c r="J781" s="4">
        <v>13680</v>
      </c>
      <c r="K781" s="4">
        <f t="shared" si="38"/>
        <v>0</v>
      </c>
      <c r="L781" s="1">
        <v>13680</v>
      </c>
      <c r="M781" s="93">
        <f t="shared" si="36"/>
        <v>0</v>
      </c>
      <c r="N781" s="2"/>
      <c r="O781" s="97"/>
      <c r="P781" s="52"/>
    </row>
    <row r="782" spans="1:16" ht="40.950000000000003" customHeight="1" x14ac:dyDescent="0.3">
      <c r="A782" s="4">
        <v>196</v>
      </c>
      <c r="B782" s="10" t="s">
        <v>393</v>
      </c>
      <c r="C782" s="10"/>
      <c r="D782" s="10"/>
      <c r="E782" s="10"/>
      <c r="F782" s="10" t="s">
        <v>394</v>
      </c>
      <c r="G782" s="4" t="s">
        <v>64</v>
      </c>
      <c r="H782" s="4"/>
      <c r="I782" s="4">
        <f t="shared" si="37"/>
        <v>13680</v>
      </c>
      <c r="J782" s="4">
        <v>13680</v>
      </c>
      <c r="K782" s="4">
        <f t="shared" si="38"/>
        <v>0</v>
      </c>
      <c r="L782" s="1">
        <v>13680</v>
      </c>
      <c r="M782" s="93">
        <f t="shared" si="36"/>
        <v>0</v>
      </c>
      <c r="N782" s="2"/>
      <c r="O782" s="97"/>
      <c r="P782" s="52"/>
    </row>
    <row r="783" spans="1:16" ht="40.950000000000003" customHeight="1" x14ac:dyDescent="0.3">
      <c r="A783" s="4">
        <v>196</v>
      </c>
      <c r="B783" s="10" t="s">
        <v>393</v>
      </c>
      <c r="C783" s="10"/>
      <c r="D783" s="10"/>
      <c r="E783" s="10"/>
      <c r="F783" s="10" t="s">
        <v>394</v>
      </c>
      <c r="G783" s="4" t="s">
        <v>122</v>
      </c>
      <c r="H783" s="4"/>
      <c r="I783" s="4">
        <f t="shared" si="37"/>
        <v>13680</v>
      </c>
      <c r="J783" s="4">
        <v>13680</v>
      </c>
      <c r="K783" s="4">
        <f t="shared" si="38"/>
        <v>0</v>
      </c>
      <c r="L783" s="1">
        <v>13680</v>
      </c>
      <c r="M783" s="93">
        <f t="shared" si="36"/>
        <v>0</v>
      </c>
      <c r="N783" s="2"/>
      <c r="O783" s="97"/>
      <c r="P783" s="52"/>
    </row>
    <row r="784" spans="1:16" ht="40.950000000000003" customHeight="1" x14ac:dyDescent="0.3">
      <c r="A784" s="4">
        <v>196</v>
      </c>
      <c r="B784" s="10" t="s">
        <v>393</v>
      </c>
      <c r="C784" s="10"/>
      <c r="D784" s="10"/>
      <c r="E784" s="10"/>
      <c r="F784" s="10" t="s">
        <v>394</v>
      </c>
      <c r="G784" s="4" t="s">
        <v>143</v>
      </c>
      <c r="H784" s="4"/>
      <c r="I784" s="4">
        <f t="shared" si="37"/>
        <v>13680</v>
      </c>
      <c r="J784" s="4">
        <v>13680</v>
      </c>
      <c r="K784" s="4">
        <f t="shared" si="38"/>
        <v>0</v>
      </c>
      <c r="L784" s="1">
        <v>13680</v>
      </c>
      <c r="M784" s="93">
        <f t="shared" si="36"/>
        <v>0</v>
      </c>
      <c r="N784" s="2"/>
      <c r="O784" s="97"/>
      <c r="P784" s="52"/>
    </row>
    <row r="785" spans="1:16" ht="40.950000000000003" customHeight="1" x14ac:dyDescent="0.3">
      <c r="A785" s="4">
        <v>196</v>
      </c>
      <c r="B785" s="10" t="s">
        <v>393</v>
      </c>
      <c r="C785" s="10"/>
      <c r="D785" s="10"/>
      <c r="E785" s="10"/>
      <c r="F785" s="10" t="s">
        <v>394</v>
      </c>
      <c r="G785" s="4" t="s">
        <v>11</v>
      </c>
      <c r="H785" s="4"/>
      <c r="I785" s="4">
        <f t="shared" si="37"/>
        <v>13680</v>
      </c>
      <c r="J785" s="4">
        <v>13680</v>
      </c>
      <c r="K785" s="4">
        <f t="shared" si="38"/>
        <v>0</v>
      </c>
      <c r="L785" s="1">
        <v>13680</v>
      </c>
      <c r="M785" s="93">
        <f t="shared" si="36"/>
        <v>0</v>
      </c>
      <c r="N785" s="2"/>
      <c r="O785" s="97"/>
      <c r="P785" s="52"/>
    </row>
    <row r="786" spans="1:16" ht="40.950000000000003" customHeight="1" x14ac:dyDescent="0.3">
      <c r="A786" s="4">
        <v>196</v>
      </c>
      <c r="B786" s="10" t="s">
        <v>393</v>
      </c>
      <c r="C786" s="10"/>
      <c r="D786" s="10"/>
      <c r="E786" s="10"/>
      <c r="F786" s="10" t="s">
        <v>394</v>
      </c>
      <c r="G786" s="4" t="s">
        <v>70</v>
      </c>
      <c r="H786" s="4"/>
      <c r="I786" s="4">
        <f t="shared" si="37"/>
        <v>13680</v>
      </c>
      <c r="J786" s="4">
        <v>13680</v>
      </c>
      <c r="K786" s="4">
        <f t="shared" si="38"/>
        <v>0</v>
      </c>
      <c r="L786" s="1">
        <v>13680</v>
      </c>
      <c r="M786" s="93">
        <f t="shared" si="36"/>
        <v>0</v>
      </c>
      <c r="N786" s="2"/>
      <c r="O786" s="97"/>
      <c r="P786" s="52"/>
    </row>
    <row r="787" spans="1:16" ht="40.950000000000003" customHeight="1" x14ac:dyDescent="0.3">
      <c r="A787" s="4">
        <v>196</v>
      </c>
      <c r="B787" s="10" t="s">
        <v>393</v>
      </c>
      <c r="C787" s="10"/>
      <c r="D787" s="10"/>
      <c r="E787" s="10"/>
      <c r="F787" s="10" t="s">
        <v>434</v>
      </c>
      <c r="G787" s="4" t="s">
        <v>181</v>
      </c>
      <c r="H787" s="4">
        <v>3</v>
      </c>
      <c r="I787" s="4">
        <f t="shared" si="37"/>
        <v>9678</v>
      </c>
      <c r="J787" s="4">
        <v>9798</v>
      </c>
      <c r="K787" s="4">
        <f t="shared" si="38"/>
        <v>0</v>
      </c>
      <c r="L787" s="1">
        <v>9798</v>
      </c>
      <c r="M787" s="93">
        <f t="shared" si="36"/>
        <v>0</v>
      </c>
      <c r="N787" s="2">
        <v>120</v>
      </c>
      <c r="O787" s="97">
        <v>120</v>
      </c>
      <c r="P787" s="52">
        <v>0.95</v>
      </c>
    </row>
    <row r="788" spans="1:16" ht="40.950000000000003" customHeight="1" x14ac:dyDescent="0.3">
      <c r="A788" s="4">
        <v>196</v>
      </c>
      <c r="B788" s="10" t="s">
        <v>393</v>
      </c>
      <c r="C788" s="10"/>
      <c r="D788" s="10"/>
      <c r="E788" s="10"/>
      <c r="F788" s="10" t="s">
        <v>434</v>
      </c>
      <c r="G788" s="4" t="s">
        <v>391</v>
      </c>
      <c r="H788" s="4">
        <v>3</v>
      </c>
      <c r="I788" s="4">
        <f t="shared" si="37"/>
        <v>7060</v>
      </c>
      <c r="J788" s="4">
        <v>7060</v>
      </c>
      <c r="K788" s="4">
        <f t="shared" si="38"/>
        <v>0</v>
      </c>
      <c r="L788" s="1">
        <v>7060</v>
      </c>
      <c r="M788" s="93">
        <f t="shared" si="36"/>
        <v>0</v>
      </c>
      <c r="N788" s="2"/>
      <c r="O788" s="97"/>
      <c r="P788" s="52">
        <v>0.95</v>
      </c>
    </row>
    <row r="789" spans="1:16" ht="40.950000000000003" customHeight="1" x14ac:dyDescent="0.3">
      <c r="A789" s="4">
        <v>196</v>
      </c>
      <c r="B789" s="10" t="s">
        <v>393</v>
      </c>
      <c r="C789" s="10"/>
      <c r="D789" s="10"/>
      <c r="E789" s="10"/>
      <c r="F789" s="10" t="s">
        <v>434</v>
      </c>
      <c r="G789" s="4" t="s">
        <v>435</v>
      </c>
      <c r="H789" s="4">
        <v>3</v>
      </c>
      <c r="I789" s="4">
        <f t="shared" si="37"/>
        <v>9747</v>
      </c>
      <c r="J789" s="4">
        <v>9747</v>
      </c>
      <c r="K789" s="4">
        <f t="shared" si="38"/>
        <v>0</v>
      </c>
      <c r="L789" s="1">
        <v>9747</v>
      </c>
      <c r="M789" s="93">
        <f t="shared" si="36"/>
        <v>0</v>
      </c>
      <c r="N789" s="2"/>
      <c r="O789" s="97"/>
      <c r="P789" s="52">
        <v>0.95</v>
      </c>
    </row>
    <row r="790" spans="1:16" ht="40.950000000000003" customHeight="1" x14ac:dyDescent="0.3">
      <c r="A790" s="4">
        <v>196</v>
      </c>
      <c r="B790" s="10" t="s">
        <v>393</v>
      </c>
      <c r="C790" s="10"/>
      <c r="D790" s="10"/>
      <c r="E790" s="10"/>
      <c r="F790" s="10" t="s">
        <v>434</v>
      </c>
      <c r="G790" s="4" t="s">
        <v>362</v>
      </c>
      <c r="H790" s="4">
        <v>3</v>
      </c>
      <c r="I790" s="4">
        <f t="shared" si="37"/>
        <v>5630</v>
      </c>
      <c r="J790" s="4">
        <v>5630</v>
      </c>
      <c r="K790" s="4">
        <f t="shared" si="38"/>
        <v>0</v>
      </c>
      <c r="L790" s="1">
        <v>5630</v>
      </c>
      <c r="M790" s="93">
        <f t="shared" si="36"/>
        <v>0</v>
      </c>
      <c r="N790" s="2"/>
      <c r="O790" s="97"/>
      <c r="P790" s="52">
        <v>0.95</v>
      </c>
    </row>
    <row r="791" spans="1:16" ht="40.950000000000003" customHeight="1" x14ac:dyDescent="0.3">
      <c r="A791" s="4">
        <v>196</v>
      </c>
      <c r="B791" s="10" t="s">
        <v>393</v>
      </c>
      <c r="C791" s="10"/>
      <c r="D791" s="10"/>
      <c r="E791" s="10"/>
      <c r="F791" s="10" t="s">
        <v>394</v>
      </c>
      <c r="G791" s="4" t="s">
        <v>423</v>
      </c>
      <c r="H791" s="4">
        <v>5</v>
      </c>
      <c r="I791" s="4">
        <f t="shared" si="37"/>
        <v>9137</v>
      </c>
      <c r="J791" s="4">
        <v>9137</v>
      </c>
      <c r="K791" s="4">
        <f t="shared" si="38"/>
        <v>0</v>
      </c>
      <c r="L791" s="1">
        <v>9137</v>
      </c>
      <c r="M791" s="93">
        <f t="shared" si="36"/>
        <v>0</v>
      </c>
      <c r="N791" s="2"/>
      <c r="O791" s="97"/>
      <c r="P791" s="52">
        <v>0.95</v>
      </c>
    </row>
    <row r="792" spans="1:16" ht="40.950000000000003" customHeight="1" x14ac:dyDescent="0.3">
      <c r="A792" s="4">
        <v>196</v>
      </c>
      <c r="B792" s="10" t="s">
        <v>393</v>
      </c>
      <c r="C792" s="10"/>
      <c r="D792" s="10"/>
      <c r="E792" s="10"/>
      <c r="F792" s="10" t="s">
        <v>394</v>
      </c>
      <c r="G792" s="4" t="s">
        <v>446</v>
      </c>
      <c r="H792" s="4"/>
      <c r="I792" s="4">
        <f t="shared" si="37"/>
        <v>25274</v>
      </c>
      <c r="J792" s="4">
        <v>25274</v>
      </c>
      <c r="K792" s="4">
        <f t="shared" si="38"/>
        <v>0</v>
      </c>
      <c r="L792" s="1">
        <v>25274</v>
      </c>
      <c r="M792" s="93">
        <f t="shared" si="36"/>
        <v>0</v>
      </c>
      <c r="N792" s="2"/>
      <c r="O792" s="97"/>
      <c r="P792" s="52"/>
    </row>
    <row r="793" spans="1:16" ht="40.950000000000003" customHeight="1" x14ac:dyDescent="0.3">
      <c r="A793" s="4">
        <v>196</v>
      </c>
      <c r="B793" s="10" t="s">
        <v>393</v>
      </c>
      <c r="C793" s="10"/>
      <c r="D793" s="10"/>
      <c r="E793" s="10"/>
      <c r="F793" s="10" t="s">
        <v>394</v>
      </c>
      <c r="G793" s="4" t="s">
        <v>435</v>
      </c>
      <c r="H793" s="4"/>
      <c r="I793" s="4">
        <f t="shared" si="37"/>
        <v>5274</v>
      </c>
      <c r="J793" s="4">
        <v>5274</v>
      </c>
      <c r="K793" s="4">
        <f t="shared" si="38"/>
        <v>0</v>
      </c>
      <c r="L793" s="1">
        <v>5274</v>
      </c>
      <c r="M793" s="93">
        <f t="shared" si="36"/>
        <v>0</v>
      </c>
      <c r="N793" s="2"/>
      <c r="O793" s="97"/>
      <c r="P793" s="52"/>
    </row>
    <row r="794" spans="1:16" ht="40.950000000000003" customHeight="1" x14ac:dyDescent="0.3">
      <c r="A794" s="4">
        <v>196</v>
      </c>
      <c r="B794" s="10" t="s">
        <v>393</v>
      </c>
      <c r="C794" s="10"/>
      <c r="D794" s="10"/>
      <c r="E794" s="10"/>
      <c r="F794" s="10" t="s">
        <v>394</v>
      </c>
      <c r="G794" s="4" t="s">
        <v>381</v>
      </c>
      <c r="H794" s="4"/>
      <c r="I794" s="4">
        <f t="shared" si="37"/>
        <v>5320</v>
      </c>
      <c r="J794" s="4">
        <v>5320</v>
      </c>
      <c r="K794" s="4">
        <f t="shared" si="38"/>
        <v>0</v>
      </c>
      <c r="L794" s="1">
        <v>5320</v>
      </c>
      <c r="M794" s="93">
        <f t="shared" si="36"/>
        <v>0</v>
      </c>
      <c r="N794" s="2"/>
      <c r="O794" s="97"/>
      <c r="P794" s="52"/>
    </row>
    <row r="795" spans="1:16" ht="40.950000000000003" customHeight="1" x14ac:dyDescent="0.3">
      <c r="A795" s="4">
        <v>196</v>
      </c>
      <c r="B795" s="10" t="s">
        <v>393</v>
      </c>
      <c r="C795" s="10"/>
      <c r="D795" s="10"/>
      <c r="E795" s="10"/>
      <c r="F795" s="10" t="s">
        <v>394</v>
      </c>
      <c r="G795" s="4" t="s">
        <v>200</v>
      </c>
      <c r="H795" s="4"/>
      <c r="I795" s="4">
        <f t="shared" si="37"/>
        <v>17434</v>
      </c>
      <c r="J795" s="4">
        <v>17434</v>
      </c>
      <c r="K795" s="4">
        <f t="shared" si="38"/>
        <v>0</v>
      </c>
      <c r="L795" s="1">
        <v>17434</v>
      </c>
      <c r="M795" s="93">
        <f t="shared" si="36"/>
        <v>0</v>
      </c>
      <c r="N795" s="2"/>
      <c r="O795" s="97"/>
      <c r="P795" s="52"/>
    </row>
    <row r="796" spans="1:16" ht="40.950000000000003" customHeight="1" x14ac:dyDescent="0.3">
      <c r="A796" s="4">
        <v>196</v>
      </c>
      <c r="B796" s="10" t="s">
        <v>393</v>
      </c>
      <c r="C796" s="10"/>
      <c r="D796" s="10"/>
      <c r="E796" s="10"/>
      <c r="F796" s="10" t="s">
        <v>394</v>
      </c>
      <c r="G796" s="4" t="s">
        <v>391</v>
      </c>
      <c r="H796" s="4"/>
      <c r="I796" s="4">
        <f t="shared" si="37"/>
        <v>6608</v>
      </c>
      <c r="J796" s="4">
        <v>6608</v>
      </c>
      <c r="K796" s="4">
        <f t="shared" si="38"/>
        <v>0</v>
      </c>
      <c r="L796" s="1">
        <v>6608</v>
      </c>
      <c r="M796" s="93">
        <f t="shared" si="36"/>
        <v>0</v>
      </c>
      <c r="N796" s="2"/>
      <c r="O796" s="97"/>
      <c r="P796" s="52"/>
    </row>
    <row r="797" spans="1:16" ht="40.950000000000003" customHeight="1" x14ac:dyDescent="0.3">
      <c r="A797" s="4">
        <v>196</v>
      </c>
      <c r="B797" s="10" t="s">
        <v>393</v>
      </c>
      <c r="C797" s="10"/>
      <c r="D797" s="10"/>
      <c r="E797" s="10"/>
      <c r="F797" s="10" t="s">
        <v>394</v>
      </c>
      <c r="G797" s="4" t="s">
        <v>469</v>
      </c>
      <c r="H797" s="4"/>
      <c r="I797" s="4">
        <f t="shared" si="37"/>
        <v>1678</v>
      </c>
      <c r="J797" s="4">
        <v>1678</v>
      </c>
      <c r="K797" s="4">
        <f t="shared" si="38"/>
        <v>0</v>
      </c>
      <c r="L797" s="1">
        <v>1678</v>
      </c>
      <c r="M797" s="93">
        <f t="shared" si="36"/>
        <v>0</v>
      </c>
      <c r="N797" s="2"/>
      <c r="O797" s="97"/>
      <c r="P797" s="52"/>
    </row>
    <row r="798" spans="1:16" ht="40.950000000000003" customHeight="1" x14ac:dyDescent="0.3">
      <c r="A798" s="4">
        <v>196</v>
      </c>
      <c r="B798" s="10" t="s">
        <v>393</v>
      </c>
      <c r="C798" s="10"/>
      <c r="D798" s="10"/>
      <c r="E798" s="10"/>
      <c r="F798" s="10" t="s">
        <v>1460</v>
      </c>
      <c r="G798" s="4" t="s">
        <v>1268</v>
      </c>
      <c r="H798" s="4">
        <v>1</v>
      </c>
      <c r="I798" s="4">
        <f t="shared" si="37"/>
        <v>13</v>
      </c>
      <c r="J798" s="4">
        <v>843</v>
      </c>
      <c r="K798" s="4">
        <f t="shared" si="38"/>
        <v>0</v>
      </c>
      <c r="L798" s="1">
        <v>843</v>
      </c>
      <c r="M798" s="93">
        <f t="shared" si="36"/>
        <v>0</v>
      </c>
      <c r="N798" s="2">
        <v>830</v>
      </c>
      <c r="O798" s="97">
        <v>830</v>
      </c>
      <c r="P798" s="52">
        <v>0.9</v>
      </c>
    </row>
    <row r="799" spans="1:16" ht="40.950000000000003" customHeight="1" x14ac:dyDescent="0.3">
      <c r="A799" s="4">
        <v>196</v>
      </c>
      <c r="B799" s="10" t="s">
        <v>393</v>
      </c>
      <c r="C799" s="10"/>
      <c r="D799" s="10"/>
      <c r="E799" s="10"/>
      <c r="F799" s="10" t="s">
        <v>394</v>
      </c>
      <c r="G799" s="4" t="s">
        <v>198</v>
      </c>
      <c r="H799" s="4">
        <v>3</v>
      </c>
      <c r="I799" s="4">
        <f t="shared" si="37"/>
        <v>7396</v>
      </c>
      <c r="J799" s="4">
        <v>7600</v>
      </c>
      <c r="K799" s="4">
        <f t="shared" si="38"/>
        <v>0</v>
      </c>
      <c r="L799" s="1">
        <v>7600</v>
      </c>
      <c r="M799" s="93">
        <f t="shared" si="36"/>
        <v>0</v>
      </c>
      <c r="N799" s="2">
        <v>204</v>
      </c>
      <c r="O799" s="97">
        <v>204</v>
      </c>
      <c r="P799" s="52">
        <v>0.95</v>
      </c>
    </row>
    <row r="800" spans="1:16" ht="40.950000000000003" customHeight="1" x14ac:dyDescent="0.3">
      <c r="A800" s="4">
        <v>197</v>
      </c>
      <c r="B800" s="10" t="s">
        <v>395</v>
      </c>
      <c r="C800" s="10"/>
      <c r="D800" s="10"/>
      <c r="E800" s="10"/>
      <c r="F800" s="10" t="s">
        <v>394</v>
      </c>
      <c r="G800" s="4" t="s">
        <v>22</v>
      </c>
      <c r="H800" s="4">
        <v>2</v>
      </c>
      <c r="I800" s="4">
        <f t="shared" si="37"/>
        <v>10640</v>
      </c>
      <c r="J800" s="4">
        <v>10640</v>
      </c>
      <c r="K800" s="4">
        <f t="shared" si="38"/>
        <v>0</v>
      </c>
      <c r="L800" s="1">
        <v>10640</v>
      </c>
      <c r="M800" s="93">
        <f t="shared" si="36"/>
        <v>0</v>
      </c>
      <c r="N800" s="2"/>
      <c r="O800" s="97"/>
      <c r="P800" s="52"/>
    </row>
    <row r="801" spans="1:16" ht="40.950000000000003" customHeight="1" x14ac:dyDescent="0.3">
      <c r="A801" s="4">
        <v>197</v>
      </c>
      <c r="B801" s="10" t="s">
        <v>395</v>
      </c>
      <c r="C801" s="10"/>
      <c r="D801" s="10"/>
      <c r="E801" s="10"/>
      <c r="F801" s="10" t="s">
        <v>434</v>
      </c>
      <c r="G801" s="4" t="s">
        <v>181</v>
      </c>
      <c r="H801" s="4">
        <v>3</v>
      </c>
      <c r="I801" s="4">
        <f t="shared" si="37"/>
        <v>26100</v>
      </c>
      <c r="J801" s="4">
        <v>26220</v>
      </c>
      <c r="K801" s="4">
        <f t="shared" si="38"/>
        <v>0</v>
      </c>
      <c r="L801" s="1">
        <v>26220</v>
      </c>
      <c r="M801" s="93">
        <f t="shared" si="36"/>
        <v>0</v>
      </c>
      <c r="N801" s="2">
        <v>120</v>
      </c>
      <c r="O801" s="97">
        <v>120</v>
      </c>
      <c r="P801" s="52"/>
    </row>
    <row r="802" spans="1:16" ht="40.950000000000003" customHeight="1" x14ac:dyDescent="0.3">
      <c r="A802" s="4">
        <v>197</v>
      </c>
      <c r="B802" s="10" t="s">
        <v>395</v>
      </c>
      <c r="C802" s="10"/>
      <c r="D802" s="10"/>
      <c r="E802" s="10"/>
      <c r="F802" s="10" t="s">
        <v>394</v>
      </c>
      <c r="G802" s="4" t="s">
        <v>7</v>
      </c>
      <c r="H802" s="4"/>
      <c r="I802" s="4">
        <f t="shared" si="37"/>
        <v>4740</v>
      </c>
      <c r="J802" s="4">
        <v>4940</v>
      </c>
      <c r="K802" s="4">
        <f t="shared" si="38"/>
        <v>0</v>
      </c>
      <c r="L802" s="1">
        <v>4940</v>
      </c>
      <c r="M802" s="93">
        <f t="shared" si="36"/>
        <v>0</v>
      </c>
      <c r="N802" s="2">
        <v>200</v>
      </c>
      <c r="O802" s="97">
        <v>200</v>
      </c>
      <c r="P802" s="52"/>
    </row>
    <row r="803" spans="1:16" ht="40.950000000000003" customHeight="1" x14ac:dyDescent="0.3">
      <c r="A803" s="4">
        <v>198</v>
      </c>
      <c r="B803" s="10" t="s">
        <v>425</v>
      </c>
      <c r="C803" s="10"/>
      <c r="D803" s="10"/>
      <c r="E803" s="10"/>
      <c r="F803" s="10" t="s">
        <v>217</v>
      </c>
      <c r="G803" s="4" t="s">
        <v>8</v>
      </c>
      <c r="H803" s="4"/>
      <c r="I803" s="4">
        <f t="shared" si="37"/>
        <v>735</v>
      </c>
      <c r="J803" s="4">
        <v>735</v>
      </c>
      <c r="K803" s="4">
        <f t="shared" si="38"/>
        <v>0</v>
      </c>
      <c r="L803" s="1">
        <v>735</v>
      </c>
      <c r="M803" s="93">
        <f t="shared" si="36"/>
        <v>0</v>
      </c>
      <c r="N803" s="2"/>
      <c r="O803" s="97"/>
      <c r="P803" s="52"/>
    </row>
    <row r="804" spans="1:16" ht="40.950000000000003" customHeight="1" x14ac:dyDescent="0.3">
      <c r="A804" s="4">
        <v>198</v>
      </c>
      <c r="B804" s="10" t="s">
        <v>425</v>
      </c>
      <c r="C804" s="10"/>
      <c r="D804" s="10"/>
      <c r="E804" s="10"/>
      <c r="F804" s="10" t="s">
        <v>217</v>
      </c>
      <c r="G804" s="4" t="s">
        <v>114</v>
      </c>
      <c r="H804" s="4"/>
      <c r="I804" s="4">
        <f t="shared" si="37"/>
        <v>840</v>
      </c>
      <c r="J804" s="4">
        <v>840</v>
      </c>
      <c r="K804" s="4">
        <f t="shared" si="38"/>
        <v>0</v>
      </c>
      <c r="L804" s="1">
        <v>840</v>
      </c>
      <c r="M804" s="93">
        <f t="shared" si="36"/>
        <v>0</v>
      </c>
      <c r="N804" s="2"/>
      <c r="O804" s="97"/>
      <c r="P804" s="52"/>
    </row>
    <row r="805" spans="1:16" ht="40.950000000000003" customHeight="1" x14ac:dyDescent="0.3">
      <c r="A805" s="4">
        <v>198</v>
      </c>
      <c r="B805" s="10" t="s">
        <v>425</v>
      </c>
      <c r="C805" s="10"/>
      <c r="D805" s="10"/>
      <c r="E805" s="10"/>
      <c r="F805" s="10" t="s">
        <v>217</v>
      </c>
      <c r="G805" s="4" t="s">
        <v>181</v>
      </c>
      <c r="H805" s="4"/>
      <c r="I805" s="4">
        <f t="shared" si="37"/>
        <v>840</v>
      </c>
      <c r="J805" s="4">
        <v>840</v>
      </c>
      <c r="K805" s="4">
        <f t="shared" si="38"/>
        <v>0</v>
      </c>
      <c r="L805" s="1">
        <v>840</v>
      </c>
      <c r="M805" s="93">
        <f t="shared" si="36"/>
        <v>0</v>
      </c>
      <c r="N805" s="2"/>
      <c r="O805" s="97"/>
      <c r="P805" s="52"/>
    </row>
    <row r="806" spans="1:16" ht="40.950000000000003" customHeight="1" x14ac:dyDescent="0.3">
      <c r="A806" s="4">
        <v>198</v>
      </c>
      <c r="B806" s="10" t="s">
        <v>425</v>
      </c>
      <c r="C806" s="10"/>
      <c r="D806" s="10"/>
      <c r="E806" s="10"/>
      <c r="F806" s="10" t="s">
        <v>217</v>
      </c>
      <c r="G806" s="4" t="s">
        <v>238</v>
      </c>
      <c r="H806" s="4"/>
      <c r="I806" s="4">
        <f t="shared" si="37"/>
        <v>1200</v>
      </c>
      <c r="J806" s="4">
        <v>1200</v>
      </c>
      <c r="K806" s="4">
        <f t="shared" si="38"/>
        <v>0</v>
      </c>
      <c r="L806" s="1">
        <v>1200</v>
      </c>
      <c r="M806" s="93">
        <f t="shared" si="36"/>
        <v>0</v>
      </c>
      <c r="N806" s="2"/>
      <c r="O806" s="97"/>
      <c r="P806" s="52"/>
    </row>
    <row r="807" spans="1:16" ht="40.950000000000003" customHeight="1" x14ac:dyDescent="0.3">
      <c r="A807" s="4">
        <v>199</v>
      </c>
      <c r="B807" s="10" t="s">
        <v>454</v>
      </c>
      <c r="C807" s="10"/>
      <c r="D807" s="10"/>
      <c r="E807" s="10"/>
      <c r="F807" s="10" t="s">
        <v>217</v>
      </c>
      <c r="G807" s="4" t="s">
        <v>238</v>
      </c>
      <c r="H807" s="4" t="s">
        <v>650</v>
      </c>
      <c r="I807" s="4">
        <f t="shared" si="37"/>
        <v>2800</v>
      </c>
      <c r="J807" s="4">
        <v>2800</v>
      </c>
      <c r="K807" s="4">
        <f t="shared" si="38"/>
        <v>0</v>
      </c>
      <c r="L807" s="1">
        <v>2800</v>
      </c>
      <c r="M807" s="93">
        <f t="shared" si="36"/>
        <v>0</v>
      </c>
      <c r="N807" s="2"/>
      <c r="O807" s="97"/>
      <c r="P807" s="52"/>
    </row>
    <row r="808" spans="1:16" ht="40.950000000000003" customHeight="1" x14ac:dyDescent="0.3">
      <c r="A808" s="4">
        <v>200</v>
      </c>
      <c r="B808" s="10" t="s">
        <v>218</v>
      </c>
      <c r="C808" s="10"/>
      <c r="D808" s="10"/>
      <c r="E808" s="10"/>
      <c r="F808" s="10" t="s">
        <v>217</v>
      </c>
      <c r="G808" s="4" t="s">
        <v>7</v>
      </c>
      <c r="H808" s="4" t="s">
        <v>650</v>
      </c>
      <c r="I808" s="4">
        <f t="shared" si="37"/>
        <v>3036</v>
      </c>
      <c r="J808" s="4">
        <v>3036</v>
      </c>
      <c r="K808" s="4">
        <f t="shared" si="38"/>
        <v>0</v>
      </c>
      <c r="L808" s="1">
        <v>3036</v>
      </c>
      <c r="M808" s="93">
        <f t="shared" si="36"/>
        <v>0</v>
      </c>
      <c r="N808" s="2"/>
      <c r="O808" s="97"/>
      <c r="P808" s="52"/>
    </row>
    <row r="809" spans="1:16" ht="40.950000000000003" customHeight="1" x14ac:dyDescent="0.3">
      <c r="A809" s="4">
        <v>200</v>
      </c>
      <c r="B809" s="10" t="s">
        <v>218</v>
      </c>
      <c r="C809" s="10"/>
      <c r="D809" s="10"/>
      <c r="E809" s="10"/>
      <c r="F809" s="10" t="s">
        <v>217</v>
      </c>
      <c r="G809" s="4" t="s">
        <v>8</v>
      </c>
      <c r="H809" s="4" t="s">
        <v>650</v>
      </c>
      <c r="I809" s="4">
        <f t="shared" si="37"/>
        <v>2936</v>
      </c>
      <c r="J809" s="4">
        <v>3036</v>
      </c>
      <c r="K809" s="4">
        <f t="shared" si="38"/>
        <v>0</v>
      </c>
      <c r="L809" s="1">
        <v>3036</v>
      </c>
      <c r="M809" s="93">
        <f t="shared" si="36"/>
        <v>0</v>
      </c>
      <c r="N809" s="2">
        <v>100</v>
      </c>
      <c r="O809" s="97">
        <f>100</f>
        <v>100</v>
      </c>
      <c r="P809" s="52"/>
    </row>
    <row r="810" spans="1:16" ht="40.950000000000003" customHeight="1" x14ac:dyDescent="0.3">
      <c r="A810" s="4">
        <v>200</v>
      </c>
      <c r="B810" s="10" t="s">
        <v>218</v>
      </c>
      <c r="C810" s="10"/>
      <c r="D810" s="10"/>
      <c r="E810" s="10"/>
      <c r="F810" s="10" t="s">
        <v>217</v>
      </c>
      <c r="G810" s="4" t="s">
        <v>70</v>
      </c>
      <c r="H810" s="4" t="s">
        <v>650</v>
      </c>
      <c r="I810" s="4">
        <f t="shared" si="37"/>
        <v>2536</v>
      </c>
      <c r="J810" s="4">
        <v>3036</v>
      </c>
      <c r="K810" s="4">
        <f t="shared" si="38"/>
        <v>0</v>
      </c>
      <c r="L810" s="1">
        <v>3036</v>
      </c>
      <c r="M810" s="93">
        <f t="shared" si="36"/>
        <v>0</v>
      </c>
      <c r="N810" s="2">
        <v>500</v>
      </c>
      <c r="O810" s="97">
        <f>500</f>
        <v>500</v>
      </c>
      <c r="P810" s="52"/>
    </row>
    <row r="811" spans="1:16" ht="40.950000000000003" customHeight="1" x14ac:dyDescent="0.3">
      <c r="A811" s="4">
        <v>200</v>
      </c>
      <c r="B811" s="10" t="s">
        <v>218</v>
      </c>
      <c r="C811" s="10"/>
      <c r="D811" s="10"/>
      <c r="E811" s="10"/>
      <c r="F811" s="10" t="s">
        <v>217</v>
      </c>
      <c r="G811" s="4" t="s">
        <v>90</v>
      </c>
      <c r="H811" s="4" t="s">
        <v>650</v>
      </c>
      <c r="I811" s="4">
        <f t="shared" si="37"/>
        <v>2536</v>
      </c>
      <c r="J811" s="4">
        <v>3036</v>
      </c>
      <c r="K811" s="4">
        <f t="shared" si="38"/>
        <v>0</v>
      </c>
      <c r="L811" s="1">
        <v>3036</v>
      </c>
      <c r="M811" s="93">
        <f t="shared" si="36"/>
        <v>0</v>
      </c>
      <c r="N811" s="2">
        <v>500</v>
      </c>
      <c r="O811" s="97">
        <f>500</f>
        <v>500</v>
      </c>
      <c r="P811" s="52"/>
    </row>
    <row r="812" spans="1:16" ht="40.950000000000003" customHeight="1" x14ac:dyDescent="0.3">
      <c r="A812" s="4">
        <v>200</v>
      </c>
      <c r="B812" s="10" t="s">
        <v>218</v>
      </c>
      <c r="C812" s="10"/>
      <c r="D812" s="10"/>
      <c r="E812" s="10"/>
      <c r="F812" s="10" t="s">
        <v>217</v>
      </c>
      <c r="G812" s="4" t="s">
        <v>39</v>
      </c>
      <c r="H812" s="4" t="s">
        <v>650</v>
      </c>
      <c r="I812" s="4">
        <f t="shared" si="37"/>
        <v>2836</v>
      </c>
      <c r="J812" s="4">
        <v>3036</v>
      </c>
      <c r="K812" s="4">
        <f t="shared" si="38"/>
        <v>0</v>
      </c>
      <c r="L812" s="1">
        <v>3036</v>
      </c>
      <c r="M812" s="93">
        <f t="shared" si="36"/>
        <v>0</v>
      </c>
      <c r="N812" s="2">
        <v>200</v>
      </c>
      <c r="O812" s="97">
        <v>200</v>
      </c>
      <c r="P812" s="52"/>
    </row>
    <row r="813" spans="1:16" ht="40.950000000000003" customHeight="1" x14ac:dyDescent="0.3">
      <c r="A813" s="4">
        <v>200</v>
      </c>
      <c r="B813" s="10" t="s">
        <v>218</v>
      </c>
      <c r="C813" s="10"/>
      <c r="D813" s="10"/>
      <c r="E813" s="10"/>
      <c r="F813" s="10" t="s">
        <v>217</v>
      </c>
      <c r="G813" s="4" t="s">
        <v>114</v>
      </c>
      <c r="H813" s="4" t="s">
        <v>650</v>
      </c>
      <c r="I813" s="4">
        <f t="shared" si="37"/>
        <v>2409</v>
      </c>
      <c r="J813" s="4">
        <v>2484</v>
      </c>
      <c r="K813" s="4">
        <f t="shared" si="38"/>
        <v>0</v>
      </c>
      <c r="L813" s="1">
        <v>2484</v>
      </c>
      <c r="M813" s="93">
        <f t="shared" ref="M813:M876" si="39">O813-N813</f>
        <v>0</v>
      </c>
      <c r="N813" s="2">
        <v>75</v>
      </c>
      <c r="O813" s="97">
        <f>75</f>
        <v>75</v>
      </c>
      <c r="P813" s="52"/>
    </row>
    <row r="814" spans="1:16" ht="40.950000000000003" customHeight="1" x14ac:dyDescent="0.3">
      <c r="A814" s="4">
        <v>200</v>
      </c>
      <c r="B814" s="10" t="s">
        <v>218</v>
      </c>
      <c r="C814" s="10"/>
      <c r="D814" s="10"/>
      <c r="E814" s="10"/>
      <c r="F814" s="10" t="s">
        <v>217</v>
      </c>
      <c r="G814" s="4" t="s">
        <v>128</v>
      </c>
      <c r="H814" s="4" t="s">
        <v>650</v>
      </c>
      <c r="I814" s="4">
        <f t="shared" si="37"/>
        <v>3036</v>
      </c>
      <c r="J814" s="4">
        <v>3036</v>
      </c>
      <c r="K814" s="4">
        <f t="shared" si="38"/>
        <v>0</v>
      </c>
      <c r="L814" s="1">
        <v>3036</v>
      </c>
      <c r="M814" s="93">
        <f t="shared" si="39"/>
        <v>0</v>
      </c>
      <c r="N814" s="2"/>
      <c r="O814" s="97"/>
      <c r="P814" s="52"/>
    </row>
    <row r="815" spans="1:16" ht="40.950000000000003" customHeight="1" x14ac:dyDescent="0.3">
      <c r="A815" s="4">
        <v>200</v>
      </c>
      <c r="B815" s="10" t="s">
        <v>218</v>
      </c>
      <c r="C815" s="10"/>
      <c r="D815" s="10"/>
      <c r="E815" s="10"/>
      <c r="F815" s="10" t="s">
        <v>217</v>
      </c>
      <c r="G815" s="4" t="s">
        <v>143</v>
      </c>
      <c r="H815" s="4" t="s">
        <v>650</v>
      </c>
      <c r="I815" s="4">
        <f t="shared" si="37"/>
        <v>2208</v>
      </c>
      <c r="J815" s="4">
        <v>2208</v>
      </c>
      <c r="K815" s="4">
        <f t="shared" si="38"/>
        <v>0</v>
      </c>
      <c r="L815" s="1">
        <v>2208</v>
      </c>
      <c r="M815" s="93">
        <f t="shared" si="39"/>
        <v>0</v>
      </c>
      <c r="N815" s="2"/>
      <c r="O815" s="97"/>
      <c r="P815" s="52"/>
    </row>
    <row r="816" spans="1:16" ht="40.950000000000003" customHeight="1" x14ac:dyDescent="0.3">
      <c r="A816" s="4">
        <v>201</v>
      </c>
      <c r="B816" s="10" t="s">
        <v>146</v>
      </c>
      <c r="C816" s="10"/>
      <c r="D816" s="10"/>
      <c r="E816" s="10"/>
      <c r="F816" s="10" t="s">
        <v>217</v>
      </c>
      <c r="G816" s="4" t="s">
        <v>9</v>
      </c>
      <c r="H816" s="4" t="s">
        <v>650</v>
      </c>
      <c r="I816" s="4">
        <f t="shared" si="37"/>
        <v>2816</v>
      </c>
      <c r="J816" s="4">
        <v>3036</v>
      </c>
      <c r="K816" s="4">
        <f t="shared" si="38"/>
        <v>0</v>
      </c>
      <c r="L816" s="1">
        <v>3036</v>
      </c>
      <c r="M816" s="93">
        <f t="shared" si="39"/>
        <v>0</v>
      </c>
      <c r="N816" s="2">
        <v>220</v>
      </c>
      <c r="O816" s="97">
        <f>220</f>
        <v>220</v>
      </c>
      <c r="P816" s="52"/>
    </row>
    <row r="817" spans="1:16" ht="40.950000000000003" customHeight="1" x14ac:dyDescent="0.3">
      <c r="A817" s="4">
        <v>201</v>
      </c>
      <c r="B817" s="10" t="s">
        <v>146</v>
      </c>
      <c r="C817" s="10"/>
      <c r="D817" s="10"/>
      <c r="E817" s="10"/>
      <c r="F817" s="10" t="s">
        <v>217</v>
      </c>
      <c r="G817" s="4" t="s">
        <v>11</v>
      </c>
      <c r="H817" s="4" t="s">
        <v>650</v>
      </c>
      <c r="I817" s="4">
        <f t="shared" si="37"/>
        <v>2836</v>
      </c>
      <c r="J817" s="4">
        <v>3036</v>
      </c>
      <c r="K817" s="4">
        <f t="shared" si="38"/>
        <v>0</v>
      </c>
      <c r="L817" s="1">
        <v>3036</v>
      </c>
      <c r="M817" s="93">
        <f t="shared" si="39"/>
        <v>0</v>
      </c>
      <c r="N817" s="2">
        <v>200</v>
      </c>
      <c r="O817" s="97">
        <f>200</f>
        <v>200</v>
      </c>
      <c r="P817" s="52"/>
    </row>
    <row r="818" spans="1:16" ht="40.950000000000003" customHeight="1" x14ac:dyDescent="0.3">
      <c r="A818" s="4">
        <v>201</v>
      </c>
      <c r="B818" s="10" t="s">
        <v>146</v>
      </c>
      <c r="C818" s="10"/>
      <c r="D818" s="10"/>
      <c r="E818" s="10"/>
      <c r="F818" s="10" t="s">
        <v>217</v>
      </c>
      <c r="G818" s="4" t="s">
        <v>22</v>
      </c>
      <c r="H818" s="4" t="s">
        <v>650</v>
      </c>
      <c r="I818" s="4">
        <f t="shared" ref="I818:I881" si="40">J818-O818</f>
        <v>3036</v>
      </c>
      <c r="J818" s="4">
        <v>3036</v>
      </c>
      <c r="K818" s="4">
        <f t="shared" si="38"/>
        <v>0</v>
      </c>
      <c r="L818" s="1">
        <v>3036</v>
      </c>
      <c r="M818" s="93">
        <f t="shared" si="39"/>
        <v>0</v>
      </c>
      <c r="N818" s="2"/>
      <c r="O818" s="97"/>
      <c r="P818" s="52"/>
    </row>
    <row r="819" spans="1:16" ht="40.950000000000003" customHeight="1" x14ac:dyDescent="0.3">
      <c r="A819" s="4">
        <v>201</v>
      </c>
      <c r="B819" s="10" t="s">
        <v>146</v>
      </c>
      <c r="C819" s="10"/>
      <c r="D819" s="10"/>
      <c r="E819" s="10"/>
      <c r="F819" s="10" t="s">
        <v>217</v>
      </c>
      <c r="G819" s="4" t="s">
        <v>48</v>
      </c>
      <c r="H819" s="4" t="s">
        <v>650</v>
      </c>
      <c r="I819" s="4">
        <f t="shared" si="40"/>
        <v>2936</v>
      </c>
      <c r="J819" s="4">
        <v>3036</v>
      </c>
      <c r="K819" s="4">
        <f t="shared" si="38"/>
        <v>0</v>
      </c>
      <c r="L819" s="1">
        <v>3036</v>
      </c>
      <c r="M819" s="93">
        <f t="shared" si="39"/>
        <v>0</v>
      </c>
      <c r="N819" s="2">
        <v>100</v>
      </c>
      <c r="O819" s="97">
        <f>100</f>
        <v>100</v>
      </c>
      <c r="P819" s="52"/>
    </row>
    <row r="820" spans="1:16" ht="40.950000000000003" customHeight="1" x14ac:dyDescent="0.3">
      <c r="A820" s="4">
        <v>201</v>
      </c>
      <c r="B820" s="10" t="s">
        <v>146</v>
      </c>
      <c r="C820" s="10"/>
      <c r="D820" s="10"/>
      <c r="E820" s="10"/>
      <c r="F820" s="10" t="s">
        <v>217</v>
      </c>
      <c r="G820" s="4" t="s">
        <v>49</v>
      </c>
      <c r="H820" s="4" t="s">
        <v>650</v>
      </c>
      <c r="I820" s="4">
        <f t="shared" si="40"/>
        <v>2636</v>
      </c>
      <c r="J820" s="4">
        <v>3036</v>
      </c>
      <c r="K820" s="4">
        <f t="shared" si="38"/>
        <v>0</v>
      </c>
      <c r="L820" s="1">
        <v>3036</v>
      </c>
      <c r="M820" s="93">
        <f t="shared" si="39"/>
        <v>0</v>
      </c>
      <c r="N820" s="2">
        <v>400</v>
      </c>
      <c r="O820" s="97">
        <f>400</f>
        <v>400</v>
      </c>
      <c r="P820" s="52"/>
    </row>
    <row r="821" spans="1:16" ht="40.950000000000003" customHeight="1" x14ac:dyDescent="0.3">
      <c r="A821" s="4">
        <v>201</v>
      </c>
      <c r="B821" s="10" t="s">
        <v>146</v>
      </c>
      <c r="C821" s="10"/>
      <c r="D821" s="10"/>
      <c r="E821" s="10"/>
      <c r="F821" s="10" t="s">
        <v>217</v>
      </c>
      <c r="G821" s="4" t="s">
        <v>50</v>
      </c>
      <c r="H821" s="4" t="s">
        <v>650</v>
      </c>
      <c r="I821" s="4">
        <f t="shared" si="40"/>
        <v>3036</v>
      </c>
      <c r="J821" s="4">
        <v>3036</v>
      </c>
      <c r="K821" s="4">
        <f t="shared" si="38"/>
        <v>0</v>
      </c>
      <c r="L821" s="1">
        <v>3036</v>
      </c>
      <c r="M821" s="93">
        <f t="shared" si="39"/>
        <v>0</v>
      </c>
      <c r="N821" s="2"/>
      <c r="O821" s="97"/>
      <c r="P821" s="52"/>
    </row>
    <row r="822" spans="1:16" ht="40.950000000000003" customHeight="1" x14ac:dyDescent="0.3">
      <c r="A822" s="4">
        <v>201</v>
      </c>
      <c r="B822" s="10" t="s">
        <v>146</v>
      </c>
      <c r="C822" s="10"/>
      <c r="D822" s="10"/>
      <c r="E822" s="10"/>
      <c r="F822" s="10" t="s">
        <v>217</v>
      </c>
      <c r="G822" s="4" t="s">
        <v>51</v>
      </c>
      <c r="H822" s="4" t="s">
        <v>650</v>
      </c>
      <c r="I822" s="4">
        <f t="shared" si="40"/>
        <v>3036</v>
      </c>
      <c r="J822" s="4">
        <v>3036</v>
      </c>
      <c r="K822" s="4">
        <f t="shared" si="38"/>
        <v>0</v>
      </c>
      <c r="L822" s="1">
        <v>3036</v>
      </c>
      <c r="M822" s="93">
        <f t="shared" si="39"/>
        <v>0</v>
      </c>
      <c r="N822" s="2"/>
      <c r="O822" s="97"/>
      <c r="P822" s="52"/>
    </row>
    <row r="823" spans="1:16" ht="40.950000000000003" customHeight="1" x14ac:dyDescent="0.3">
      <c r="A823" s="4">
        <v>201</v>
      </c>
      <c r="B823" s="10" t="s">
        <v>146</v>
      </c>
      <c r="C823" s="10"/>
      <c r="D823" s="10"/>
      <c r="E823" s="10"/>
      <c r="F823" s="10" t="s">
        <v>217</v>
      </c>
      <c r="G823" s="4" t="s">
        <v>85</v>
      </c>
      <c r="H823" s="4" t="s">
        <v>650</v>
      </c>
      <c r="I823" s="4">
        <f t="shared" si="40"/>
        <v>2484</v>
      </c>
      <c r="J823" s="4">
        <v>2484</v>
      </c>
      <c r="K823" s="4">
        <f t="shared" si="38"/>
        <v>0</v>
      </c>
      <c r="L823" s="1">
        <v>2484</v>
      </c>
      <c r="M823" s="93">
        <f t="shared" si="39"/>
        <v>0</v>
      </c>
      <c r="N823" s="2"/>
      <c r="O823" s="97"/>
      <c r="P823" s="52"/>
    </row>
    <row r="824" spans="1:16" ht="40.950000000000003" customHeight="1" x14ac:dyDescent="0.3">
      <c r="A824" s="4">
        <v>201</v>
      </c>
      <c r="B824" s="10" t="s">
        <v>146</v>
      </c>
      <c r="C824" s="10"/>
      <c r="D824" s="10"/>
      <c r="E824" s="10"/>
      <c r="F824" s="10" t="s">
        <v>217</v>
      </c>
      <c r="G824" s="4" t="s">
        <v>64</v>
      </c>
      <c r="H824" s="4" t="s">
        <v>650</v>
      </c>
      <c r="I824" s="4">
        <f t="shared" si="40"/>
        <v>2936</v>
      </c>
      <c r="J824" s="4">
        <v>3036</v>
      </c>
      <c r="K824" s="4">
        <f t="shared" si="38"/>
        <v>0</v>
      </c>
      <c r="L824" s="1">
        <v>3036</v>
      </c>
      <c r="M824" s="93">
        <f t="shared" si="39"/>
        <v>0</v>
      </c>
      <c r="N824" s="2">
        <v>100</v>
      </c>
      <c r="O824" s="97">
        <v>100</v>
      </c>
      <c r="P824" s="52"/>
    </row>
    <row r="825" spans="1:16" ht="40.950000000000003" customHeight="1" x14ac:dyDescent="0.3">
      <c r="A825" s="4">
        <v>201</v>
      </c>
      <c r="B825" s="10" t="s">
        <v>146</v>
      </c>
      <c r="C825" s="10"/>
      <c r="D825" s="10"/>
      <c r="E825" s="10"/>
      <c r="F825" s="10" t="s">
        <v>217</v>
      </c>
      <c r="G825" s="4" t="s">
        <v>122</v>
      </c>
      <c r="H825" s="4" t="s">
        <v>650</v>
      </c>
      <c r="I825" s="4">
        <f t="shared" si="40"/>
        <v>3036</v>
      </c>
      <c r="J825" s="4">
        <v>3036</v>
      </c>
      <c r="K825" s="4">
        <f t="shared" si="38"/>
        <v>0</v>
      </c>
      <c r="L825" s="1">
        <v>3036</v>
      </c>
      <c r="M825" s="93">
        <f t="shared" si="39"/>
        <v>0</v>
      </c>
      <c r="N825" s="2"/>
      <c r="O825" s="97"/>
      <c r="P825" s="52"/>
    </row>
    <row r="826" spans="1:16" ht="40.950000000000003" customHeight="1" x14ac:dyDescent="0.3">
      <c r="A826" s="4">
        <v>201</v>
      </c>
      <c r="B826" s="10" t="s">
        <v>146</v>
      </c>
      <c r="C826" s="10"/>
      <c r="D826" s="10"/>
      <c r="E826" s="10"/>
      <c r="F826" s="10" t="s">
        <v>130</v>
      </c>
      <c r="G826" s="4" t="s">
        <v>7</v>
      </c>
      <c r="H826" s="4"/>
      <c r="I826" s="4">
        <f t="shared" si="40"/>
        <v>28257</v>
      </c>
      <c r="J826" s="4">
        <v>28557</v>
      </c>
      <c r="K826" s="4">
        <f t="shared" si="38"/>
        <v>0</v>
      </c>
      <c r="L826" s="1">
        <v>28557</v>
      </c>
      <c r="M826" s="93">
        <f t="shared" si="39"/>
        <v>0</v>
      </c>
      <c r="N826" s="2">
        <v>300</v>
      </c>
      <c r="O826" s="97">
        <v>300</v>
      </c>
      <c r="P826" s="52"/>
    </row>
    <row r="827" spans="1:16" ht="40.950000000000003" customHeight="1" x14ac:dyDescent="0.3">
      <c r="A827" s="4">
        <v>201</v>
      </c>
      <c r="B827" s="10" t="s">
        <v>146</v>
      </c>
      <c r="C827" s="10"/>
      <c r="D827" s="10"/>
      <c r="E827" s="10"/>
      <c r="F827" s="10" t="s">
        <v>130</v>
      </c>
      <c r="G827" s="4" t="s">
        <v>8</v>
      </c>
      <c r="H827" s="4"/>
      <c r="I827" s="4">
        <f t="shared" si="40"/>
        <v>46265</v>
      </c>
      <c r="J827" s="4">
        <v>47345</v>
      </c>
      <c r="K827" s="4">
        <f t="shared" si="38"/>
        <v>0</v>
      </c>
      <c r="L827" s="1">
        <v>47345</v>
      </c>
      <c r="M827" s="93">
        <f t="shared" si="39"/>
        <v>0</v>
      </c>
      <c r="N827" s="2">
        <v>1080</v>
      </c>
      <c r="O827" s="97">
        <f>600+120+120+240</f>
        <v>1080</v>
      </c>
      <c r="P827" s="52"/>
    </row>
    <row r="828" spans="1:16" ht="40.950000000000003" customHeight="1" x14ac:dyDescent="0.3">
      <c r="A828" s="4">
        <v>201</v>
      </c>
      <c r="B828" s="10" t="s">
        <v>146</v>
      </c>
      <c r="C828" s="10"/>
      <c r="D828" s="10"/>
      <c r="E828" s="10"/>
      <c r="F828" s="10" t="s">
        <v>130</v>
      </c>
      <c r="G828" s="4" t="s">
        <v>9</v>
      </c>
      <c r="H828" s="4"/>
      <c r="I828" s="4">
        <f t="shared" si="40"/>
        <v>27240</v>
      </c>
      <c r="J828" s="4">
        <v>27420</v>
      </c>
      <c r="K828" s="4">
        <f t="shared" si="38"/>
        <v>0</v>
      </c>
      <c r="L828" s="1">
        <v>27420</v>
      </c>
      <c r="M828" s="93">
        <f t="shared" si="39"/>
        <v>0</v>
      </c>
      <c r="N828" s="2">
        <v>180</v>
      </c>
      <c r="O828" s="97">
        <v>180</v>
      </c>
      <c r="P828" s="52"/>
    </row>
    <row r="829" spans="1:16" ht="40.950000000000003" customHeight="1" x14ac:dyDescent="0.3">
      <c r="A829" s="4">
        <v>201</v>
      </c>
      <c r="B829" s="10" t="s">
        <v>146</v>
      </c>
      <c r="C829" s="10"/>
      <c r="D829" s="10"/>
      <c r="E829" s="10"/>
      <c r="F829" s="10" t="s">
        <v>130</v>
      </c>
      <c r="G829" s="4" t="s">
        <v>11</v>
      </c>
      <c r="H829" s="4"/>
      <c r="I829" s="4">
        <f t="shared" si="40"/>
        <v>28040</v>
      </c>
      <c r="J829" s="4">
        <v>28040</v>
      </c>
      <c r="K829" s="4">
        <f t="shared" si="38"/>
        <v>0</v>
      </c>
      <c r="L829" s="1">
        <v>28040</v>
      </c>
      <c r="M829" s="93">
        <f t="shared" si="39"/>
        <v>0</v>
      </c>
      <c r="N829" s="2"/>
      <c r="O829" s="97"/>
      <c r="P829" s="52"/>
    </row>
    <row r="830" spans="1:16" ht="40.950000000000003" customHeight="1" x14ac:dyDescent="0.3">
      <c r="A830" s="4">
        <v>201</v>
      </c>
      <c r="B830" s="10" t="s">
        <v>146</v>
      </c>
      <c r="C830" s="10"/>
      <c r="D830" s="10"/>
      <c r="E830" s="10"/>
      <c r="F830" s="10" t="s">
        <v>130</v>
      </c>
      <c r="G830" s="4" t="s">
        <v>48</v>
      </c>
      <c r="H830" s="4"/>
      <c r="I830" s="4">
        <f t="shared" si="40"/>
        <v>45775</v>
      </c>
      <c r="J830" s="4">
        <v>45775</v>
      </c>
      <c r="K830" s="4">
        <f t="shared" si="38"/>
        <v>0</v>
      </c>
      <c r="L830" s="1">
        <v>45775</v>
      </c>
      <c r="M830" s="93">
        <f t="shared" si="39"/>
        <v>0</v>
      </c>
      <c r="N830" s="2"/>
      <c r="O830" s="97"/>
      <c r="P830" s="52"/>
    </row>
    <row r="831" spans="1:16" ht="40.950000000000003" customHeight="1" x14ac:dyDescent="0.3">
      <c r="A831" s="4">
        <v>201</v>
      </c>
      <c r="B831" s="10" t="s">
        <v>146</v>
      </c>
      <c r="C831" s="10"/>
      <c r="D831" s="10"/>
      <c r="E831" s="10"/>
      <c r="F831" s="10" t="s">
        <v>130</v>
      </c>
      <c r="G831" s="4" t="s">
        <v>49</v>
      </c>
      <c r="H831" s="4"/>
      <c r="I831" s="4">
        <f t="shared" si="40"/>
        <v>37340</v>
      </c>
      <c r="J831" s="4">
        <v>37820</v>
      </c>
      <c r="K831" s="4">
        <f t="shared" si="38"/>
        <v>0</v>
      </c>
      <c r="L831" s="1">
        <v>37820</v>
      </c>
      <c r="M831" s="93">
        <f t="shared" si="39"/>
        <v>0</v>
      </c>
      <c r="N831" s="2">
        <v>480</v>
      </c>
      <c r="O831" s="97">
        <v>480</v>
      </c>
      <c r="P831" s="52"/>
    </row>
    <row r="832" spans="1:16" ht="40.950000000000003" customHeight="1" x14ac:dyDescent="0.3">
      <c r="A832" s="4">
        <v>201</v>
      </c>
      <c r="B832" s="10" t="s">
        <v>146</v>
      </c>
      <c r="C832" s="10"/>
      <c r="D832" s="10"/>
      <c r="E832" s="10"/>
      <c r="F832" s="10" t="s">
        <v>130</v>
      </c>
      <c r="G832" s="4" t="s">
        <v>39</v>
      </c>
      <c r="H832" s="4">
        <v>26</v>
      </c>
      <c r="I832" s="4">
        <f t="shared" si="40"/>
        <v>40735</v>
      </c>
      <c r="J832" s="4">
        <v>44075</v>
      </c>
      <c r="K832" s="4">
        <f t="shared" si="38"/>
        <v>0</v>
      </c>
      <c r="L832" s="1">
        <v>44075</v>
      </c>
      <c r="M832" s="93">
        <f t="shared" si="39"/>
        <v>0</v>
      </c>
      <c r="N832" s="2">
        <v>3340</v>
      </c>
      <c r="O832" s="97">
        <f>360+1600+200+360+700+120</f>
        <v>3340</v>
      </c>
      <c r="P832" s="52"/>
    </row>
    <row r="833" spans="1:16" ht="40.950000000000003" customHeight="1" x14ac:dyDescent="0.3">
      <c r="A833" s="4">
        <v>201</v>
      </c>
      <c r="B833" s="10" t="s">
        <v>146</v>
      </c>
      <c r="C833" s="10"/>
      <c r="D833" s="10"/>
      <c r="E833" s="10"/>
      <c r="F833" s="10" t="s">
        <v>130</v>
      </c>
      <c r="G833" s="4" t="s">
        <v>70</v>
      </c>
      <c r="H833" s="4"/>
      <c r="I833" s="4">
        <f t="shared" si="40"/>
        <v>81850</v>
      </c>
      <c r="J833" s="4">
        <v>81850</v>
      </c>
      <c r="K833" s="4">
        <f t="shared" si="38"/>
        <v>0</v>
      </c>
      <c r="L833" s="1">
        <v>81850</v>
      </c>
      <c r="M833" s="93">
        <f t="shared" si="39"/>
        <v>0</v>
      </c>
      <c r="N833" s="2"/>
      <c r="O833" s="97"/>
      <c r="P833" s="52"/>
    </row>
    <row r="834" spans="1:16" ht="40.950000000000003" customHeight="1" x14ac:dyDescent="0.3">
      <c r="A834" s="4">
        <v>201</v>
      </c>
      <c r="B834" s="10" t="s">
        <v>146</v>
      </c>
      <c r="C834" s="10"/>
      <c r="D834" s="10"/>
      <c r="E834" s="10"/>
      <c r="F834" s="10" t="s">
        <v>130</v>
      </c>
      <c r="G834" s="4" t="s">
        <v>22</v>
      </c>
      <c r="H834" s="4"/>
      <c r="I834" s="4">
        <f t="shared" si="40"/>
        <v>23775</v>
      </c>
      <c r="J834" s="4">
        <v>23775</v>
      </c>
      <c r="K834" s="4">
        <f t="shared" si="38"/>
        <v>0</v>
      </c>
      <c r="L834" s="1">
        <v>23775</v>
      </c>
      <c r="M834" s="93">
        <f t="shared" si="39"/>
        <v>0</v>
      </c>
      <c r="N834" s="2"/>
      <c r="O834" s="97"/>
      <c r="P834" s="52"/>
    </row>
    <row r="835" spans="1:16" ht="40.950000000000003" customHeight="1" x14ac:dyDescent="0.3">
      <c r="A835" s="4">
        <v>201</v>
      </c>
      <c r="B835" s="10" t="s">
        <v>146</v>
      </c>
      <c r="C835" s="10"/>
      <c r="D835" s="10"/>
      <c r="E835" s="10"/>
      <c r="F835" s="10" t="s">
        <v>130</v>
      </c>
      <c r="G835" s="4" t="s">
        <v>128</v>
      </c>
      <c r="H835" s="4"/>
      <c r="I835" s="4">
        <f t="shared" si="40"/>
        <v>49935</v>
      </c>
      <c r="J835" s="4">
        <v>50335</v>
      </c>
      <c r="K835" s="4">
        <f t="shared" si="38"/>
        <v>0</v>
      </c>
      <c r="L835" s="1">
        <v>50335</v>
      </c>
      <c r="M835" s="93">
        <f t="shared" si="39"/>
        <v>0</v>
      </c>
      <c r="N835" s="2">
        <v>400</v>
      </c>
      <c r="O835" s="97">
        <f>120+120+160</f>
        <v>400</v>
      </c>
      <c r="P835" s="52"/>
    </row>
    <row r="836" spans="1:16" ht="40.950000000000003" customHeight="1" x14ac:dyDescent="0.3">
      <c r="A836" s="4">
        <v>201</v>
      </c>
      <c r="B836" s="10" t="s">
        <v>146</v>
      </c>
      <c r="C836" s="10"/>
      <c r="D836" s="10"/>
      <c r="E836" s="10"/>
      <c r="F836" s="10" t="s">
        <v>130</v>
      </c>
      <c r="G836" s="4" t="s">
        <v>50</v>
      </c>
      <c r="H836" s="4"/>
      <c r="I836" s="4">
        <f t="shared" si="40"/>
        <v>33650</v>
      </c>
      <c r="J836" s="4">
        <v>33650</v>
      </c>
      <c r="K836" s="4">
        <f t="shared" si="38"/>
        <v>0</v>
      </c>
      <c r="L836" s="1">
        <v>33650</v>
      </c>
      <c r="M836" s="93">
        <f t="shared" si="39"/>
        <v>0</v>
      </c>
      <c r="N836" s="2"/>
      <c r="O836" s="97"/>
      <c r="P836" s="52"/>
    </row>
    <row r="837" spans="1:16" ht="40.950000000000003" customHeight="1" x14ac:dyDescent="0.3">
      <c r="A837" s="4">
        <v>201</v>
      </c>
      <c r="B837" s="10" t="s">
        <v>146</v>
      </c>
      <c r="C837" s="10"/>
      <c r="D837" s="10"/>
      <c r="E837" s="10"/>
      <c r="F837" s="10" t="s">
        <v>130</v>
      </c>
      <c r="G837" s="4" t="s">
        <v>114</v>
      </c>
      <c r="H837" s="4"/>
      <c r="I837" s="4">
        <f t="shared" si="40"/>
        <v>4145</v>
      </c>
      <c r="J837" s="4">
        <v>4145</v>
      </c>
      <c r="K837" s="4">
        <f t="shared" ref="K837:K900" si="41">L837-J837</f>
        <v>0</v>
      </c>
      <c r="L837" s="1">
        <v>4145</v>
      </c>
      <c r="M837" s="93">
        <f t="shared" si="39"/>
        <v>0</v>
      </c>
      <c r="N837" s="2"/>
      <c r="O837" s="97"/>
      <c r="P837" s="52"/>
    </row>
    <row r="838" spans="1:16" ht="40.950000000000003" customHeight="1" x14ac:dyDescent="0.3">
      <c r="A838" s="4">
        <v>201</v>
      </c>
      <c r="B838" s="10" t="s">
        <v>146</v>
      </c>
      <c r="C838" s="10"/>
      <c r="D838" s="10"/>
      <c r="E838" s="10"/>
      <c r="F838" s="10" t="s">
        <v>130</v>
      </c>
      <c r="G838" s="4" t="s">
        <v>85</v>
      </c>
      <c r="H838" s="4"/>
      <c r="I838" s="4">
        <f t="shared" si="40"/>
        <v>18000</v>
      </c>
      <c r="J838" s="4">
        <v>18300</v>
      </c>
      <c r="K838" s="4">
        <f t="shared" si="41"/>
        <v>0</v>
      </c>
      <c r="L838" s="1">
        <v>18300</v>
      </c>
      <c r="M838" s="93">
        <f t="shared" si="39"/>
        <v>0</v>
      </c>
      <c r="N838" s="2">
        <v>300</v>
      </c>
      <c r="O838" s="97">
        <f>120+180</f>
        <v>300</v>
      </c>
      <c r="P838" s="52"/>
    </row>
    <row r="839" spans="1:16" ht="40.950000000000003" customHeight="1" x14ac:dyDescent="0.3">
      <c r="A839" s="4">
        <v>201</v>
      </c>
      <c r="B839" s="10" t="s">
        <v>146</v>
      </c>
      <c r="C839" s="10"/>
      <c r="D839" s="10"/>
      <c r="E839" s="10"/>
      <c r="F839" s="10" t="s">
        <v>130</v>
      </c>
      <c r="G839" s="4" t="s">
        <v>64</v>
      </c>
      <c r="H839" s="4"/>
      <c r="I839" s="4">
        <f t="shared" si="40"/>
        <v>46820</v>
      </c>
      <c r="J839" s="4">
        <v>46820</v>
      </c>
      <c r="K839" s="4">
        <f t="shared" si="41"/>
        <v>0</v>
      </c>
      <c r="L839" s="1">
        <v>46820</v>
      </c>
      <c r="M839" s="93">
        <f t="shared" si="39"/>
        <v>0</v>
      </c>
      <c r="N839" s="2"/>
      <c r="O839" s="97"/>
      <c r="P839" s="52"/>
    </row>
    <row r="840" spans="1:16" ht="40.950000000000003" customHeight="1" x14ac:dyDescent="0.3">
      <c r="A840" s="4">
        <v>201</v>
      </c>
      <c r="B840" s="10" t="s">
        <v>146</v>
      </c>
      <c r="C840" s="10"/>
      <c r="D840" s="10"/>
      <c r="E840" s="10"/>
      <c r="F840" s="10" t="s">
        <v>130</v>
      </c>
      <c r="G840" s="4" t="s">
        <v>51</v>
      </c>
      <c r="H840" s="4"/>
      <c r="I840" s="4">
        <f t="shared" si="40"/>
        <v>58650</v>
      </c>
      <c r="J840" s="4">
        <v>58650</v>
      </c>
      <c r="K840" s="4">
        <f t="shared" si="41"/>
        <v>0</v>
      </c>
      <c r="L840" s="1">
        <v>58650</v>
      </c>
      <c r="M840" s="93">
        <f t="shared" si="39"/>
        <v>0</v>
      </c>
      <c r="N840" s="2"/>
      <c r="O840" s="97"/>
      <c r="P840" s="52"/>
    </row>
    <row r="841" spans="1:16" ht="40.950000000000003" customHeight="1" x14ac:dyDescent="0.3">
      <c r="A841" s="4">
        <v>201</v>
      </c>
      <c r="B841" s="10" t="s">
        <v>146</v>
      </c>
      <c r="C841" s="10"/>
      <c r="D841" s="10"/>
      <c r="E841" s="10"/>
      <c r="F841" s="10" t="s">
        <v>130</v>
      </c>
      <c r="G841" s="4" t="s">
        <v>90</v>
      </c>
      <c r="H841" s="4"/>
      <c r="I841" s="4">
        <f t="shared" si="40"/>
        <v>40020</v>
      </c>
      <c r="J841" s="4">
        <v>40500</v>
      </c>
      <c r="K841" s="4">
        <f t="shared" si="41"/>
        <v>0</v>
      </c>
      <c r="L841" s="1">
        <v>40500</v>
      </c>
      <c r="M841" s="93">
        <f t="shared" si="39"/>
        <v>0</v>
      </c>
      <c r="N841" s="2">
        <v>480</v>
      </c>
      <c r="O841" s="97">
        <v>480</v>
      </c>
      <c r="P841" s="52"/>
    </row>
    <row r="842" spans="1:16" ht="40.950000000000003" customHeight="1" x14ac:dyDescent="0.3">
      <c r="A842" s="4">
        <v>201</v>
      </c>
      <c r="B842" s="10" t="s">
        <v>146</v>
      </c>
      <c r="C842" s="10"/>
      <c r="D842" s="10"/>
      <c r="E842" s="10"/>
      <c r="F842" s="10" t="s">
        <v>130</v>
      </c>
      <c r="G842" s="4" t="s">
        <v>122</v>
      </c>
      <c r="H842" s="4"/>
      <c r="I842" s="4">
        <f t="shared" si="40"/>
        <v>31695</v>
      </c>
      <c r="J842" s="4">
        <v>31695</v>
      </c>
      <c r="K842" s="4">
        <f t="shared" si="41"/>
        <v>0</v>
      </c>
      <c r="L842" s="1">
        <v>31695</v>
      </c>
      <c r="M842" s="93">
        <f t="shared" si="39"/>
        <v>0</v>
      </c>
      <c r="N842" s="2"/>
      <c r="O842" s="97"/>
      <c r="P842" s="52"/>
    </row>
    <row r="843" spans="1:16" ht="40.950000000000003" customHeight="1" x14ac:dyDescent="0.3">
      <c r="A843" s="4">
        <v>201</v>
      </c>
      <c r="B843" s="10" t="s">
        <v>146</v>
      </c>
      <c r="C843" s="10"/>
      <c r="D843" s="10"/>
      <c r="E843" s="10"/>
      <c r="F843" s="10" t="s">
        <v>130</v>
      </c>
      <c r="G843" s="4" t="s">
        <v>143</v>
      </c>
      <c r="H843" s="4"/>
      <c r="I843" s="4">
        <f t="shared" si="40"/>
        <v>28900</v>
      </c>
      <c r="J843" s="4">
        <v>29300</v>
      </c>
      <c r="K843" s="4">
        <f t="shared" si="41"/>
        <v>0</v>
      </c>
      <c r="L843" s="1">
        <v>29300</v>
      </c>
      <c r="M843" s="93">
        <f t="shared" si="39"/>
        <v>0</v>
      </c>
      <c r="N843" s="2">
        <v>400</v>
      </c>
      <c r="O843" s="97">
        <v>400</v>
      </c>
      <c r="P843" s="52"/>
    </row>
    <row r="844" spans="1:16" ht="40.950000000000003" customHeight="1" x14ac:dyDescent="0.3">
      <c r="A844" s="4">
        <v>201</v>
      </c>
      <c r="B844" s="10" t="s">
        <v>146</v>
      </c>
      <c r="C844" s="10"/>
      <c r="D844" s="10"/>
      <c r="E844" s="10"/>
      <c r="F844" s="10" t="s">
        <v>130</v>
      </c>
      <c r="G844" s="4" t="s">
        <v>200</v>
      </c>
      <c r="H844" s="4"/>
      <c r="I844" s="4">
        <f t="shared" si="40"/>
        <v>350</v>
      </c>
      <c r="J844" s="4">
        <v>350</v>
      </c>
      <c r="K844" s="4">
        <f t="shared" si="41"/>
        <v>0</v>
      </c>
      <c r="L844" s="1">
        <v>350</v>
      </c>
      <c r="M844" s="93">
        <f t="shared" si="39"/>
        <v>0</v>
      </c>
      <c r="N844" s="2"/>
      <c r="O844" s="97"/>
      <c r="P844" s="52"/>
    </row>
    <row r="845" spans="1:16" ht="40.950000000000003" customHeight="1" x14ac:dyDescent="0.3">
      <c r="A845" s="4">
        <v>201</v>
      </c>
      <c r="B845" s="10" t="s">
        <v>146</v>
      </c>
      <c r="C845" s="10"/>
      <c r="D845" s="10"/>
      <c r="E845" s="10"/>
      <c r="F845" s="10" t="s">
        <v>130</v>
      </c>
      <c r="G845" s="4" t="s">
        <v>238</v>
      </c>
      <c r="H845" s="4"/>
      <c r="I845" s="4">
        <f t="shared" si="40"/>
        <v>650</v>
      </c>
      <c r="J845" s="4">
        <v>650</v>
      </c>
      <c r="K845" s="4">
        <f t="shared" si="41"/>
        <v>0</v>
      </c>
      <c r="L845" s="1">
        <v>650</v>
      </c>
      <c r="M845" s="93">
        <f t="shared" si="39"/>
        <v>0</v>
      </c>
      <c r="N845" s="2"/>
      <c r="O845" s="97"/>
      <c r="P845" s="52"/>
    </row>
    <row r="846" spans="1:16" ht="40.950000000000003" customHeight="1" x14ac:dyDescent="0.3">
      <c r="A846" s="4">
        <v>201</v>
      </c>
      <c r="B846" s="10" t="s">
        <v>146</v>
      </c>
      <c r="C846" s="10"/>
      <c r="D846" s="10"/>
      <c r="E846" s="10"/>
      <c r="F846" s="10" t="s">
        <v>130</v>
      </c>
      <c r="G846" s="4" t="s">
        <v>181</v>
      </c>
      <c r="H846" s="4"/>
      <c r="I846" s="4">
        <f t="shared" si="40"/>
        <v>6125</v>
      </c>
      <c r="J846" s="4">
        <v>6125</v>
      </c>
      <c r="K846" s="4">
        <f t="shared" si="41"/>
        <v>0</v>
      </c>
      <c r="L846" s="1">
        <v>6125</v>
      </c>
      <c r="M846" s="93">
        <f t="shared" si="39"/>
        <v>0</v>
      </c>
      <c r="N846" s="2"/>
      <c r="O846" s="97"/>
      <c r="P846" s="52"/>
    </row>
    <row r="847" spans="1:16" ht="40.950000000000003" customHeight="1" x14ac:dyDescent="0.3">
      <c r="A847" s="4">
        <v>202</v>
      </c>
      <c r="B847" s="10" t="s">
        <v>30</v>
      </c>
      <c r="C847" s="10"/>
      <c r="D847" s="10"/>
      <c r="E847" s="10"/>
      <c r="F847" s="10" t="s">
        <v>30</v>
      </c>
      <c r="G847" s="4" t="s">
        <v>7</v>
      </c>
      <c r="H847" s="4">
        <v>62</v>
      </c>
      <c r="I847" s="4">
        <f t="shared" si="40"/>
        <v>117402</v>
      </c>
      <c r="J847" s="4">
        <v>117402</v>
      </c>
      <c r="K847" s="4">
        <f t="shared" si="41"/>
        <v>0</v>
      </c>
      <c r="L847" s="1">
        <v>117402</v>
      </c>
      <c r="M847" s="93">
        <f t="shared" si="39"/>
        <v>0</v>
      </c>
      <c r="N847" s="2"/>
      <c r="O847" s="97"/>
      <c r="P847" s="52"/>
    </row>
    <row r="848" spans="1:16" ht="40.950000000000003" customHeight="1" x14ac:dyDescent="0.3">
      <c r="A848" s="4">
        <v>202</v>
      </c>
      <c r="B848" s="10" t="s">
        <v>30</v>
      </c>
      <c r="C848" s="10"/>
      <c r="D848" s="10"/>
      <c r="E848" s="10"/>
      <c r="F848" s="10" t="s">
        <v>30</v>
      </c>
      <c r="G848" s="4" t="s">
        <v>8</v>
      </c>
      <c r="H848" s="4">
        <v>65</v>
      </c>
      <c r="I848" s="4">
        <f t="shared" si="40"/>
        <v>173305</v>
      </c>
      <c r="J848" s="4">
        <v>173305</v>
      </c>
      <c r="K848" s="4">
        <f t="shared" si="41"/>
        <v>0</v>
      </c>
      <c r="L848" s="1">
        <v>173305</v>
      </c>
      <c r="M848" s="93">
        <f t="shared" si="39"/>
        <v>0</v>
      </c>
      <c r="N848" s="2"/>
      <c r="O848" s="97"/>
      <c r="P848" s="52"/>
    </row>
    <row r="849" spans="1:16" ht="40.950000000000003" customHeight="1" x14ac:dyDescent="0.3">
      <c r="A849" s="4">
        <v>202</v>
      </c>
      <c r="B849" s="10" t="s">
        <v>30</v>
      </c>
      <c r="C849" s="10"/>
      <c r="D849" s="10"/>
      <c r="E849" s="10"/>
      <c r="F849" s="10" t="s">
        <v>30</v>
      </c>
      <c r="G849" s="4" t="s">
        <v>9</v>
      </c>
      <c r="H849" s="4">
        <v>59</v>
      </c>
      <c r="I849" s="4">
        <f t="shared" si="40"/>
        <v>135285</v>
      </c>
      <c r="J849" s="4">
        <v>135285</v>
      </c>
      <c r="K849" s="4">
        <f t="shared" si="41"/>
        <v>0</v>
      </c>
      <c r="L849" s="1">
        <v>135285</v>
      </c>
      <c r="M849" s="93">
        <f t="shared" si="39"/>
        <v>0</v>
      </c>
      <c r="N849" s="2"/>
      <c r="O849" s="97"/>
      <c r="P849" s="52"/>
    </row>
    <row r="850" spans="1:16" ht="40.950000000000003" customHeight="1" x14ac:dyDescent="0.3">
      <c r="A850" s="4">
        <v>202</v>
      </c>
      <c r="B850" s="10" t="s">
        <v>30</v>
      </c>
      <c r="C850" s="10"/>
      <c r="D850" s="10"/>
      <c r="E850" s="10"/>
      <c r="F850" s="10" t="s">
        <v>30</v>
      </c>
      <c r="G850" s="4" t="s">
        <v>11</v>
      </c>
      <c r="H850" s="4">
        <v>63</v>
      </c>
      <c r="I850" s="4">
        <f t="shared" si="40"/>
        <v>180089</v>
      </c>
      <c r="J850" s="4">
        <v>180089</v>
      </c>
      <c r="K850" s="4">
        <f t="shared" si="41"/>
        <v>0</v>
      </c>
      <c r="L850" s="1">
        <v>180089</v>
      </c>
      <c r="M850" s="93">
        <f t="shared" si="39"/>
        <v>0</v>
      </c>
      <c r="N850" s="2"/>
      <c r="O850" s="97"/>
      <c r="P850" s="52"/>
    </row>
    <row r="851" spans="1:16" ht="40.950000000000003" customHeight="1" x14ac:dyDescent="0.3">
      <c r="A851" s="4">
        <v>202</v>
      </c>
      <c r="B851" s="10" t="s">
        <v>30</v>
      </c>
      <c r="C851" s="10"/>
      <c r="D851" s="10"/>
      <c r="E851" s="10"/>
      <c r="F851" s="10" t="s">
        <v>30</v>
      </c>
      <c r="G851" s="4" t="s">
        <v>22</v>
      </c>
      <c r="H851" s="4">
        <v>57</v>
      </c>
      <c r="I851" s="4">
        <f t="shared" si="40"/>
        <v>203040</v>
      </c>
      <c r="J851" s="4">
        <v>203040</v>
      </c>
      <c r="K851" s="4">
        <f t="shared" si="41"/>
        <v>0</v>
      </c>
      <c r="L851" s="1">
        <v>203040</v>
      </c>
      <c r="M851" s="93">
        <f t="shared" si="39"/>
        <v>0</v>
      </c>
      <c r="N851" s="2"/>
      <c r="O851" s="97"/>
      <c r="P851" s="52"/>
    </row>
    <row r="852" spans="1:16" ht="40.950000000000003" customHeight="1" x14ac:dyDescent="0.3">
      <c r="A852" s="4">
        <v>202</v>
      </c>
      <c r="B852" s="10" t="s">
        <v>30</v>
      </c>
      <c r="C852" s="10"/>
      <c r="D852" s="10"/>
      <c r="E852" s="10"/>
      <c r="F852" s="10" t="s">
        <v>30</v>
      </c>
      <c r="G852" s="4" t="s">
        <v>70</v>
      </c>
      <c r="H852" s="4">
        <v>62</v>
      </c>
      <c r="I852" s="4">
        <f t="shared" si="40"/>
        <v>268148</v>
      </c>
      <c r="J852" s="4">
        <v>268148</v>
      </c>
      <c r="K852" s="4">
        <f t="shared" si="41"/>
        <v>0</v>
      </c>
      <c r="L852" s="1">
        <v>268148</v>
      </c>
      <c r="M852" s="93">
        <f t="shared" si="39"/>
        <v>0</v>
      </c>
      <c r="N852" s="2"/>
      <c r="O852" s="97"/>
      <c r="P852" s="52"/>
    </row>
    <row r="853" spans="1:16" ht="40.950000000000003" customHeight="1" x14ac:dyDescent="0.3">
      <c r="A853" s="4">
        <v>202</v>
      </c>
      <c r="B853" s="10" t="s">
        <v>30</v>
      </c>
      <c r="C853" s="10"/>
      <c r="D853" s="10"/>
      <c r="E853" s="10"/>
      <c r="F853" s="10" t="s">
        <v>30</v>
      </c>
      <c r="G853" s="4" t="s">
        <v>90</v>
      </c>
      <c r="H853" s="4">
        <v>59</v>
      </c>
      <c r="I853" s="4">
        <f t="shared" si="40"/>
        <v>211654</v>
      </c>
      <c r="J853" s="4">
        <v>211654</v>
      </c>
      <c r="K853" s="4">
        <f t="shared" si="41"/>
        <v>0</v>
      </c>
      <c r="L853" s="1">
        <v>211654</v>
      </c>
      <c r="M853" s="93">
        <f t="shared" si="39"/>
        <v>0</v>
      </c>
      <c r="N853" s="2"/>
      <c r="O853" s="97"/>
      <c r="P853" s="52"/>
    </row>
    <row r="854" spans="1:16" ht="40.950000000000003" customHeight="1" x14ac:dyDescent="0.3">
      <c r="A854" s="4">
        <v>202</v>
      </c>
      <c r="B854" s="10" t="s">
        <v>30</v>
      </c>
      <c r="C854" s="10"/>
      <c r="D854" s="10"/>
      <c r="E854" s="10"/>
      <c r="F854" s="10" t="s">
        <v>30</v>
      </c>
      <c r="G854" s="4" t="s">
        <v>51</v>
      </c>
      <c r="H854" s="4">
        <v>54</v>
      </c>
      <c r="I854" s="4">
        <f t="shared" si="40"/>
        <v>193067</v>
      </c>
      <c r="J854" s="4">
        <v>193067</v>
      </c>
      <c r="K854" s="4">
        <f t="shared" si="41"/>
        <v>450</v>
      </c>
      <c r="L854" s="1">
        <v>193517</v>
      </c>
      <c r="M854" s="93">
        <f t="shared" si="39"/>
        <v>0</v>
      </c>
      <c r="N854" s="2"/>
      <c r="O854" s="97"/>
      <c r="P854" s="52"/>
    </row>
    <row r="855" spans="1:16" ht="40.950000000000003" customHeight="1" x14ac:dyDescent="0.3">
      <c r="A855" s="4">
        <v>202</v>
      </c>
      <c r="B855" s="10" t="s">
        <v>30</v>
      </c>
      <c r="C855" s="10"/>
      <c r="D855" s="10"/>
      <c r="E855" s="10"/>
      <c r="F855" s="10" t="s">
        <v>30</v>
      </c>
      <c r="G855" s="4" t="s">
        <v>50</v>
      </c>
      <c r="H855" s="4">
        <v>48</v>
      </c>
      <c r="I855" s="4">
        <f t="shared" si="40"/>
        <v>154912</v>
      </c>
      <c r="J855" s="4">
        <v>154912</v>
      </c>
      <c r="K855" s="4">
        <f t="shared" si="41"/>
        <v>0</v>
      </c>
      <c r="L855" s="1">
        <v>154912</v>
      </c>
      <c r="M855" s="93">
        <f t="shared" si="39"/>
        <v>0</v>
      </c>
      <c r="N855" s="2"/>
      <c r="O855" s="97"/>
      <c r="P855" s="52"/>
    </row>
    <row r="856" spans="1:16" ht="40.950000000000003" customHeight="1" x14ac:dyDescent="0.3">
      <c r="A856" s="4">
        <v>202</v>
      </c>
      <c r="B856" s="10" t="s">
        <v>30</v>
      </c>
      <c r="C856" s="10"/>
      <c r="D856" s="10"/>
      <c r="E856" s="10"/>
      <c r="F856" s="10" t="s">
        <v>30</v>
      </c>
      <c r="G856" s="4" t="s">
        <v>39</v>
      </c>
      <c r="H856" s="4">
        <v>59</v>
      </c>
      <c r="I856" s="4">
        <f t="shared" si="40"/>
        <v>279879</v>
      </c>
      <c r="J856" s="4">
        <v>279879</v>
      </c>
      <c r="K856" s="4">
        <f t="shared" si="41"/>
        <v>450</v>
      </c>
      <c r="L856" s="1">
        <v>280329</v>
      </c>
      <c r="M856" s="93">
        <f t="shared" si="39"/>
        <v>0</v>
      </c>
      <c r="N856" s="2"/>
      <c r="O856" s="97"/>
      <c r="P856" s="52"/>
    </row>
    <row r="857" spans="1:16" ht="40.950000000000003" customHeight="1" x14ac:dyDescent="0.3">
      <c r="A857" s="4">
        <v>202</v>
      </c>
      <c r="B857" s="10" t="s">
        <v>30</v>
      </c>
      <c r="C857" s="10"/>
      <c r="D857" s="10"/>
      <c r="E857" s="10"/>
      <c r="F857" s="10" t="s">
        <v>30</v>
      </c>
      <c r="G857" s="4" t="s">
        <v>128</v>
      </c>
      <c r="H857" s="4">
        <v>53</v>
      </c>
      <c r="I857" s="4">
        <f t="shared" si="40"/>
        <v>181035</v>
      </c>
      <c r="J857" s="4">
        <v>181035</v>
      </c>
      <c r="K857" s="4">
        <f t="shared" si="41"/>
        <v>450</v>
      </c>
      <c r="L857" s="1">
        <v>181485</v>
      </c>
      <c r="M857" s="93">
        <f t="shared" si="39"/>
        <v>0</v>
      </c>
      <c r="N857" s="2"/>
      <c r="O857" s="97"/>
      <c r="P857" s="52"/>
    </row>
    <row r="858" spans="1:16" ht="40.950000000000003" customHeight="1" x14ac:dyDescent="0.3">
      <c r="A858" s="4">
        <v>202</v>
      </c>
      <c r="B858" s="10" t="s">
        <v>30</v>
      </c>
      <c r="C858" s="10"/>
      <c r="D858" s="10"/>
      <c r="E858" s="10"/>
      <c r="F858" s="10" t="s">
        <v>30</v>
      </c>
      <c r="G858" s="4" t="s">
        <v>48</v>
      </c>
      <c r="H858" s="4">
        <v>52</v>
      </c>
      <c r="I858" s="4">
        <f t="shared" si="40"/>
        <v>179916</v>
      </c>
      <c r="J858" s="4">
        <v>179916</v>
      </c>
      <c r="K858" s="4">
        <f t="shared" si="41"/>
        <v>0</v>
      </c>
      <c r="L858" s="1">
        <v>179916</v>
      </c>
      <c r="M858" s="93">
        <f t="shared" si="39"/>
        <v>0</v>
      </c>
      <c r="N858" s="2"/>
      <c r="O858" s="97"/>
      <c r="P858" s="52"/>
    </row>
    <row r="859" spans="1:16" ht="40.950000000000003" customHeight="1" x14ac:dyDescent="0.3">
      <c r="A859" s="4">
        <v>202</v>
      </c>
      <c r="B859" s="10" t="s">
        <v>30</v>
      </c>
      <c r="C859" s="10"/>
      <c r="D859" s="10"/>
      <c r="E859" s="10"/>
      <c r="F859" s="10" t="s">
        <v>30</v>
      </c>
      <c r="G859" s="4" t="s">
        <v>49</v>
      </c>
      <c r="H859" s="4">
        <v>52</v>
      </c>
      <c r="I859" s="4">
        <f t="shared" si="40"/>
        <v>163797</v>
      </c>
      <c r="J859" s="4">
        <v>163797</v>
      </c>
      <c r="K859" s="4">
        <f t="shared" si="41"/>
        <v>0</v>
      </c>
      <c r="L859" s="1">
        <v>163797</v>
      </c>
      <c r="M859" s="93">
        <f t="shared" si="39"/>
        <v>0</v>
      </c>
      <c r="N859" s="2"/>
      <c r="O859" s="97"/>
      <c r="P859" s="52"/>
    </row>
    <row r="860" spans="1:16" ht="40.950000000000003" customHeight="1" x14ac:dyDescent="0.3">
      <c r="A860" s="4">
        <v>202</v>
      </c>
      <c r="B860" s="10" t="s">
        <v>30</v>
      </c>
      <c r="C860" s="10"/>
      <c r="D860" s="10"/>
      <c r="E860" s="10"/>
      <c r="F860" s="10" t="s">
        <v>30</v>
      </c>
      <c r="G860" s="4" t="s">
        <v>114</v>
      </c>
      <c r="H860" s="4">
        <v>52</v>
      </c>
      <c r="I860" s="4">
        <f t="shared" si="40"/>
        <v>139194</v>
      </c>
      <c r="J860" s="4">
        <v>139194</v>
      </c>
      <c r="K860" s="4">
        <f t="shared" si="41"/>
        <v>450</v>
      </c>
      <c r="L860" s="1">
        <v>139644</v>
      </c>
      <c r="M860" s="93">
        <f t="shared" si="39"/>
        <v>0</v>
      </c>
      <c r="N860" s="2"/>
      <c r="O860" s="97"/>
      <c r="P860" s="52"/>
    </row>
    <row r="861" spans="1:16" ht="40.950000000000003" customHeight="1" x14ac:dyDescent="0.3">
      <c r="A861" s="4">
        <v>202</v>
      </c>
      <c r="B861" s="10" t="s">
        <v>30</v>
      </c>
      <c r="C861" s="10"/>
      <c r="D861" s="10"/>
      <c r="E861" s="10"/>
      <c r="F861" s="10" t="s">
        <v>30</v>
      </c>
      <c r="G861" s="4" t="s">
        <v>64</v>
      </c>
      <c r="H861" s="4">
        <v>55</v>
      </c>
      <c r="I861" s="4">
        <f t="shared" si="40"/>
        <v>172240</v>
      </c>
      <c r="J861" s="4">
        <v>172240</v>
      </c>
      <c r="K861" s="4">
        <f t="shared" si="41"/>
        <v>450</v>
      </c>
      <c r="L861" s="1">
        <v>172690</v>
      </c>
      <c r="M861" s="93">
        <f t="shared" si="39"/>
        <v>0</v>
      </c>
      <c r="N861" s="2"/>
      <c r="O861" s="97"/>
      <c r="P861" s="52"/>
    </row>
    <row r="862" spans="1:16" ht="40.950000000000003" customHeight="1" x14ac:dyDescent="0.3">
      <c r="A862" s="4">
        <v>202</v>
      </c>
      <c r="B862" s="10" t="s">
        <v>30</v>
      </c>
      <c r="C862" s="10"/>
      <c r="D862" s="10"/>
      <c r="E862" s="10"/>
      <c r="F862" s="10" t="s">
        <v>30</v>
      </c>
      <c r="G862" s="4" t="s">
        <v>122</v>
      </c>
      <c r="H862" s="4">
        <v>50</v>
      </c>
      <c r="I862" s="4">
        <f t="shared" si="40"/>
        <v>158618</v>
      </c>
      <c r="J862" s="4">
        <v>158618</v>
      </c>
      <c r="K862" s="4">
        <f t="shared" si="41"/>
        <v>450</v>
      </c>
      <c r="L862" s="1">
        <v>159068</v>
      </c>
      <c r="M862" s="93">
        <f t="shared" si="39"/>
        <v>0</v>
      </c>
      <c r="N862" s="2"/>
      <c r="O862" s="97"/>
      <c r="P862" s="52"/>
    </row>
    <row r="863" spans="1:16" ht="40.950000000000003" customHeight="1" x14ac:dyDescent="0.3">
      <c r="A863" s="4">
        <v>202</v>
      </c>
      <c r="B863" s="10" t="s">
        <v>30</v>
      </c>
      <c r="C863" s="10"/>
      <c r="D863" s="10"/>
      <c r="E863" s="10"/>
      <c r="F863" s="10" t="s">
        <v>30</v>
      </c>
      <c r="G863" s="4" t="s">
        <v>85</v>
      </c>
      <c r="H863" s="4">
        <v>55</v>
      </c>
      <c r="I863" s="4">
        <f t="shared" si="40"/>
        <v>138365</v>
      </c>
      <c r="J863" s="4">
        <v>138365</v>
      </c>
      <c r="K863" s="4">
        <f t="shared" si="41"/>
        <v>450</v>
      </c>
      <c r="L863" s="1">
        <v>138815</v>
      </c>
      <c r="M863" s="93">
        <f t="shared" si="39"/>
        <v>0</v>
      </c>
      <c r="N863" s="2"/>
      <c r="O863" s="97"/>
      <c r="P863" s="52"/>
    </row>
    <row r="864" spans="1:16" ht="40.950000000000003" customHeight="1" x14ac:dyDescent="0.3">
      <c r="A864" s="4">
        <v>202</v>
      </c>
      <c r="B864" s="10" t="s">
        <v>30</v>
      </c>
      <c r="C864" s="10"/>
      <c r="D864" s="10"/>
      <c r="E864" s="10"/>
      <c r="F864" s="10" t="s">
        <v>30</v>
      </c>
      <c r="G864" s="4" t="s">
        <v>143</v>
      </c>
      <c r="H864" s="4">
        <v>55</v>
      </c>
      <c r="I864" s="4">
        <f t="shared" si="40"/>
        <v>229704</v>
      </c>
      <c r="J864" s="4">
        <v>229704</v>
      </c>
      <c r="K864" s="4">
        <f t="shared" si="41"/>
        <v>450</v>
      </c>
      <c r="L864" s="1">
        <v>230154</v>
      </c>
      <c r="M864" s="93">
        <f t="shared" si="39"/>
        <v>0</v>
      </c>
      <c r="N864" s="2"/>
      <c r="O864" s="97"/>
      <c r="P864" s="52"/>
    </row>
    <row r="865" spans="1:16" ht="40.950000000000003" customHeight="1" x14ac:dyDescent="0.3">
      <c r="A865" s="4">
        <v>202</v>
      </c>
      <c r="B865" s="10" t="s">
        <v>30</v>
      </c>
      <c r="C865" s="10"/>
      <c r="D865" s="10"/>
      <c r="E865" s="10"/>
      <c r="F865" s="10" t="s">
        <v>30</v>
      </c>
      <c r="G865" s="4" t="s">
        <v>238</v>
      </c>
      <c r="H865" s="4">
        <v>12</v>
      </c>
      <c r="I865" s="4">
        <f t="shared" si="40"/>
        <v>10000</v>
      </c>
      <c r="J865" s="4">
        <v>10000</v>
      </c>
      <c r="K865" s="4">
        <f t="shared" si="41"/>
        <v>0</v>
      </c>
      <c r="L865" s="1">
        <v>10000</v>
      </c>
      <c r="M865" s="93">
        <f t="shared" si="39"/>
        <v>0</v>
      </c>
      <c r="N865" s="2"/>
      <c r="O865" s="97"/>
      <c r="P865" s="52"/>
    </row>
    <row r="866" spans="1:16" ht="40.950000000000003" customHeight="1" x14ac:dyDescent="0.3">
      <c r="A866" s="4">
        <v>202</v>
      </c>
      <c r="B866" s="10" t="s">
        <v>30</v>
      </c>
      <c r="C866" s="10"/>
      <c r="D866" s="10"/>
      <c r="E866" s="10"/>
      <c r="F866" s="10" t="s">
        <v>30</v>
      </c>
      <c r="G866" s="4" t="s">
        <v>169</v>
      </c>
      <c r="H866" s="4">
        <v>48</v>
      </c>
      <c r="I866" s="4">
        <f t="shared" si="40"/>
        <v>186764</v>
      </c>
      <c r="J866" s="4">
        <v>186764</v>
      </c>
      <c r="K866" s="4">
        <f t="shared" si="41"/>
        <v>0</v>
      </c>
      <c r="L866" s="1">
        <v>186764</v>
      </c>
      <c r="M866" s="93">
        <f t="shared" si="39"/>
        <v>0</v>
      </c>
      <c r="N866" s="2"/>
      <c r="O866" s="97"/>
      <c r="P866" s="52"/>
    </row>
    <row r="867" spans="1:16" ht="40.950000000000003" customHeight="1" x14ac:dyDescent="0.3">
      <c r="A867" s="4">
        <v>202</v>
      </c>
      <c r="B867" s="10" t="s">
        <v>30</v>
      </c>
      <c r="C867" s="10"/>
      <c r="D867" s="10"/>
      <c r="E867" s="10"/>
      <c r="F867" s="10" t="s">
        <v>30</v>
      </c>
      <c r="G867" s="4" t="s">
        <v>200</v>
      </c>
      <c r="H867" s="4">
        <v>36</v>
      </c>
      <c r="I867" s="4">
        <f t="shared" si="40"/>
        <v>48295</v>
      </c>
      <c r="J867" s="4">
        <v>48295</v>
      </c>
      <c r="K867" s="4">
        <f t="shared" si="41"/>
        <v>0</v>
      </c>
      <c r="L867" s="1">
        <v>48295</v>
      </c>
      <c r="M867" s="93">
        <f t="shared" si="39"/>
        <v>0</v>
      </c>
      <c r="N867" s="2"/>
      <c r="O867" s="97"/>
      <c r="P867" s="52"/>
    </row>
    <row r="868" spans="1:16" ht="40.950000000000003" customHeight="1" x14ac:dyDescent="0.3">
      <c r="A868" s="4">
        <v>202</v>
      </c>
      <c r="B868" s="10" t="s">
        <v>30</v>
      </c>
      <c r="C868" s="10"/>
      <c r="D868" s="10"/>
      <c r="E868" s="10"/>
      <c r="F868" s="10" t="s">
        <v>30</v>
      </c>
      <c r="G868" s="4" t="s">
        <v>198</v>
      </c>
      <c r="H868" s="4">
        <v>30</v>
      </c>
      <c r="I868" s="4">
        <f t="shared" si="40"/>
        <v>37420</v>
      </c>
      <c r="J868" s="4">
        <v>37420</v>
      </c>
      <c r="K868" s="4">
        <f t="shared" si="41"/>
        <v>0</v>
      </c>
      <c r="L868" s="1">
        <v>37420</v>
      </c>
      <c r="M868" s="93">
        <f t="shared" si="39"/>
        <v>0</v>
      </c>
      <c r="N868" s="2"/>
      <c r="O868" s="97"/>
      <c r="P868" s="52"/>
    </row>
    <row r="869" spans="1:16" ht="40.950000000000003" customHeight="1" x14ac:dyDescent="0.3">
      <c r="A869" s="4">
        <v>202</v>
      </c>
      <c r="B869" s="10" t="s">
        <v>30</v>
      </c>
      <c r="C869" s="10"/>
      <c r="D869" s="10"/>
      <c r="E869" s="10"/>
      <c r="F869" s="10" t="s">
        <v>30</v>
      </c>
      <c r="G869" s="4" t="s">
        <v>199</v>
      </c>
      <c r="H869" s="4">
        <v>16</v>
      </c>
      <c r="I869" s="4">
        <f t="shared" si="40"/>
        <v>10800</v>
      </c>
      <c r="J869" s="4">
        <v>10800</v>
      </c>
      <c r="K869" s="4">
        <f t="shared" si="41"/>
        <v>0</v>
      </c>
      <c r="L869" s="1">
        <v>10800</v>
      </c>
      <c r="M869" s="93">
        <f t="shared" si="39"/>
        <v>0</v>
      </c>
      <c r="N869" s="2"/>
      <c r="O869" s="97"/>
      <c r="P869" s="52"/>
    </row>
    <row r="870" spans="1:16" ht="40.950000000000003" customHeight="1" x14ac:dyDescent="0.3">
      <c r="A870" s="4">
        <v>202</v>
      </c>
      <c r="B870" s="10" t="s">
        <v>30</v>
      </c>
      <c r="C870" s="10"/>
      <c r="D870" s="10"/>
      <c r="E870" s="10"/>
      <c r="F870" s="10" t="s">
        <v>30</v>
      </c>
      <c r="G870" s="4" t="s">
        <v>391</v>
      </c>
      <c r="H870" s="4">
        <v>16</v>
      </c>
      <c r="I870" s="4">
        <f t="shared" si="40"/>
        <v>8925</v>
      </c>
      <c r="J870" s="4">
        <v>8925</v>
      </c>
      <c r="K870" s="4">
        <f t="shared" si="41"/>
        <v>0</v>
      </c>
      <c r="L870" s="1">
        <v>8925</v>
      </c>
      <c r="M870" s="93">
        <f t="shared" si="39"/>
        <v>0</v>
      </c>
      <c r="N870" s="2"/>
      <c r="O870" s="97"/>
      <c r="P870" s="52"/>
    </row>
    <row r="871" spans="1:16" ht="40.950000000000003" customHeight="1" x14ac:dyDescent="0.3">
      <c r="A871" s="4">
        <v>202</v>
      </c>
      <c r="B871" s="10" t="s">
        <v>30</v>
      </c>
      <c r="C871" s="10"/>
      <c r="D871" s="10"/>
      <c r="E871" s="10"/>
      <c r="F871" s="10" t="s">
        <v>30</v>
      </c>
      <c r="G871" s="4" t="s">
        <v>368</v>
      </c>
      <c r="H871" s="4">
        <v>16</v>
      </c>
      <c r="I871" s="4">
        <f t="shared" si="40"/>
        <v>9895</v>
      </c>
      <c r="J871" s="4">
        <v>9895</v>
      </c>
      <c r="K871" s="4">
        <f t="shared" si="41"/>
        <v>0</v>
      </c>
      <c r="L871" s="1">
        <v>9895</v>
      </c>
      <c r="M871" s="93">
        <f t="shared" si="39"/>
        <v>0</v>
      </c>
      <c r="N871" s="2"/>
      <c r="O871" s="97"/>
      <c r="P871" s="52"/>
    </row>
    <row r="872" spans="1:16" ht="40.950000000000003" customHeight="1" x14ac:dyDescent="0.3">
      <c r="A872" s="4">
        <v>202</v>
      </c>
      <c r="B872" s="10" t="s">
        <v>30</v>
      </c>
      <c r="C872" s="10"/>
      <c r="D872" s="10"/>
      <c r="E872" s="10"/>
      <c r="F872" s="10" t="s">
        <v>30</v>
      </c>
      <c r="G872" s="4" t="s">
        <v>381</v>
      </c>
      <c r="H872" s="4">
        <v>10</v>
      </c>
      <c r="I872" s="4">
        <f t="shared" si="40"/>
        <v>2700</v>
      </c>
      <c r="J872" s="4">
        <v>2700</v>
      </c>
      <c r="K872" s="4">
        <f t="shared" si="41"/>
        <v>0</v>
      </c>
      <c r="L872" s="1">
        <v>2700</v>
      </c>
      <c r="M872" s="93">
        <f t="shared" si="39"/>
        <v>0</v>
      </c>
      <c r="N872" s="2"/>
      <c r="O872" s="97"/>
      <c r="P872" s="52"/>
    </row>
    <row r="873" spans="1:16" ht="40.950000000000003" customHeight="1" x14ac:dyDescent="0.3">
      <c r="A873" s="4">
        <v>202</v>
      </c>
      <c r="B873" s="10" t="s">
        <v>30</v>
      </c>
      <c r="C873" s="10"/>
      <c r="D873" s="10"/>
      <c r="E873" s="10"/>
      <c r="F873" s="10" t="s">
        <v>30</v>
      </c>
      <c r="G873" s="10" t="s">
        <v>78</v>
      </c>
      <c r="H873" s="10">
        <v>16</v>
      </c>
      <c r="I873" s="4">
        <f t="shared" si="40"/>
        <v>20364</v>
      </c>
      <c r="J873" s="4">
        <v>20364</v>
      </c>
      <c r="K873" s="4">
        <f t="shared" si="41"/>
        <v>0</v>
      </c>
      <c r="L873" s="1">
        <v>20364</v>
      </c>
      <c r="M873" s="93">
        <f t="shared" si="39"/>
        <v>0</v>
      </c>
      <c r="N873" s="2"/>
      <c r="O873" s="97"/>
      <c r="P873" s="52"/>
    </row>
    <row r="874" spans="1:16" ht="40.950000000000003" customHeight="1" x14ac:dyDescent="0.3">
      <c r="A874" s="4">
        <v>202</v>
      </c>
      <c r="B874" s="10" t="s">
        <v>30</v>
      </c>
      <c r="C874" s="10"/>
      <c r="D874" s="10"/>
      <c r="E874" s="10"/>
      <c r="F874" s="10" t="s">
        <v>30</v>
      </c>
      <c r="G874" s="10" t="s">
        <v>451</v>
      </c>
      <c r="H874" s="10">
        <v>13</v>
      </c>
      <c r="I874" s="4">
        <f t="shared" si="40"/>
        <v>38110</v>
      </c>
      <c r="J874" s="4">
        <v>38110</v>
      </c>
      <c r="K874" s="4">
        <f t="shared" si="41"/>
        <v>0</v>
      </c>
      <c r="L874" s="1">
        <v>38110</v>
      </c>
      <c r="M874" s="93">
        <f t="shared" si="39"/>
        <v>0</v>
      </c>
      <c r="N874" s="2"/>
      <c r="O874" s="97"/>
      <c r="P874" s="52"/>
    </row>
    <row r="875" spans="1:16" ht="40.950000000000003" customHeight="1" x14ac:dyDescent="0.3">
      <c r="A875" s="4">
        <v>202</v>
      </c>
      <c r="B875" s="10" t="s">
        <v>30</v>
      </c>
      <c r="C875" s="10"/>
      <c r="D875" s="10"/>
      <c r="E875" s="10"/>
      <c r="F875" s="10" t="s">
        <v>30</v>
      </c>
      <c r="G875" s="10" t="s">
        <v>411</v>
      </c>
      <c r="H875" s="10"/>
      <c r="I875" s="4">
        <f t="shared" si="40"/>
        <v>4440</v>
      </c>
      <c r="J875" s="4">
        <v>4440</v>
      </c>
      <c r="K875" s="4">
        <f t="shared" si="41"/>
        <v>0</v>
      </c>
      <c r="L875" s="1">
        <v>4440</v>
      </c>
      <c r="M875" s="93">
        <f t="shared" si="39"/>
        <v>0</v>
      </c>
      <c r="N875" s="2"/>
      <c r="O875" s="97"/>
      <c r="P875" s="52"/>
    </row>
    <row r="876" spans="1:16" ht="40.950000000000003" customHeight="1" x14ac:dyDescent="0.3">
      <c r="A876" s="4">
        <v>202</v>
      </c>
      <c r="B876" s="10" t="s">
        <v>30</v>
      </c>
      <c r="C876" s="10"/>
      <c r="D876" s="10"/>
      <c r="E876" s="10"/>
      <c r="F876" s="10" t="s">
        <v>30</v>
      </c>
      <c r="G876" s="4" t="s">
        <v>14</v>
      </c>
      <c r="H876" s="4">
        <v>76</v>
      </c>
      <c r="I876" s="4">
        <f t="shared" si="40"/>
        <v>365849</v>
      </c>
      <c r="J876" s="4">
        <v>365849</v>
      </c>
      <c r="K876" s="4">
        <f t="shared" si="41"/>
        <v>7914</v>
      </c>
      <c r="L876" s="1">
        <v>373763</v>
      </c>
      <c r="M876" s="93">
        <f t="shared" si="39"/>
        <v>0</v>
      </c>
      <c r="N876" s="2"/>
      <c r="O876" s="97"/>
      <c r="P876" s="52"/>
    </row>
    <row r="877" spans="1:16" ht="40.950000000000003" customHeight="1" x14ac:dyDescent="0.3">
      <c r="A877" s="4">
        <v>202</v>
      </c>
      <c r="B877" s="10" t="s">
        <v>37</v>
      </c>
      <c r="C877" s="10"/>
      <c r="D877" s="10"/>
      <c r="E877" s="10"/>
      <c r="F877" s="10" t="s">
        <v>37</v>
      </c>
      <c r="G877" s="4" t="s">
        <v>7</v>
      </c>
      <c r="H877" s="4"/>
      <c r="I877" s="4">
        <f t="shared" si="40"/>
        <v>11000</v>
      </c>
      <c r="J877" s="4">
        <v>11000</v>
      </c>
      <c r="K877" s="4">
        <f t="shared" si="41"/>
        <v>0</v>
      </c>
      <c r="L877" s="1">
        <v>11000</v>
      </c>
      <c r="M877" s="93">
        <f t="shared" ref="M877:M940" si="42">O877-N877</f>
        <v>0</v>
      </c>
      <c r="N877" s="2">
        <v>0</v>
      </c>
      <c r="O877" s="97">
        <v>0</v>
      </c>
      <c r="P877" s="52"/>
    </row>
    <row r="878" spans="1:16" ht="40.950000000000003" customHeight="1" x14ac:dyDescent="0.3">
      <c r="A878" s="4">
        <v>202</v>
      </c>
      <c r="B878" s="10" t="s">
        <v>37</v>
      </c>
      <c r="C878" s="10"/>
      <c r="D878" s="10"/>
      <c r="E878" s="10"/>
      <c r="F878" s="10" t="s">
        <v>37</v>
      </c>
      <c r="G878" s="4" t="s">
        <v>8</v>
      </c>
      <c r="H878" s="4"/>
      <c r="I878" s="4">
        <f t="shared" si="40"/>
        <v>16200</v>
      </c>
      <c r="J878" s="4">
        <v>16200</v>
      </c>
      <c r="K878" s="4">
        <f t="shared" si="41"/>
        <v>0</v>
      </c>
      <c r="L878" s="1">
        <v>16200</v>
      </c>
      <c r="M878" s="93">
        <f t="shared" si="42"/>
        <v>0</v>
      </c>
      <c r="N878" s="2">
        <v>0</v>
      </c>
      <c r="O878" s="97">
        <v>0</v>
      </c>
      <c r="P878" s="52"/>
    </row>
    <row r="879" spans="1:16" ht="40.950000000000003" customHeight="1" x14ac:dyDescent="0.3">
      <c r="A879" s="4">
        <v>202</v>
      </c>
      <c r="B879" s="10" t="s">
        <v>37</v>
      </c>
      <c r="C879" s="10"/>
      <c r="D879" s="10"/>
      <c r="E879" s="10"/>
      <c r="F879" s="10" t="s">
        <v>37</v>
      </c>
      <c r="G879" s="4" t="s">
        <v>70</v>
      </c>
      <c r="H879" s="4"/>
      <c r="I879" s="4">
        <f t="shared" si="40"/>
        <v>14400</v>
      </c>
      <c r="J879" s="4">
        <v>14400</v>
      </c>
      <c r="K879" s="4">
        <f t="shared" si="41"/>
        <v>0</v>
      </c>
      <c r="L879" s="1">
        <v>14400</v>
      </c>
      <c r="M879" s="93">
        <f t="shared" si="42"/>
        <v>0</v>
      </c>
      <c r="N879" s="2"/>
      <c r="O879" s="97"/>
      <c r="P879" s="52"/>
    </row>
    <row r="880" spans="1:16" ht="40.950000000000003" customHeight="1" x14ac:dyDescent="0.3">
      <c r="A880" s="4">
        <v>202</v>
      </c>
      <c r="B880" s="10" t="s">
        <v>37</v>
      </c>
      <c r="C880" s="10"/>
      <c r="D880" s="10"/>
      <c r="E880" s="10"/>
      <c r="F880" s="10" t="s">
        <v>37</v>
      </c>
      <c r="G880" s="4" t="s">
        <v>90</v>
      </c>
      <c r="H880" s="4"/>
      <c r="I880" s="4">
        <f t="shared" si="40"/>
        <v>16800</v>
      </c>
      <c r="J880" s="4">
        <v>16800</v>
      </c>
      <c r="K880" s="4">
        <f t="shared" si="41"/>
        <v>0</v>
      </c>
      <c r="L880" s="1">
        <v>16800</v>
      </c>
      <c r="M880" s="93">
        <f t="shared" si="42"/>
        <v>0</v>
      </c>
      <c r="N880" s="2"/>
      <c r="O880" s="97"/>
      <c r="P880" s="52"/>
    </row>
    <row r="881" spans="1:16" ht="40.950000000000003" customHeight="1" x14ac:dyDescent="0.3">
      <c r="A881" s="4">
        <v>202</v>
      </c>
      <c r="B881" s="10" t="s">
        <v>37</v>
      </c>
      <c r="C881" s="10"/>
      <c r="D881" s="10"/>
      <c r="E881" s="10"/>
      <c r="F881" s="10" t="s">
        <v>37</v>
      </c>
      <c r="G881" s="4" t="s">
        <v>48</v>
      </c>
      <c r="H881" s="4"/>
      <c r="I881" s="4">
        <f t="shared" si="40"/>
        <v>13000</v>
      </c>
      <c r="J881" s="4">
        <v>13000</v>
      </c>
      <c r="K881" s="4">
        <f t="shared" si="41"/>
        <v>0</v>
      </c>
      <c r="L881" s="1">
        <v>13000</v>
      </c>
      <c r="M881" s="93">
        <f t="shared" si="42"/>
        <v>0</v>
      </c>
      <c r="N881" s="2"/>
      <c r="O881" s="97"/>
      <c r="P881" s="52"/>
    </row>
    <row r="882" spans="1:16" ht="40.950000000000003" customHeight="1" x14ac:dyDescent="0.3">
      <c r="A882" s="4">
        <v>202</v>
      </c>
      <c r="B882" s="10" t="s">
        <v>37</v>
      </c>
      <c r="C882" s="10"/>
      <c r="D882" s="10"/>
      <c r="E882" s="10"/>
      <c r="F882" s="10" t="s">
        <v>37</v>
      </c>
      <c r="G882" s="4" t="s">
        <v>9</v>
      </c>
      <c r="H882" s="4"/>
      <c r="I882" s="4">
        <f t="shared" ref="I882:I946" si="43">J882-O882</f>
        <v>15600</v>
      </c>
      <c r="J882" s="4">
        <v>15600</v>
      </c>
      <c r="K882" s="4">
        <f t="shared" si="41"/>
        <v>0</v>
      </c>
      <c r="L882" s="1">
        <v>15600</v>
      </c>
      <c r="M882" s="93">
        <f t="shared" si="42"/>
        <v>0</v>
      </c>
      <c r="N882" s="2">
        <v>0</v>
      </c>
      <c r="O882" s="97">
        <v>0</v>
      </c>
      <c r="P882" s="52"/>
    </row>
    <row r="883" spans="1:16" ht="40.950000000000003" customHeight="1" x14ac:dyDescent="0.3">
      <c r="A883" s="4">
        <v>202</v>
      </c>
      <c r="B883" s="10" t="s">
        <v>37</v>
      </c>
      <c r="C883" s="10"/>
      <c r="D883" s="10"/>
      <c r="E883" s="10"/>
      <c r="F883" s="10" t="s">
        <v>37</v>
      </c>
      <c r="G883" s="4" t="s">
        <v>49</v>
      </c>
      <c r="H883" s="4"/>
      <c r="I883" s="4">
        <f t="shared" si="43"/>
        <v>11000</v>
      </c>
      <c r="J883" s="4">
        <v>11000</v>
      </c>
      <c r="K883" s="4">
        <f t="shared" si="41"/>
        <v>0</v>
      </c>
      <c r="L883" s="1">
        <v>11000</v>
      </c>
      <c r="M883" s="93">
        <f t="shared" si="42"/>
        <v>0</v>
      </c>
      <c r="N883" s="2">
        <v>0</v>
      </c>
      <c r="O883" s="97">
        <v>0</v>
      </c>
      <c r="P883" s="52"/>
    </row>
    <row r="884" spans="1:16" ht="40.950000000000003" customHeight="1" x14ac:dyDescent="0.3">
      <c r="A884" s="4">
        <v>202</v>
      </c>
      <c r="B884" s="10" t="s">
        <v>37</v>
      </c>
      <c r="C884" s="10"/>
      <c r="D884" s="10"/>
      <c r="E884" s="10"/>
      <c r="F884" s="10" t="s">
        <v>37</v>
      </c>
      <c r="G884" s="4" t="s">
        <v>174</v>
      </c>
      <c r="H884" s="4"/>
      <c r="I884" s="4">
        <f t="shared" si="43"/>
        <v>13600</v>
      </c>
      <c r="J884" s="4">
        <v>13600</v>
      </c>
      <c r="K884" s="4">
        <f t="shared" si="41"/>
        <v>0</v>
      </c>
      <c r="L884" s="1">
        <v>13600</v>
      </c>
      <c r="M884" s="93">
        <f t="shared" si="42"/>
        <v>0</v>
      </c>
      <c r="N884" s="2">
        <v>0</v>
      </c>
      <c r="O884" s="97">
        <v>0</v>
      </c>
      <c r="P884" s="52"/>
    </row>
    <row r="885" spans="1:16" ht="40.950000000000003" customHeight="1" x14ac:dyDescent="0.3">
      <c r="A885" s="4">
        <v>202</v>
      </c>
      <c r="B885" s="10" t="s">
        <v>37</v>
      </c>
      <c r="C885" s="10"/>
      <c r="D885" s="10"/>
      <c r="E885" s="10"/>
      <c r="F885" s="10" t="s">
        <v>37</v>
      </c>
      <c r="G885" s="4" t="s">
        <v>11</v>
      </c>
      <c r="H885" s="4"/>
      <c r="I885" s="4">
        <f t="shared" si="43"/>
        <v>15600</v>
      </c>
      <c r="J885" s="4">
        <v>15600</v>
      </c>
      <c r="K885" s="4">
        <f t="shared" si="41"/>
        <v>0</v>
      </c>
      <c r="L885" s="1">
        <v>15600</v>
      </c>
      <c r="M885" s="93">
        <f t="shared" si="42"/>
        <v>0</v>
      </c>
      <c r="N885" s="2">
        <v>0</v>
      </c>
      <c r="O885" s="97">
        <v>0</v>
      </c>
      <c r="P885" s="52"/>
    </row>
    <row r="886" spans="1:16" ht="40.950000000000003" customHeight="1" x14ac:dyDescent="0.3">
      <c r="A886" s="4">
        <v>202</v>
      </c>
      <c r="B886" s="10" t="s">
        <v>37</v>
      </c>
      <c r="C886" s="10"/>
      <c r="D886" s="10"/>
      <c r="E886" s="10"/>
      <c r="F886" s="10" t="s">
        <v>37</v>
      </c>
      <c r="G886" s="4" t="s">
        <v>22</v>
      </c>
      <c r="H886" s="4"/>
      <c r="I886" s="4">
        <f t="shared" si="43"/>
        <v>16800</v>
      </c>
      <c r="J886" s="4">
        <v>16800</v>
      </c>
      <c r="K886" s="4">
        <f t="shared" si="41"/>
        <v>0</v>
      </c>
      <c r="L886" s="1">
        <v>16800</v>
      </c>
      <c r="M886" s="93">
        <f t="shared" si="42"/>
        <v>0</v>
      </c>
      <c r="N886" s="2">
        <v>0</v>
      </c>
      <c r="O886" s="97">
        <v>0</v>
      </c>
      <c r="P886" s="52"/>
    </row>
    <row r="887" spans="1:16" ht="40.950000000000003" customHeight="1" x14ac:dyDescent="0.3">
      <c r="A887" s="4">
        <v>202</v>
      </c>
      <c r="B887" s="10" t="s">
        <v>37</v>
      </c>
      <c r="C887" s="10"/>
      <c r="D887" s="10"/>
      <c r="E887" s="10"/>
      <c r="F887" s="10" t="s">
        <v>37</v>
      </c>
      <c r="G887" s="4" t="s">
        <v>50</v>
      </c>
      <c r="H887" s="4"/>
      <c r="I887" s="4">
        <f t="shared" si="43"/>
        <v>13000</v>
      </c>
      <c r="J887" s="4">
        <v>13000</v>
      </c>
      <c r="K887" s="4">
        <f t="shared" si="41"/>
        <v>0</v>
      </c>
      <c r="L887" s="1">
        <v>13000</v>
      </c>
      <c r="M887" s="93">
        <f t="shared" si="42"/>
        <v>0</v>
      </c>
      <c r="N887" s="2">
        <v>0</v>
      </c>
      <c r="O887" s="97">
        <v>0</v>
      </c>
      <c r="P887" s="52"/>
    </row>
    <row r="888" spans="1:16" ht="40.950000000000003" customHeight="1" x14ac:dyDescent="0.3">
      <c r="A888" s="4">
        <v>202</v>
      </c>
      <c r="B888" s="10" t="s">
        <v>37</v>
      </c>
      <c r="C888" s="10"/>
      <c r="D888" s="10"/>
      <c r="E888" s="10"/>
      <c r="F888" s="10" t="s">
        <v>37</v>
      </c>
      <c r="G888" s="4" t="s">
        <v>39</v>
      </c>
      <c r="H888" s="4"/>
      <c r="I888" s="4">
        <f t="shared" si="43"/>
        <v>15600</v>
      </c>
      <c r="J888" s="4">
        <v>15600</v>
      </c>
      <c r="K888" s="4">
        <f t="shared" si="41"/>
        <v>0</v>
      </c>
      <c r="L888" s="1">
        <v>15600</v>
      </c>
      <c r="M888" s="93">
        <f t="shared" si="42"/>
        <v>0</v>
      </c>
      <c r="N888" s="2">
        <v>0</v>
      </c>
      <c r="O888" s="97">
        <v>0</v>
      </c>
      <c r="P888" s="52"/>
    </row>
    <row r="889" spans="1:16" ht="40.950000000000003" customHeight="1" x14ac:dyDescent="0.3">
      <c r="A889" s="4">
        <v>202</v>
      </c>
      <c r="B889" s="10" t="s">
        <v>37</v>
      </c>
      <c r="C889" s="10"/>
      <c r="D889" s="10"/>
      <c r="E889" s="10"/>
      <c r="F889" s="10" t="s">
        <v>37</v>
      </c>
      <c r="G889" s="4" t="s">
        <v>51</v>
      </c>
      <c r="H889" s="4"/>
      <c r="I889" s="4">
        <f t="shared" si="43"/>
        <v>13000</v>
      </c>
      <c r="J889" s="4">
        <v>13000</v>
      </c>
      <c r="K889" s="4">
        <f t="shared" si="41"/>
        <v>0</v>
      </c>
      <c r="L889" s="1">
        <v>13000</v>
      </c>
      <c r="M889" s="93">
        <f t="shared" si="42"/>
        <v>0</v>
      </c>
      <c r="N889" s="2">
        <v>0</v>
      </c>
      <c r="O889" s="97">
        <v>0</v>
      </c>
      <c r="P889" s="52"/>
    </row>
    <row r="890" spans="1:16" ht="40.950000000000003" customHeight="1" x14ac:dyDescent="0.3">
      <c r="A890" s="4">
        <v>202</v>
      </c>
      <c r="B890" s="10" t="s">
        <v>37</v>
      </c>
      <c r="C890" s="10"/>
      <c r="D890" s="10"/>
      <c r="E890" s="10"/>
      <c r="F890" s="10" t="s">
        <v>37</v>
      </c>
      <c r="G890" s="4" t="s">
        <v>39</v>
      </c>
      <c r="H890" s="4"/>
      <c r="I890" s="4">
        <f t="shared" si="43"/>
        <v>11000</v>
      </c>
      <c r="J890" s="4">
        <v>11000</v>
      </c>
      <c r="K890" s="4">
        <f t="shared" si="41"/>
        <v>0</v>
      </c>
      <c r="L890" s="1">
        <v>11000</v>
      </c>
      <c r="M890" s="93">
        <f t="shared" si="42"/>
        <v>0</v>
      </c>
      <c r="N890" s="2">
        <v>0</v>
      </c>
      <c r="O890" s="97">
        <v>0</v>
      </c>
      <c r="P890" s="52"/>
    </row>
    <row r="891" spans="1:16" ht="40.950000000000003" customHeight="1" x14ac:dyDescent="0.3">
      <c r="A891" s="4">
        <v>202</v>
      </c>
      <c r="B891" s="10" t="s">
        <v>37</v>
      </c>
      <c r="C891" s="10"/>
      <c r="D891" s="10"/>
      <c r="E891" s="10"/>
      <c r="F891" s="10" t="s">
        <v>37</v>
      </c>
      <c r="G891" s="10" t="s">
        <v>78</v>
      </c>
      <c r="H891" s="10">
        <v>10</v>
      </c>
      <c r="I891" s="4">
        <f t="shared" si="43"/>
        <v>44201</v>
      </c>
      <c r="J891" s="4">
        <v>46479</v>
      </c>
      <c r="K891" s="4">
        <f t="shared" si="41"/>
        <v>0</v>
      </c>
      <c r="L891" s="1">
        <v>46479</v>
      </c>
      <c r="M891" s="93">
        <f t="shared" si="42"/>
        <v>0</v>
      </c>
      <c r="N891" s="2">
        <v>2278</v>
      </c>
      <c r="O891" s="97">
        <v>2278</v>
      </c>
      <c r="P891" s="52"/>
    </row>
    <row r="892" spans="1:16" ht="40.950000000000003" customHeight="1" x14ac:dyDescent="0.3">
      <c r="A892" s="4">
        <v>202</v>
      </c>
      <c r="B892" s="10" t="s">
        <v>37</v>
      </c>
      <c r="C892" s="10"/>
      <c r="D892" s="10"/>
      <c r="E892" s="10"/>
      <c r="F892" s="10" t="s">
        <v>37</v>
      </c>
      <c r="G892" s="4" t="s">
        <v>169</v>
      </c>
      <c r="H892" s="4"/>
      <c r="I892" s="4">
        <f t="shared" si="43"/>
        <v>37337</v>
      </c>
      <c r="J892" s="4">
        <v>38200</v>
      </c>
      <c r="K892" s="4">
        <f t="shared" si="41"/>
        <v>0</v>
      </c>
      <c r="L892" s="1">
        <v>38200</v>
      </c>
      <c r="M892" s="93">
        <f t="shared" si="42"/>
        <v>0</v>
      </c>
      <c r="N892" s="2">
        <v>863</v>
      </c>
      <c r="O892" s="97">
        <v>863</v>
      </c>
      <c r="P892" s="52"/>
    </row>
    <row r="893" spans="1:16" ht="40.950000000000003" customHeight="1" x14ac:dyDescent="0.3">
      <c r="A893" s="4">
        <v>202</v>
      </c>
      <c r="B893" s="10" t="s">
        <v>37</v>
      </c>
      <c r="C893" s="10"/>
      <c r="D893" s="10"/>
      <c r="E893" s="10"/>
      <c r="F893" s="10" t="s">
        <v>37</v>
      </c>
      <c r="G893" s="4" t="s">
        <v>64</v>
      </c>
      <c r="H893" s="4"/>
      <c r="I893" s="4">
        <f t="shared" si="43"/>
        <v>11000</v>
      </c>
      <c r="J893" s="4">
        <v>11000</v>
      </c>
      <c r="K893" s="4">
        <f t="shared" si="41"/>
        <v>0</v>
      </c>
      <c r="L893" s="1">
        <v>11000</v>
      </c>
      <c r="M893" s="93">
        <f t="shared" si="42"/>
        <v>0</v>
      </c>
      <c r="N893" s="2">
        <v>0</v>
      </c>
      <c r="O893" s="97">
        <v>0</v>
      </c>
      <c r="P893" s="52"/>
    </row>
    <row r="894" spans="1:16" ht="40.950000000000003" customHeight="1" x14ac:dyDescent="0.3">
      <c r="A894" s="4">
        <v>202</v>
      </c>
      <c r="B894" s="10" t="s">
        <v>37</v>
      </c>
      <c r="C894" s="10"/>
      <c r="D894" s="10"/>
      <c r="E894" s="10"/>
      <c r="F894" s="10" t="s">
        <v>37</v>
      </c>
      <c r="G894" s="4" t="s">
        <v>122</v>
      </c>
      <c r="H894" s="4"/>
      <c r="I894" s="4">
        <f t="shared" si="43"/>
        <v>11000</v>
      </c>
      <c r="J894" s="4">
        <v>11000</v>
      </c>
      <c r="K894" s="4">
        <f t="shared" si="41"/>
        <v>0</v>
      </c>
      <c r="L894" s="1">
        <v>11000</v>
      </c>
      <c r="M894" s="93">
        <f t="shared" si="42"/>
        <v>0</v>
      </c>
      <c r="N894" s="2">
        <v>0</v>
      </c>
      <c r="O894" s="97">
        <v>0</v>
      </c>
      <c r="P894" s="52"/>
    </row>
    <row r="895" spans="1:16" ht="40.950000000000003" customHeight="1" x14ac:dyDescent="0.3">
      <c r="A895" s="4">
        <v>202</v>
      </c>
      <c r="B895" s="10" t="s">
        <v>37</v>
      </c>
      <c r="C895" s="10"/>
      <c r="D895" s="10"/>
      <c r="E895" s="10"/>
      <c r="F895" s="10" t="s">
        <v>37</v>
      </c>
      <c r="G895" s="4" t="s">
        <v>122</v>
      </c>
      <c r="H895" s="4"/>
      <c r="I895" s="4">
        <f t="shared" si="43"/>
        <v>22000</v>
      </c>
      <c r="J895" s="4">
        <v>22000</v>
      </c>
      <c r="K895" s="4">
        <f t="shared" si="41"/>
        <v>0</v>
      </c>
      <c r="L895" s="1">
        <v>22000</v>
      </c>
      <c r="M895" s="93">
        <f t="shared" si="42"/>
        <v>0</v>
      </c>
      <c r="N895" s="2">
        <v>0</v>
      </c>
      <c r="O895" s="97">
        <v>0</v>
      </c>
      <c r="P895" s="52"/>
    </row>
    <row r="896" spans="1:16" ht="40.950000000000003" customHeight="1" x14ac:dyDescent="0.3">
      <c r="A896" s="4">
        <v>202</v>
      </c>
      <c r="B896" s="10" t="s">
        <v>37</v>
      </c>
      <c r="C896" s="10"/>
      <c r="D896" s="10"/>
      <c r="E896" s="10"/>
      <c r="F896" s="10" t="s">
        <v>37</v>
      </c>
      <c r="G896" s="4" t="s">
        <v>200</v>
      </c>
      <c r="H896" s="4"/>
      <c r="I896" s="4">
        <f t="shared" si="43"/>
        <v>34770</v>
      </c>
      <c r="J896" s="4">
        <v>36800</v>
      </c>
      <c r="K896" s="4">
        <f t="shared" si="41"/>
        <v>0</v>
      </c>
      <c r="L896" s="1">
        <v>36800</v>
      </c>
      <c r="M896" s="93">
        <f t="shared" si="42"/>
        <v>0</v>
      </c>
      <c r="N896" s="2">
        <v>2030</v>
      </c>
      <c r="O896" s="97">
        <f>280+1190+560</f>
        <v>2030</v>
      </c>
      <c r="P896" s="52"/>
    </row>
    <row r="897" spans="1:16" ht="40.950000000000003" customHeight="1" x14ac:dyDescent="0.3">
      <c r="A897" s="4">
        <v>202</v>
      </c>
      <c r="B897" s="10" t="s">
        <v>37</v>
      </c>
      <c r="C897" s="10"/>
      <c r="D897" s="10"/>
      <c r="E897" s="10"/>
      <c r="F897" s="10" t="s">
        <v>37</v>
      </c>
      <c r="G897" s="4" t="s">
        <v>199</v>
      </c>
      <c r="H897" s="4"/>
      <c r="I897" s="4">
        <f t="shared" si="43"/>
        <v>9200</v>
      </c>
      <c r="J897" s="4">
        <v>9200</v>
      </c>
      <c r="K897" s="4">
        <f t="shared" si="41"/>
        <v>0</v>
      </c>
      <c r="L897" s="1">
        <v>9200</v>
      </c>
      <c r="M897" s="93">
        <f t="shared" si="42"/>
        <v>0</v>
      </c>
      <c r="N897" s="2"/>
      <c r="O897" s="97"/>
      <c r="P897" s="52"/>
    </row>
    <row r="898" spans="1:16" ht="40.950000000000003" customHeight="1" x14ac:dyDescent="0.3">
      <c r="A898" s="4">
        <v>202</v>
      </c>
      <c r="B898" s="10" t="s">
        <v>37</v>
      </c>
      <c r="C898" s="10"/>
      <c r="D898" s="10"/>
      <c r="E898" s="10"/>
      <c r="F898" s="10" t="s">
        <v>37</v>
      </c>
      <c r="G898" s="4" t="s">
        <v>198</v>
      </c>
      <c r="H898" s="4"/>
      <c r="I898" s="4">
        <f t="shared" si="43"/>
        <v>9900</v>
      </c>
      <c r="J898" s="4">
        <v>9900</v>
      </c>
      <c r="K898" s="4">
        <f t="shared" si="41"/>
        <v>0</v>
      </c>
      <c r="L898" s="1">
        <v>9900</v>
      </c>
      <c r="M898" s="93">
        <f t="shared" si="42"/>
        <v>0</v>
      </c>
      <c r="N898" s="2"/>
      <c r="O898" s="97"/>
      <c r="P898" s="52"/>
    </row>
    <row r="899" spans="1:16" ht="40.950000000000003" customHeight="1" x14ac:dyDescent="0.3">
      <c r="A899" s="4">
        <v>202</v>
      </c>
      <c r="B899" s="10" t="s">
        <v>37</v>
      </c>
      <c r="C899" s="10"/>
      <c r="D899" s="10"/>
      <c r="E899" s="10"/>
      <c r="F899" s="10" t="s">
        <v>37</v>
      </c>
      <c r="G899" s="4" t="s">
        <v>381</v>
      </c>
      <c r="H899" s="4"/>
      <c r="I899" s="4">
        <f t="shared" si="43"/>
        <v>7700</v>
      </c>
      <c r="J899" s="4">
        <v>7700</v>
      </c>
      <c r="K899" s="4">
        <f t="shared" si="41"/>
        <v>0</v>
      </c>
      <c r="L899" s="1">
        <v>7700</v>
      </c>
      <c r="M899" s="93">
        <f t="shared" si="42"/>
        <v>0</v>
      </c>
      <c r="N899" s="2"/>
      <c r="O899" s="97"/>
      <c r="P899" s="52"/>
    </row>
    <row r="900" spans="1:16" ht="40.950000000000003" customHeight="1" x14ac:dyDescent="0.3">
      <c r="A900" s="4">
        <v>202</v>
      </c>
      <c r="B900" s="10" t="s">
        <v>37</v>
      </c>
      <c r="C900" s="10"/>
      <c r="D900" s="10"/>
      <c r="E900" s="10"/>
      <c r="F900" s="10" t="s">
        <v>37</v>
      </c>
      <c r="G900" s="4" t="s">
        <v>370</v>
      </c>
      <c r="H900" s="4"/>
      <c r="I900" s="4">
        <f t="shared" si="43"/>
        <v>9800</v>
      </c>
      <c r="J900" s="4">
        <v>9800</v>
      </c>
      <c r="K900" s="4">
        <f t="shared" si="41"/>
        <v>0</v>
      </c>
      <c r="L900" s="1">
        <v>9800</v>
      </c>
      <c r="M900" s="93">
        <f t="shared" si="42"/>
        <v>0</v>
      </c>
      <c r="N900" s="2"/>
      <c r="O900" s="97"/>
      <c r="P900" s="52"/>
    </row>
    <row r="901" spans="1:16" ht="40.950000000000003" customHeight="1" x14ac:dyDescent="0.3">
      <c r="A901" s="4">
        <v>202</v>
      </c>
      <c r="B901" s="10" t="s">
        <v>37</v>
      </c>
      <c r="C901" s="10"/>
      <c r="D901" s="10"/>
      <c r="E901" s="10"/>
      <c r="F901" s="10" t="s">
        <v>37</v>
      </c>
      <c r="G901" s="4" t="s">
        <v>411</v>
      </c>
      <c r="H901" s="4"/>
      <c r="I901" s="4">
        <f t="shared" si="43"/>
        <v>16800</v>
      </c>
      <c r="J901" s="4">
        <v>16800</v>
      </c>
      <c r="K901" s="4">
        <f t="shared" ref="K901:K964" si="44">L901-J901</f>
        <v>0</v>
      </c>
      <c r="L901" s="1">
        <v>16800</v>
      </c>
      <c r="M901" s="93">
        <f t="shared" si="42"/>
        <v>0</v>
      </c>
      <c r="N901" s="2"/>
      <c r="O901" s="97"/>
      <c r="P901" s="52"/>
    </row>
    <row r="902" spans="1:16" ht="40.950000000000003" customHeight="1" x14ac:dyDescent="0.3">
      <c r="A902" s="4">
        <v>202</v>
      </c>
      <c r="B902" s="10" t="s">
        <v>37</v>
      </c>
      <c r="C902" s="10"/>
      <c r="D902" s="10"/>
      <c r="E902" s="10"/>
      <c r="F902" s="10" t="s">
        <v>37</v>
      </c>
      <c r="G902" s="4" t="s">
        <v>369</v>
      </c>
      <c r="H902" s="4"/>
      <c r="I902" s="4">
        <f t="shared" si="43"/>
        <v>11200</v>
      </c>
      <c r="J902" s="4">
        <v>11200</v>
      </c>
      <c r="K902" s="4">
        <f t="shared" si="44"/>
        <v>0</v>
      </c>
      <c r="L902" s="1">
        <v>11200</v>
      </c>
      <c r="M902" s="93">
        <f t="shared" si="42"/>
        <v>0</v>
      </c>
      <c r="N902" s="2"/>
      <c r="O902" s="97"/>
      <c r="P902" s="52"/>
    </row>
    <row r="903" spans="1:16" ht="40.950000000000003" customHeight="1" x14ac:dyDescent="0.3">
      <c r="A903" s="4">
        <v>202</v>
      </c>
      <c r="B903" s="10" t="s">
        <v>37</v>
      </c>
      <c r="C903" s="10"/>
      <c r="D903" s="10"/>
      <c r="E903" s="10"/>
      <c r="F903" s="10" t="s">
        <v>37</v>
      </c>
      <c r="G903" s="4" t="s">
        <v>238</v>
      </c>
      <c r="H903" s="4"/>
      <c r="I903" s="4">
        <f t="shared" si="43"/>
        <v>17370</v>
      </c>
      <c r="J903" s="4">
        <v>19400</v>
      </c>
      <c r="K903" s="4">
        <f t="shared" si="44"/>
        <v>0</v>
      </c>
      <c r="L903" s="1">
        <v>19400</v>
      </c>
      <c r="M903" s="93">
        <f t="shared" si="42"/>
        <v>0</v>
      </c>
      <c r="N903" s="2">
        <v>2030</v>
      </c>
      <c r="O903" s="97">
        <v>2030</v>
      </c>
      <c r="P903" s="52"/>
    </row>
    <row r="904" spans="1:16" ht="40.950000000000003" customHeight="1" x14ac:dyDescent="0.3">
      <c r="A904" s="4">
        <v>202</v>
      </c>
      <c r="B904" s="10" t="s">
        <v>37</v>
      </c>
      <c r="C904" s="10"/>
      <c r="D904" s="10"/>
      <c r="E904" s="10"/>
      <c r="F904" s="10" t="s">
        <v>37</v>
      </c>
      <c r="G904" s="4" t="s">
        <v>14</v>
      </c>
      <c r="H904" s="4">
        <v>58</v>
      </c>
      <c r="I904" s="4">
        <f t="shared" si="43"/>
        <v>1328704</v>
      </c>
      <c r="J904" s="4">
        <v>1484140</v>
      </c>
      <c r="K904" s="4">
        <f t="shared" si="44"/>
        <v>0</v>
      </c>
      <c r="L904" s="1">
        <v>1484140</v>
      </c>
      <c r="M904" s="93">
        <f t="shared" si="42"/>
        <v>0</v>
      </c>
      <c r="N904" s="2">
        <v>155436</v>
      </c>
      <c r="O904" s="97">
        <v>155436</v>
      </c>
      <c r="P904" s="52"/>
    </row>
    <row r="905" spans="1:16" ht="40.950000000000003" customHeight="1" x14ac:dyDescent="0.3">
      <c r="A905" s="4">
        <v>203</v>
      </c>
      <c r="B905" s="10" t="s">
        <v>116</v>
      </c>
      <c r="C905" s="10"/>
      <c r="D905" s="10"/>
      <c r="E905" s="10"/>
      <c r="F905" s="10" t="s">
        <v>37</v>
      </c>
      <c r="G905" s="4" t="s">
        <v>7</v>
      </c>
      <c r="H905" s="4"/>
      <c r="I905" s="4">
        <f t="shared" si="43"/>
        <v>3059</v>
      </c>
      <c r="J905" s="4">
        <v>4025</v>
      </c>
      <c r="K905" s="4">
        <f t="shared" si="44"/>
        <v>0</v>
      </c>
      <c r="L905" s="1">
        <v>4025</v>
      </c>
      <c r="M905" s="93">
        <f t="shared" si="42"/>
        <v>0</v>
      </c>
      <c r="N905" s="2">
        <v>966</v>
      </c>
      <c r="O905" s="97">
        <v>966</v>
      </c>
      <c r="P905" s="52"/>
    </row>
    <row r="906" spans="1:16" ht="40.950000000000003" customHeight="1" x14ac:dyDescent="0.3">
      <c r="A906" s="4">
        <v>203</v>
      </c>
      <c r="B906" s="10" t="s">
        <v>116</v>
      </c>
      <c r="C906" s="10"/>
      <c r="D906" s="10"/>
      <c r="E906" s="10"/>
      <c r="F906" s="10" t="s">
        <v>37</v>
      </c>
      <c r="G906" s="4" t="s">
        <v>22</v>
      </c>
      <c r="H906" s="4"/>
      <c r="I906" s="4">
        <f t="shared" si="43"/>
        <v>5025</v>
      </c>
      <c r="J906" s="4">
        <v>5025</v>
      </c>
      <c r="K906" s="4">
        <f t="shared" si="44"/>
        <v>0</v>
      </c>
      <c r="L906" s="1">
        <v>5025</v>
      </c>
      <c r="M906" s="93">
        <f t="shared" si="42"/>
        <v>0</v>
      </c>
      <c r="N906" s="2">
        <v>0</v>
      </c>
      <c r="O906" s="97">
        <v>0</v>
      </c>
      <c r="P906" s="52"/>
    </row>
    <row r="907" spans="1:16" ht="40.950000000000003" customHeight="1" x14ac:dyDescent="0.3">
      <c r="A907" s="4">
        <v>204</v>
      </c>
      <c r="B907" s="10" t="s">
        <v>144</v>
      </c>
      <c r="C907" s="10"/>
      <c r="D907" s="10"/>
      <c r="E907" s="10"/>
      <c r="F907" s="10" t="s">
        <v>37</v>
      </c>
      <c r="G907" s="4" t="s">
        <v>8</v>
      </c>
      <c r="H907" s="4"/>
      <c r="I907" s="4">
        <f t="shared" si="43"/>
        <v>4200</v>
      </c>
      <c r="J907" s="4">
        <v>4900</v>
      </c>
      <c r="K907" s="4">
        <f t="shared" si="44"/>
        <v>0</v>
      </c>
      <c r="L907" s="1">
        <v>4900</v>
      </c>
      <c r="M907" s="93">
        <f t="shared" si="42"/>
        <v>0</v>
      </c>
      <c r="N907" s="2">
        <v>700</v>
      </c>
      <c r="O907" s="97">
        <v>700</v>
      </c>
      <c r="P907" s="52"/>
    </row>
    <row r="908" spans="1:16" ht="40.950000000000003" customHeight="1" x14ac:dyDescent="0.3">
      <c r="A908" s="4">
        <v>204</v>
      </c>
      <c r="B908" s="10" t="s">
        <v>144</v>
      </c>
      <c r="C908" s="10"/>
      <c r="D908" s="10"/>
      <c r="E908" s="10"/>
      <c r="F908" s="10" t="s">
        <v>37</v>
      </c>
      <c r="G908" s="4" t="s">
        <v>7</v>
      </c>
      <c r="H908" s="4"/>
      <c r="I908" s="4">
        <f t="shared" si="43"/>
        <v>2800</v>
      </c>
      <c r="J908" s="4">
        <v>2800</v>
      </c>
      <c r="K908" s="4">
        <f t="shared" si="44"/>
        <v>0</v>
      </c>
      <c r="L908" s="1">
        <v>2800</v>
      </c>
      <c r="M908" s="93">
        <f t="shared" si="42"/>
        <v>0</v>
      </c>
      <c r="N908" s="2"/>
      <c r="O908" s="97"/>
      <c r="P908" s="52"/>
    </row>
    <row r="909" spans="1:16" ht="40.950000000000003" customHeight="1" x14ac:dyDescent="0.3">
      <c r="A909" s="4">
        <v>204</v>
      </c>
      <c r="B909" s="10" t="s">
        <v>144</v>
      </c>
      <c r="C909" s="10"/>
      <c r="D909" s="10"/>
      <c r="E909" s="10"/>
      <c r="F909" s="10" t="s">
        <v>37</v>
      </c>
      <c r="G909" s="4" t="s">
        <v>9</v>
      </c>
      <c r="H909" s="4"/>
      <c r="I909" s="4">
        <f t="shared" si="43"/>
        <v>4900</v>
      </c>
      <c r="J909" s="4">
        <v>4900</v>
      </c>
      <c r="K909" s="4">
        <f t="shared" si="44"/>
        <v>0</v>
      </c>
      <c r="L909" s="1">
        <v>4900</v>
      </c>
      <c r="M909" s="93">
        <f t="shared" si="42"/>
        <v>0</v>
      </c>
      <c r="N909" s="2">
        <v>0</v>
      </c>
      <c r="O909" s="97">
        <v>0</v>
      </c>
      <c r="P909" s="52"/>
    </row>
    <row r="910" spans="1:16" ht="40.950000000000003" customHeight="1" x14ac:dyDescent="0.3">
      <c r="A910" s="4">
        <v>204</v>
      </c>
      <c r="B910" s="10" t="s">
        <v>144</v>
      </c>
      <c r="C910" s="10"/>
      <c r="D910" s="10"/>
      <c r="E910" s="10"/>
      <c r="F910" s="10" t="s">
        <v>37</v>
      </c>
      <c r="G910" s="4" t="s">
        <v>11</v>
      </c>
      <c r="H910" s="4"/>
      <c r="I910" s="4">
        <f t="shared" si="43"/>
        <v>4900</v>
      </c>
      <c r="J910" s="4">
        <v>4900</v>
      </c>
      <c r="K910" s="4">
        <f t="shared" si="44"/>
        <v>0</v>
      </c>
      <c r="L910" s="1">
        <v>4900</v>
      </c>
      <c r="M910" s="93">
        <f t="shared" si="42"/>
        <v>0</v>
      </c>
      <c r="N910" s="2"/>
      <c r="O910" s="97"/>
      <c r="P910" s="52"/>
    </row>
    <row r="911" spans="1:16" ht="40.950000000000003" customHeight="1" x14ac:dyDescent="0.3">
      <c r="A911" s="4">
        <v>204</v>
      </c>
      <c r="B911" s="10" t="s">
        <v>144</v>
      </c>
      <c r="C911" s="10"/>
      <c r="D911" s="10"/>
      <c r="E911" s="10"/>
      <c r="F911" s="10" t="s">
        <v>37</v>
      </c>
      <c r="G911" s="4" t="s">
        <v>22</v>
      </c>
      <c r="H911" s="4"/>
      <c r="I911" s="4">
        <f t="shared" si="43"/>
        <v>3500</v>
      </c>
      <c r="J911" s="4">
        <v>3500</v>
      </c>
      <c r="K911" s="4">
        <f t="shared" si="44"/>
        <v>0</v>
      </c>
      <c r="L911" s="1">
        <v>3500</v>
      </c>
      <c r="M911" s="93">
        <f t="shared" si="42"/>
        <v>0</v>
      </c>
      <c r="N911" s="2">
        <v>0</v>
      </c>
      <c r="O911" s="97">
        <v>0</v>
      </c>
      <c r="P911" s="52"/>
    </row>
    <row r="912" spans="1:16" ht="40.950000000000003" customHeight="1" x14ac:dyDescent="0.3">
      <c r="A912" s="4">
        <v>204</v>
      </c>
      <c r="B912" s="10" t="s">
        <v>144</v>
      </c>
      <c r="C912" s="10"/>
      <c r="D912" s="10"/>
      <c r="E912" s="10"/>
      <c r="F912" s="10" t="s">
        <v>37</v>
      </c>
      <c r="G912" s="4" t="s">
        <v>70</v>
      </c>
      <c r="H912" s="4"/>
      <c r="I912" s="4">
        <f t="shared" si="43"/>
        <v>4200</v>
      </c>
      <c r="J912" s="4">
        <v>4200</v>
      </c>
      <c r="K912" s="4">
        <f t="shared" si="44"/>
        <v>0</v>
      </c>
      <c r="L912" s="1">
        <v>4200</v>
      </c>
      <c r="M912" s="93">
        <f t="shared" si="42"/>
        <v>0</v>
      </c>
      <c r="N912" s="2"/>
      <c r="O912" s="97"/>
      <c r="P912" s="52"/>
    </row>
    <row r="913" spans="1:16" ht="40.950000000000003" customHeight="1" x14ac:dyDescent="0.3">
      <c r="A913" s="4">
        <v>204</v>
      </c>
      <c r="B913" s="10" t="s">
        <v>144</v>
      </c>
      <c r="C913" s="10"/>
      <c r="D913" s="10"/>
      <c r="E913" s="10"/>
      <c r="F913" s="10" t="s">
        <v>37</v>
      </c>
      <c r="G913" s="4" t="s">
        <v>49</v>
      </c>
      <c r="H913" s="4"/>
      <c r="I913" s="4">
        <f t="shared" si="43"/>
        <v>2800</v>
      </c>
      <c r="J913" s="4">
        <v>2800</v>
      </c>
      <c r="K913" s="4">
        <f t="shared" si="44"/>
        <v>0</v>
      </c>
      <c r="L913" s="1">
        <v>2800</v>
      </c>
      <c r="M913" s="93">
        <f t="shared" si="42"/>
        <v>0</v>
      </c>
      <c r="N913" s="2">
        <v>0</v>
      </c>
      <c r="O913" s="97">
        <v>0</v>
      </c>
      <c r="P913" s="52"/>
    </row>
    <row r="914" spans="1:16" ht="40.950000000000003" customHeight="1" x14ac:dyDescent="0.3">
      <c r="A914" s="4">
        <v>204</v>
      </c>
      <c r="B914" s="10" t="s">
        <v>144</v>
      </c>
      <c r="C914" s="10"/>
      <c r="D914" s="10"/>
      <c r="E914" s="10"/>
      <c r="F914" s="10" t="s">
        <v>37</v>
      </c>
      <c r="G914" s="4" t="s">
        <v>48</v>
      </c>
      <c r="H914" s="4"/>
      <c r="I914" s="4">
        <f t="shared" si="43"/>
        <v>5600</v>
      </c>
      <c r="J914" s="4">
        <v>5600</v>
      </c>
      <c r="K914" s="4">
        <f t="shared" si="44"/>
        <v>0</v>
      </c>
      <c r="L914" s="1">
        <v>5600</v>
      </c>
      <c r="M914" s="93">
        <f t="shared" si="42"/>
        <v>0</v>
      </c>
      <c r="N914" s="2">
        <v>0</v>
      </c>
      <c r="O914" s="97">
        <v>0</v>
      </c>
      <c r="P914" s="52"/>
    </row>
    <row r="915" spans="1:16" ht="40.950000000000003" customHeight="1" x14ac:dyDescent="0.3">
      <c r="A915" s="4">
        <v>204</v>
      </c>
      <c r="B915" s="10" t="s">
        <v>144</v>
      </c>
      <c r="C915" s="10"/>
      <c r="D915" s="10"/>
      <c r="E915" s="10"/>
      <c r="F915" s="10" t="s">
        <v>37</v>
      </c>
      <c r="G915" s="4" t="s">
        <v>50</v>
      </c>
      <c r="H915" s="4"/>
      <c r="I915" s="4">
        <f t="shared" si="43"/>
        <v>6300</v>
      </c>
      <c r="J915" s="4">
        <v>6300</v>
      </c>
      <c r="K915" s="4">
        <f t="shared" si="44"/>
        <v>0</v>
      </c>
      <c r="L915" s="1">
        <v>6300</v>
      </c>
      <c r="M915" s="93">
        <f t="shared" si="42"/>
        <v>0</v>
      </c>
      <c r="N915" s="2">
        <v>0</v>
      </c>
      <c r="O915" s="97">
        <v>0</v>
      </c>
      <c r="P915" s="52"/>
    </row>
    <row r="916" spans="1:16" ht="40.950000000000003" customHeight="1" x14ac:dyDescent="0.3">
      <c r="A916" s="4">
        <v>204</v>
      </c>
      <c r="B916" s="10" t="s">
        <v>144</v>
      </c>
      <c r="C916" s="10"/>
      <c r="D916" s="10"/>
      <c r="E916" s="10"/>
      <c r="F916" s="10" t="s">
        <v>37</v>
      </c>
      <c r="G916" s="4" t="s">
        <v>90</v>
      </c>
      <c r="H916" s="4"/>
      <c r="I916" s="4">
        <f t="shared" si="43"/>
        <v>3500</v>
      </c>
      <c r="J916" s="4">
        <v>3500</v>
      </c>
      <c r="K916" s="4">
        <f t="shared" si="44"/>
        <v>0</v>
      </c>
      <c r="L916" s="1">
        <v>3500</v>
      </c>
      <c r="M916" s="93">
        <f t="shared" si="42"/>
        <v>0</v>
      </c>
      <c r="N916" s="2">
        <v>0</v>
      </c>
      <c r="O916" s="97">
        <v>0</v>
      </c>
      <c r="P916" s="52"/>
    </row>
    <row r="917" spans="1:16" ht="40.950000000000003" customHeight="1" x14ac:dyDescent="0.3">
      <c r="A917" s="4">
        <v>204</v>
      </c>
      <c r="B917" s="10" t="s">
        <v>144</v>
      </c>
      <c r="C917" s="10"/>
      <c r="D917" s="10"/>
      <c r="E917" s="10"/>
      <c r="F917" s="10" t="s">
        <v>37</v>
      </c>
      <c r="G917" s="4" t="s">
        <v>64</v>
      </c>
      <c r="H917" s="4"/>
      <c r="I917" s="4">
        <f t="shared" si="43"/>
        <v>6300</v>
      </c>
      <c r="J917" s="4">
        <v>6300</v>
      </c>
      <c r="K917" s="4">
        <f t="shared" si="44"/>
        <v>0</v>
      </c>
      <c r="L917" s="1">
        <v>6300</v>
      </c>
      <c r="M917" s="93">
        <f t="shared" si="42"/>
        <v>0</v>
      </c>
      <c r="N917" s="2"/>
      <c r="O917" s="97"/>
      <c r="P917" s="52"/>
    </row>
    <row r="918" spans="1:16" ht="40.950000000000003" customHeight="1" x14ac:dyDescent="0.3">
      <c r="A918" s="4">
        <v>204</v>
      </c>
      <c r="B918" s="10" t="s">
        <v>144</v>
      </c>
      <c r="C918" s="10"/>
      <c r="D918" s="10"/>
      <c r="E918" s="10"/>
      <c r="F918" s="10" t="s">
        <v>37</v>
      </c>
      <c r="G918" s="4" t="s">
        <v>122</v>
      </c>
      <c r="H918" s="4"/>
      <c r="I918" s="4">
        <f t="shared" si="43"/>
        <v>3780</v>
      </c>
      <c r="J918" s="4">
        <v>4200</v>
      </c>
      <c r="K918" s="4">
        <f t="shared" si="44"/>
        <v>0</v>
      </c>
      <c r="L918" s="1">
        <v>4200</v>
      </c>
      <c r="M918" s="93">
        <f t="shared" si="42"/>
        <v>0</v>
      </c>
      <c r="N918" s="2">
        <v>420</v>
      </c>
      <c r="O918" s="97">
        <v>420</v>
      </c>
      <c r="P918" s="52"/>
    </row>
    <row r="919" spans="1:16" ht="40.950000000000003" customHeight="1" x14ac:dyDescent="0.3">
      <c r="A919" s="4">
        <v>204</v>
      </c>
      <c r="B919" s="10" t="s">
        <v>144</v>
      </c>
      <c r="C919" s="10"/>
      <c r="D919" s="10"/>
      <c r="E919" s="10"/>
      <c r="F919" s="10" t="s">
        <v>37</v>
      </c>
      <c r="G919" s="4" t="s">
        <v>143</v>
      </c>
      <c r="H919" s="4"/>
      <c r="I919" s="4">
        <f t="shared" si="43"/>
        <v>5600</v>
      </c>
      <c r="J919" s="4">
        <v>5600</v>
      </c>
      <c r="K919" s="4">
        <f t="shared" si="44"/>
        <v>0</v>
      </c>
      <c r="L919" s="1">
        <v>5600</v>
      </c>
      <c r="M919" s="93">
        <f t="shared" si="42"/>
        <v>0</v>
      </c>
      <c r="N919" s="2"/>
      <c r="O919" s="97"/>
      <c r="P919" s="52"/>
    </row>
    <row r="920" spans="1:16" ht="40.950000000000003" customHeight="1" x14ac:dyDescent="0.3">
      <c r="A920" s="4">
        <v>204</v>
      </c>
      <c r="B920" s="10" t="s">
        <v>144</v>
      </c>
      <c r="C920" s="10"/>
      <c r="D920" s="10"/>
      <c r="E920" s="10"/>
      <c r="F920" s="10" t="s">
        <v>37</v>
      </c>
      <c r="G920" s="4" t="s">
        <v>114</v>
      </c>
      <c r="H920" s="4"/>
      <c r="I920" s="4">
        <f t="shared" si="43"/>
        <v>4200</v>
      </c>
      <c r="J920" s="4">
        <v>4900</v>
      </c>
      <c r="K920" s="4">
        <f t="shared" si="44"/>
        <v>0</v>
      </c>
      <c r="L920" s="1">
        <v>4900</v>
      </c>
      <c r="M920" s="93">
        <f t="shared" si="42"/>
        <v>0</v>
      </c>
      <c r="N920" s="2">
        <v>700</v>
      </c>
      <c r="O920" s="97">
        <v>700</v>
      </c>
      <c r="P920" s="52"/>
    </row>
    <row r="921" spans="1:16" ht="40.950000000000003" customHeight="1" x14ac:dyDescent="0.3">
      <c r="A921" s="4">
        <v>204</v>
      </c>
      <c r="B921" s="10" t="s">
        <v>144</v>
      </c>
      <c r="C921" s="10"/>
      <c r="D921" s="10"/>
      <c r="E921" s="10"/>
      <c r="F921" s="10" t="s">
        <v>37</v>
      </c>
      <c r="G921" s="4" t="s">
        <v>85</v>
      </c>
      <c r="H921" s="4"/>
      <c r="I921" s="4">
        <f t="shared" si="43"/>
        <v>5600</v>
      </c>
      <c r="J921" s="4">
        <v>5600</v>
      </c>
      <c r="K921" s="4">
        <f t="shared" si="44"/>
        <v>0</v>
      </c>
      <c r="L921" s="1">
        <v>5600</v>
      </c>
      <c r="M921" s="93">
        <f t="shared" si="42"/>
        <v>0</v>
      </c>
      <c r="N921" s="2"/>
      <c r="O921" s="97"/>
      <c r="P921" s="52"/>
    </row>
    <row r="922" spans="1:16" ht="40.950000000000003" customHeight="1" x14ac:dyDescent="0.3">
      <c r="A922" s="4">
        <v>204</v>
      </c>
      <c r="B922" s="10" t="s">
        <v>144</v>
      </c>
      <c r="C922" s="10"/>
      <c r="D922" s="10"/>
      <c r="E922" s="10"/>
      <c r="F922" s="10" t="s">
        <v>37</v>
      </c>
      <c r="G922" s="4" t="s">
        <v>51</v>
      </c>
      <c r="H922" s="4"/>
      <c r="I922" s="4">
        <f t="shared" si="43"/>
        <v>2800</v>
      </c>
      <c r="J922" s="4">
        <v>2800</v>
      </c>
      <c r="K922" s="4">
        <f t="shared" si="44"/>
        <v>0</v>
      </c>
      <c r="L922" s="1">
        <v>2800</v>
      </c>
      <c r="M922" s="93">
        <f t="shared" si="42"/>
        <v>0</v>
      </c>
      <c r="N922" s="2"/>
      <c r="O922" s="97"/>
      <c r="P922" s="52"/>
    </row>
    <row r="923" spans="1:16" ht="40.950000000000003" customHeight="1" x14ac:dyDescent="0.3">
      <c r="A923" s="4">
        <v>204</v>
      </c>
      <c r="B923" s="10" t="s">
        <v>144</v>
      </c>
      <c r="C923" s="10"/>
      <c r="D923" s="10"/>
      <c r="E923" s="10"/>
      <c r="F923" s="10" t="s">
        <v>37</v>
      </c>
      <c r="G923" s="4" t="s">
        <v>198</v>
      </c>
      <c r="H923" s="4"/>
      <c r="I923" s="4">
        <f t="shared" si="43"/>
        <v>1400</v>
      </c>
      <c r="J923" s="4">
        <v>1400</v>
      </c>
      <c r="K923" s="4">
        <f t="shared" si="44"/>
        <v>0</v>
      </c>
      <c r="L923" s="1">
        <v>1400</v>
      </c>
      <c r="M923" s="93">
        <f t="shared" si="42"/>
        <v>0</v>
      </c>
      <c r="N923" s="2"/>
      <c r="O923" s="97"/>
      <c r="P923" s="52"/>
    </row>
    <row r="924" spans="1:16" ht="40.950000000000003" customHeight="1" x14ac:dyDescent="0.3">
      <c r="A924" s="4">
        <v>204</v>
      </c>
      <c r="B924" s="10" t="s">
        <v>144</v>
      </c>
      <c r="C924" s="10"/>
      <c r="D924" s="10"/>
      <c r="E924" s="10"/>
      <c r="F924" s="10" t="s">
        <v>37</v>
      </c>
      <c r="G924" s="4" t="s">
        <v>200</v>
      </c>
      <c r="H924" s="4"/>
      <c r="I924" s="4">
        <f t="shared" si="43"/>
        <v>3500</v>
      </c>
      <c r="J924" s="4">
        <v>3500</v>
      </c>
      <c r="K924" s="4">
        <f t="shared" si="44"/>
        <v>0</v>
      </c>
      <c r="L924" s="1">
        <v>3500</v>
      </c>
      <c r="M924" s="93">
        <f t="shared" si="42"/>
        <v>0</v>
      </c>
      <c r="N924" s="2"/>
      <c r="O924" s="97"/>
      <c r="P924" s="52"/>
    </row>
    <row r="925" spans="1:16" ht="40.950000000000003" customHeight="1" x14ac:dyDescent="0.3">
      <c r="A925" s="4">
        <v>204</v>
      </c>
      <c r="B925" s="10" t="s">
        <v>144</v>
      </c>
      <c r="C925" s="10"/>
      <c r="D925" s="10"/>
      <c r="E925" s="10"/>
      <c r="F925" s="10" t="s">
        <v>37</v>
      </c>
      <c r="G925" s="4" t="s">
        <v>238</v>
      </c>
      <c r="H925" s="4"/>
      <c r="I925" s="4">
        <f t="shared" si="43"/>
        <v>2800</v>
      </c>
      <c r="J925" s="4">
        <v>2800</v>
      </c>
      <c r="K925" s="4">
        <f t="shared" si="44"/>
        <v>0</v>
      </c>
      <c r="L925" s="1">
        <v>2800</v>
      </c>
      <c r="M925" s="93">
        <f t="shared" si="42"/>
        <v>0</v>
      </c>
      <c r="N925" s="2"/>
      <c r="O925" s="97"/>
      <c r="P925" s="52"/>
    </row>
    <row r="926" spans="1:16" ht="40.950000000000003" customHeight="1" x14ac:dyDescent="0.3">
      <c r="A926" s="4">
        <v>204</v>
      </c>
      <c r="B926" s="10" t="s">
        <v>144</v>
      </c>
      <c r="C926" s="10"/>
      <c r="D926" s="10"/>
      <c r="E926" s="10"/>
      <c r="F926" s="10" t="s">
        <v>37</v>
      </c>
      <c r="G926" s="4" t="s">
        <v>169</v>
      </c>
      <c r="H926" s="4"/>
      <c r="I926" s="4">
        <f t="shared" si="43"/>
        <v>2800</v>
      </c>
      <c r="J926" s="4">
        <v>2800</v>
      </c>
      <c r="K926" s="4">
        <f t="shared" si="44"/>
        <v>0</v>
      </c>
      <c r="L926" s="1">
        <v>2800</v>
      </c>
      <c r="M926" s="93">
        <f t="shared" si="42"/>
        <v>0</v>
      </c>
      <c r="N926" s="2"/>
      <c r="O926" s="97"/>
      <c r="P926" s="52"/>
    </row>
    <row r="927" spans="1:16" ht="40.950000000000003" customHeight="1" x14ac:dyDescent="0.3">
      <c r="A927" s="4">
        <v>204</v>
      </c>
      <c r="B927" s="10" t="s">
        <v>144</v>
      </c>
      <c r="C927" s="10"/>
      <c r="D927" s="10"/>
      <c r="E927" s="10"/>
      <c r="F927" s="10" t="s">
        <v>37</v>
      </c>
      <c r="G927" s="4" t="s">
        <v>39</v>
      </c>
      <c r="H927" s="4"/>
      <c r="I927" s="4">
        <f t="shared" si="43"/>
        <v>4200</v>
      </c>
      <c r="J927" s="4">
        <v>4200</v>
      </c>
      <c r="K927" s="4">
        <f t="shared" si="44"/>
        <v>0</v>
      </c>
      <c r="L927" s="1">
        <v>4200</v>
      </c>
      <c r="M927" s="93">
        <f t="shared" si="42"/>
        <v>0</v>
      </c>
      <c r="N927" s="2">
        <v>0</v>
      </c>
      <c r="O927" s="97">
        <v>0</v>
      </c>
      <c r="P927" s="52"/>
    </row>
    <row r="928" spans="1:16" ht="40.950000000000003" customHeight="1" x14ac:dyDescent="0.3">
      <c r="A928" s="4">
        <v>205</v>
      </c>
      <c r="B928" s="10" t="s">
        <v>131</v>
      </c>
      <c r="C928" s="10"/>
      <c r="D928" s="10"/>
      <c r="E928" s="10"/>
      <c r="F928" s="10" t="s">
        <v>37</v>
      </c>
      <c r="G928" s="4" t="s">
        <v>9</v>
      </c>
      <c r="H928" s="4"/>
      <c r="I928" s="4">
        <f t="shared" si="43"/>
        <v>917</v>
      </c>
      <c r="J928" s="4">
        <v>1400</v>
      </c>
      <c r="K928" s="4">
        <f t="shared" si="44"/>
        <v>0</v>
      </c>
      <c r="L928" s="1">
        <v>1400</v>
      </c>
      <c r="M928" s="93">
        <f t="shared" si="42"/>
        <v>0</v>
      </c>
      <c r="N928" s="2">
        <v>483</v>
      </c>
      <c r="O928" s="97">
        <v>483</v>
      </c>
      <c r="P928" s="52"/>
    </row>
    <row r="929" spans="1:16" ht="40.950000000000003" customHeight="1" x14ac:dyDescent="0.3">
      <c r="A929" s="4">
        <v>205</v>
      </c>
      <c r="B929" s="10" t="s">
        <v>131</v>
      </c>
      <c r="C929" s="10"/>
      <c r="D929" s="10"/>
      <c r="E929" s="10"/>
      <c r="F929" s="10" t="s">
        <v>37</v>
      </c>
      <c r="G929" s="4" t="s">
        <v>22</v>
      </c>
      <c r="H929" s="4"/>
      <c r="I929" s="4">
        <f t="shared" si="43"/>
        <v>700</v>
      </c>
      <c r="J929" s="4">
        <v>700</v>
      </c>
      <c r="K929" s="4">
        <f t="shared" si="44"/>
        <v>0</v>
      </c>
      <c r="L929" s="1">
        <v>700</v>
      </c>
      <c r="M929" s="93">
        <f t="shared" si="42"/>
        <v>0</v>
      </c>
      <c r="N929" s="2"/>
      <c r="O929" s="97"/>
      <c r="P929" s="52"/>
    </row>
    <row r="930" spans="1:16" ht="40.950000000000003" customHeight="1" x14ac:dyDescent="0.3">
      <c r="A930" s="4">
        <v>205</v>
      </c>
      <c r="B930" s="10" t="s">
        <v>131</v>
      </c>
      <c r="C930" s="10"/>
      <c r="D930" s="10"/>
      <c r="E930" s="10"/>
      <c r="F930" s="10" t="s">
        <v>37</v>
      </c>
      <c r="G930" s="4" t="s">
        <v>70</v>
      </c>
      <c r="H930" s="4"/>
      <c r="I930" s="4">
        <f t="shared" si="43"/>
        <v>700</v>
      </c>
      <c r="J930" s="4">
        <v>700</v>
      </c>
      <c r="K930" s="4">
        <f t="shared" si="44"/>
        <v>0</v>
      </c>
      <c r="L930" s="1">
        <v>700</v>
      </c>
      <c r="M930" s="93">
        <f t="shared" si="42"/>
        <v>0</v>
      </c>
      <c r="N930" s="2"/>
      <c r="O930" s="97"/>
      <c r="P930" s="52"/>
    </row>
    <row r="931" spans="1:16" ht="40.950000000000003" customHeight="1" x14ac:dyDescent="0.3">
      <c r="A931" s="4">
        <v>205</v>
      </c>
      <c r="B931" s="10" t="s">
        <v>131</v>
      </c>
      <c r="C931" s="10"/>
      <c r="D931" s="10"/>
      <c r="E931" s="10"/>
      <c r="F931" s="10" t="s">
        <v>37</v>
      </c>
      <c r="G931" s="4" t="s">
        <v>11</v>
      </c>
      <c r="H931" s="4"/>
      <c r="I931" s="4">
        <f t="shared" si="43"/>
        <v>986</v>
      </c>
      <c r="J931" s="4">
        <v>1400</v>
      </c>
      <c r="K931" s="4">
        <f t="shared" si="44"/>
        <v>0</v>
      </c>
      <c r="L931" s="1">
        <v>1400</v>
      </c>
      <c r="M931" s="93">
        <f t="shared" si="42"/>
        <v>0</v>
      </c>
      <c r="N931" s="2">
        <v>414</v>
      </c>
      <c r="O931" s="97">
        <v>414</v>
      </c>
      <c r="P931" s="52"/>
    </row>
    <row r="932" spans="1:16" ht="40.950000000000003" customHeight="1" x14ac:dyDescent="0.3">
      <c r="A932" s="4">
        <v>206</v>
      </c>
      <c r="B932" s="10" t="s">
        <v>126</v>
      </c>
      <c r="C932" s="10"/>
      <c r="D932" s="10"/>
      <c r="E932" s="10"/>
      <c r="F932" s="10" t="s">
        <v>37</v>
      </c>
      <c r="G932" s="4" t="s">
        <v>78</v>
      </c>
      <c r="H932" s="4"/>
      <c r="I932" s="4">
        <f t="shared" si="43"/>
        <v>108132</v>
      </c>
      <c r="J932" s="4">
        <v>133500</v>
      </c>
      <c r="K932" s="4">
        <f t="shared" si="44"/>
        <v>0</v>
      </c>
      <c r="L932" s="1">
        <v>133500</v>
      </c>
      <c r="M932" s="93">
        <f t="shared" si="42"/>
        <v>0</v>
      </c>
      <c r="N932" s="2">
        <v>25368</v>
      </c>
      <c r="O932" s="97">
        <f>6646+18722</f>
        <v>25368</v>
      </c>
      <c r="P932" s="52"/>
    </row>
    <row r="933" spans="1:16" ht="40.950000000000003" customHeight="1" x14ac:dyDescent="0.3">
      <c r="A933" s="4">
        <v>207</v>
      </c>
      <c r="B933" s="10" t="s">
        <v>187</v>
      </c>
      <c r="C933" s="10"/>
      <c r="D933" s="10"/>
      <c r="E933" s="10"/>
      <c r="F933" s="10" t="s">
        <v>34</v>
      </c>
      <c r="G933" s="4" t="s">
        <v>78</v>
      </c>
      <c r="H933" s="4"/>
      <c r="I933" s="4">
        <f t="shared" si="43"/>
        <v>84486</v>
      </c>
      <c r="J933" s="4">
        <v>87700</v>
      </c>
      <c r="K933" s="4">
        <f t="shared" si="44"/>
        <v>0</v>
      </c>
      <c r="L933" s="1">
        <v>87700</v>
      </c>
      <c r="M933" s="93">
        <f t="shared" si="42"/>
        <v>0</v>
      </c>
      <c r="N933" s="2">
        <v>3214</v>
      </c>
      <c r="O933" s="97">
        <v>3214</v>
      </c>
      <c r="P933" s="52"/>
    </row>
    <row r="934" spans="1:16" ht="40.950000000000003" customHeight="1" x14ac:dyDescent="0.3">
      <c r="A934" s="4">
        <v>208</v>
      </c>
      <c r="B934" s="10" t="s">
        <v>185</v>
      </c>
      <c r="C934" s="10"/>
      <c r="D934" s="10"/>
      <c r="E934" s="10"/>
      <c r="F934" s="10" t="s">
        <v>34</v>
      </c>
      <c r="G934" s="4" t="s">
        <v>78</v>
      </c>
      <c r="H934" s="4"/>
      <c r="I934" s="4">
        <f t="shared" si="43"/>
        <v>59000</v>
      </c>
      <c r="J934" s="4">
        <v>59000</v>
      </c>
      <c r="K934" s="4">
        <f t="shared" si="44"/>
        <v>0</v>
      </c>
      <c r="L934" s="1">
        <v>59000</v>
      </c>
      <c r="M934" s="93">
        <f t="shared" si="42"/>
        <v>0</v>
      </c>
      <c r="N934" s="2"/>
      <c r="O934" s="97"/>
      <c r="P934" s="52"/>
    </row>
    <row r="935" spans="1:16" ht="40.950000000000003" customHeight="1" x14ac:dyDescent="0.3">
      <c r="A935" s="4">
        <v>209</v>
      </c>
      <c r="B935" s="10" t="s">
        <v>214</v>
      </c>
      <c r="C935" s="10"/>
      <c r="D935" s="10"/>
      <c r="E935" s="10"/>
      <c r="F935" s="10" t="s">
        <v>34</v>
      </c>
      <c r="G935" s="4" t="s">
        <v>78</v>
      </c>
      <c r="H935" s="4"/>
      <c r="I935" s="4">
        <f t="shared" si="43"/>
        <v>55375</v>
      </c>
      <c r="J935" s="4">
        <v>55375</v>
      </c>
      <c r="K935" s="4">
        <f t="shared" si="44"/>
        <v>0</v>
      </c>
      <c r="L935" s="1">
        <v>55375</v>
      </c>
      <c r="M935" s="93">
        <f t="shared" si="42"/>
        <v>0</v>
      </c>
      <c r="N935" s="2"/>
      <c r="O935" s="97"/>
      <c r="P935" s="52"/>
    </row>
    <row r="936" spans="1:16" ht="40.950000000000003" customHeight="1" x14ac:dyDescent="0.3">
      <c r="A936" s="4">
        <v>209</v>
      </c>
      <c r="B936" s="10" t="s">
        <v>214</v>
      </c>
      <c r="C936" s="10"/>
      <c r="D936" s="10"/>
      <c r="E936" s="10"/>
      <c r="F936" s="10" t="s">
        <v>34</v>
      </c>
      <c r="G936" s="4" t="s">
        <v>14</v>
      </c>
      <c r="H936" s="4"/>
      <c r="I936" s="4">
        <f t="shared" si="43"/>
        <v>192325</v>
      </c>
      <c r="J936" s="4">
        <v>192325</v>
      </c>
      <c r="K936" s="4">
        <f t="shared" si="44"/>
        <v>0</v>
      </c>
      <c r="L936" s="1">
        <v>192325</v>
      </c>
      <c r="M936" s="93">
        <f t="shared" si="42"/>
        <v>0</v>
      </c>
      <c r="N936" s="2"/>
      <c r="O936" s="97"/>
      <c r="P936" s="52"/>
    </row>
    <row r="937" spans="1:16" ht="40.950000000000003" customHeight="1" x14ac:dyDescent="0.3">
      <c r="A937" s="4">
        <v>210</v>
      </c>
      <c r="B937" s="10" t="s">
        <v>407</v>
      </c>
      <c r="C937" s="10"/>
      <c r="D937" s="10"/>
      <c r="E937" s="10"/>
      <c r="F937" s="10" t="s">
        <v>34</v>
      </c>
      <c r="G937" s="4" t="s">
        <v>14</v>
      </c>
      <c r="H937" s="4">
        <v>22</v>
      </c>
      <c r="I937" s="4">
        <f t="shared" si="43"/>
        <v>307893</v>
      </c>
      <c r="J937" s="4">
        <v>308463</v>
      </c>
      <c r="K937" s="4">
        <f t="shared" si="44"/>
        <v>0</v>
      </c>
      <c r="L937" s="1">
        <v>308463</v>
      </c>
      <c r="M937" s="93">
        <f t="shared" si="42"/>
        <v>0</v>
      </c>
      <c r="N937" s="2">
        <v>570</v>
      </c>
      <c r="O937" s="97">
        <f>570</f>
        <v>570</v>
      </c>
      <c r="P937" s="52"/>
    </row>
    <row r="938" spans="1:16" ht="40.950000000000003" customHeight="1" x14ac:dyDescent="0.3">
      <c r="A938" s="4">
        <v>211</v>
      </c>
      <c r="B938" s="10" t="s">
        <v>436</v>
      </c>
      <c r="C938" s="10"/>
      <c r="D938" s="10"/>
      <c r="E938" s="10"/>
      <c r="F938" s="10" t="s">
        <v>437</v>
      </c>
      <c r="G938" s="4" t="s">
        <v>199</v>
      </c>
      <c r="H938" s="4">
        <v>3</v>
      </c>
      <c r="I938" s="4">
        <f t="shared" si="43"/>
        <v>280050</v>
      </c>
      <c r="J938" s="4">
        <v>280250</v>
      </c>
      <c r="K938" s="4">
        <f t="shared" si="44"/>
        <v>0</v>
      </c>
      <c r="L938" s="1">
        <v>280250</v>
      </c>
      <c r="M938" s="93">
        <f t="shared" si="42"/>
        <v>0</v>
      </c>
      <c r="N938" s="2">
        <v>200</v>
      </c>
      <c r="O938" s="97">
        <f>200</f>
        <v>200</v>
      </c>
      <c r="P938" s="52">
        <v>0.95</v>
      </c>
    </row>
    <row r="939" spans="1:16" ht="40.950000000000003" customHeight="1" x14ac:dyDescent="0.3">
      <c r="A939" s="4">
        <v>212</v>
      </c>
      <c r="B939" s="10" t="s">
        <v>73</v>
      </c>
      <c r="C939" s="10"/>
      <c r="D939" s="10"/>
      <c r="E939" s="10"/>
      <c r="F939" s="10" t="s">
        <v>74</v>
      </c>
      <c r="G939" s="4" t="s">
        <v>14</v>
      </c>
      <c r="H939" s="4"/>
      <c r="I939" s="4">
        <f t="shared" si="43"/>
        <v>28100</v>
      </c>
      <c r="J939" s="4">
        <v>28100</v>
      </c>
      <c r="K939" s="4">
        <f t="shared" si="44"/>
        <v>0</v>
      </c>
      <c r="L939" s="1">
        <v>28100</v>
      </c>
      <c r="M939" s="93">
        <f t="shared" si="42"/>
        <v>0</v>
      </c>
      <c r="N939" s="2"/>
      <c r="O939" s="97"/>
      <c r="P939" s="52"/>
    </row>
    <row r="940" spans="1:16" ht="40.950000000000003" customHeight="1" x14ac:dyDescent="0.3">
      <c r="A940" s="4">
        <v>213</v>
      </c>
      <c r="B940" s="10" t="s">
        <v>16</v>
      </c>
      <c r="C940" s="10"/>
      <c r="D940" s="10"/>
      <c r="E940" s="10"/>
      <c r="F940" s="10" t="s">
        <v>74</v>
      </c>
      <c r="G940" s="4" t="s">
        <v>14</v>
      </c>
      <c r="H940" s="4"/>
      <c r="I940" s="4">
        <f t="shared" si="43"/>
        <v>4150</v>
      </c>
      <c r="J940" s="4">
        <v>4150</v>
      </c>
      <c r="K940" s="4">
        <f t="shared" si="44"/>
        <v>0</v>
      </c>
      <c r="L940" s="1">
        <v>4150</v>
      </c>
      <c r="M940" s="93">
        <f t="shared" si="42"/>
        <v>0</v>
      </c>
      <c r="N940" s="2">
        <v>0</v>
      </c>
      <c r="O940" s="97">
        <v>0</v>
      </c>
      <c r="P940" s="52"/>
    </row>
    <row r="941" spans="1:16" ht="40.950000000000003" customHeight="1" x14ac:dyDescent="0.3">
      <c r="A941" s="4">
        <v>214</v>
      </c>
      <c r="B941" s="10" t="s">
        <v>40</v>
      </c>
      <c r="C941" s="10"/>
      <c r="D941" s="10"/>
      <c r="E941" s="10"/>
      <c r="F941" s="10" t="s">
        <v>41</v>
      </c>
      <c r="G941" s="4" t="s">
        <v>14</v>
      </c>
      <c r="H941" s="4"/>
      <c r="I941" s="4">
        <f t="shared" si="43"/>
        <v>308000</v>
      </c>
      <c r="J941" s="4">
        <v>308000</v>
      </c>
      <c r="K941" s="4">
        <f t="shared" si="44"/>
        <v>0</v>
      </c>
      <c r="L941" s="1">
        <v>308000</v>
      </c>
      <c r="M941" s="93">
        <f t="shared" ref="M941:M1004" si="45">O941-N941</f>
        <v>0</v>
      </c>
      <c r="N941" s="2"/>
      <c r="O941" s="97"/>
      <c r="P941" s="52"/>
    </row>
    <row r="942" spans="1:16" ht="40.950000000000003" customHeight="1" x14ac:dyDescent="0.3">
      <c r="A942" s="4">
        <v>215</v>
      </c>
      <c r="B942" s="10" t="s">
        <v>42</v>
      </c>
      <c r="C942" s="10"/>
      <c r="D942" s="10"/>
      <c r="E942" s="10"/>
      <c r="F942" s="10" t="s">
        <v>43</v>
      </c>
      <c r="G942" s="4" t="s">
        <v>14</v>
      </c>
      <c r="H942" s="4"/>
      <c r="I942" s="4">
        <f t="shared" si="43"/>
        <v>7500</v>
      </c>
      <c r="J942" s="4">
        <v>7500</v>
      </c>
      <c r="K942" s="4">
        <f t="shared" si="44"/>
        <v>0</v>
      </c>
      <c r="L942" s="1">
        <v>7500</v>
      </c>
      <c r="M942" s="93">
        <f t="shared" si="45"/>
        <v>0</v>
      </c>
      <c r="N942" s="2"/>
      <c r="O942" s="97"/>
      <c r="P942" s="52"/>
    </row>
    <row r="943" spans="1:16" ht="40.950000000000003" customHeight="1" x14ac:dyDescent="0.3">
      <c r="A943" s="4">
        <v>216</v>
      </c>
      <c r="B943" s="10" t="s">
        <v>414</v>
      </c>
      <c r="C943" s="10"/>
      <c r="D943" s="10"/>
      <c r="E943" s="10"/>
      <c r="F943" s="10" t="s">
        <v>83</v>
      </c>
      <c r="G943" s="4" t="s">
        <v>14</v>
      </c>
      <c r="H943" s="4"/>
      <c r="I943" s="4">
        <f t="shared" si="43"/>
        <v>144000</v>
      </c>
      <c r="J943" s="4">
        <v>144000</v>
      </c>
      <c r="K943" s="4">
        <f t="shared" si="44"/>
        <v>0</v>
      </c>
      <c r="L943" s="1">
        <v>144000</v>
      </c>
      <c r="M943" s="93">
        <f t="shared" si="45"/>
        <v>0</v>
      </c>
      <c r="N943" s="2"/>
      <c r="O943" s="97"/>
      <c r="P943" s="52"/>
    </row>
    <row r="944" spans="1:16" ht="40.950000000000003" customHeight="1" x14ac:dyDescent="0.3">
      <c r="A944" s="4">
        <v>217</v>
      </c>
      <c r="B944" s="10" t="s">
        <v>82</v>
      </c>
      <c r="C944" s="10"/>
      <c r="D944" s="10"/>
      <c r="E944" s="10"/>
      <c r="F944" s="10" t="s">
        <v>83</v>
      </c>
      <c r="G944" s="4" t="s">
        <v>78</v>
      </c>
      <c r="H944" s="4">
        <v>1</v>
      </c>
      <c r="I944" s="4">
        <f t="shared" si="43"/>
        <v>2000</v>
      </c>
      <c r="J944" s="4">
        <v>2000</v>
      </c>
      <c r="K944" s="4">
        <f t="shared" si="44"/>
        <v>0</v>
      </c>
      <c r="L944" s="1">
        <v>2000</v>
      </c>
      <c r="M944" s="93"/>
      <c r="N944" s="2"/>
      <c r="O944" s="97"/>
      <c r="P944" s="52"/>
    </row>
    <row r="945" spans="1:16" ht="40.950000000000003" customHeight="1" x14ac:dyDescent="0.3">
      <c r="A945" s="4">
        <v>217</v>
      </c>
      <c r="B945" s="10" t="s">
        <v>82</v>
      </c>
      <c r="C945" s="10" t="s">
        <v>310</v>
      </c>
      <c r="D945" s="10" t="s">
        <v>294</v>
      </c>
      <c r="E945" s="10">
        <v>25959</v>
      </c>
      <c r="F945" s="10" t="s">
        <v>83</v>
      </c>
      <c r="G945" s="4" t="s">
        <v>14</v>
      </c>
      <c r="H945" s="4"/>
      <c r="I945" s="4">
        <f t="shared" si="43"/>
        <v>3680000</v>
      </c>
      <c r="J945" s="4">
        <v>3832762</v>
      </c>
      <c r="K945" s="4">
        <f t="shared" si="44"/>
        <v>0</v>
      </c>
      <c r="L945" s="1">
        <v>3832762</v>
      </c>
      <c r="M945" s="93">
        <f t="shared" si="45"/>
        <v>0</v>
      </c>
      <c r="N945" s="2">
        <v>152762</v>
      </c>
      <c r="O945" s="97">
        <f>131063+6500+5000+32999+43500+29300+4650+7750-108000</f>
        <v>152762</v>
      </c>
      <c r="P945" s="52"/>
    </row>
    <row r="946" spans="1:16" ht="40.950000000000003" customHeight="1" x14ac:dyDescent="0.3">
      <c r="A946" s="4">
        <v>217</v>
      </c>
      <c r="B946" s="10" t="s">
        <v>82</v>
      </c>
      <c r="C946" s="10" t="s">
        <v>310</v>
      </c>
      <c r="D946" s="10" t="s">
        <v>294</v>
      </c>
      <c r="E946" s="10">
        <v>25959</v>
      </c>
      <c r="F946" s="10" t="s">
        <v>110</v>
      </c>
      <c r="G946" s="4" t="s">
        <v>14</v>
      </c>
      <c r="H946" s="4"/>
      <c r="I946" s="4">
        <f t="shared" si="43"/>
        <v>380900</v>
      </c>
      <c r="J946" s="4">
        <v>385900</v>
      </c>
      <c r="K946" s="4">
        <f t="shared" si="44"/>
        <v>0</v>
      </c>
      <c r="L946" s="1">
        <v>385900</v>
      </c>
      <c r="M946" s="93">
        <f t="shared" si="45"/>
        <v>0</v>
      </c>
      <c r="N946" s="2">
        <v>5000</v>
      </c>
      <c r="O946" s="97">
        <f>66365-61365</f>
        <v>5000</v>
      </c>
      <c r="P946" s="52"/>
    </row>
    <row r="947" spans="1:16" ht="40.950000000000003" customHeight="1" x14ac:dyDescent="0.3">
      <c r="A947" s="4">
        <v>218</v>
      </c>
      <c r="B947" s="10" t="s">
        <v>109</v>
      </c>
      <c r="C947" s="10" t="s">
        <v>330</v>
      </c>
      <c r="D947" s="10" t="s">
        <v>293</v>
      </c>
      <c r="E947" s="10">
        <v>69226</v>
      </c>
      <c r="F947" s="10" t="s">
        <v>110</v>
      </c>
      <c r="G947" s="10" t="s">
        <v>14</v>
      </c>
      <c r="H947" s="10"/>
      <c r="I947" s="4">
        <f t="shared" ref="I947:I1010" si="46">J947-O947</f>
        <v>2753969</v>
      </c>
      <c r="J947" s="4">
        <v>2763969</v>
      </c>
      <c r="K947" s="4">
        <f t="shared" si="44"/>
        <v>0</v>
      </c>
      <c r="L947" s="1">
        <v>2763969</v>
      </c>
      <c r="M947" s="93">
        <f t="shared" si="45"/>
        <v>0</v>
      </c>
      <c r="N947" s="2">
        <v>10000</v>
      </c>
      <c r="O947" s="97">
        <f>10000</f>
        <v>10000</v>
      </c>
      <c r="P947" s="52"/>
    </row>
    <row r="948" spans="1:16" ht="40.950000000000003" customHeight="1" x14ac:dyDescent="0.3">
      <c r="A948" s="4">
        <v>219</v>
      </c>
      <c r="B948" s="10" t="s">
        <v>186</v>
      </c>
      <c r="C948" s="10"/>
      <c r="D948" s="10"/>
      <c r="E948" s="10"/>
      <c r="F948" s="10" t="s">
        <v>110</v>
      </c>
      <c r="G948" s="10" t="s">
        <v>184</v>
      </c>
      <c r="H948" s="10"/>
      <c r="I948" s="4">
        <f t="shared" si="46"/>
        <v>1166130</v>
      </c>
      <c r="J948" s="4">
        <v>1166130</v>
      </c>
      <c r="K948" s="4">
        <f t="shared" si="44"/>
        <v>0</v>
      </c>
      <c r="L948" s="1">
        <v>1166130</v>
      </c>
      <c r="M948" s="93">
        <f t="shared" si="45"/>
        <v>0</v>
      </c>
      <c r="N948" s="2"/>
      <c r="O948" s="97"/>
      <c r="P948" s="52"/>
    </row>
    <row r="949" spans="1:16" ht="40.950000000000003" customHeight="1" x14ac:dyDescent="0.3">
      <c r="A949" s="4">
        <v>220</v>
      </c>
      <c r="B949" s="10" t="s">
        <v>176</v>
      </c>
      <c r="C949" s="10"/>
      <c r="D949" s="10"/>
      <c r="E949" s="10"/>
      <c r="F949" s="10" t="s">
        <v>110</v>
      </c>
      <c r="G949" s="10" t="s">
        <v>14</v>
      </c>
      <c r="H949" s="10"/>
      <c r="I949" s="4">
        <f t="shared" si="46"/>
        <v>57000</v>
      </c>
      <c r="J949" s="4">
        <v>57900</v>
      </c>
      <c r="K949" s="4">
        <f t="shared" si="44"/>
        <v>0</v>
      </c>
      <c r="L949" s="1">
        <v>57900</v>
      </c>
      <c r="M949" s="93">
        <f t="shared" si="45"/>
        <v>0</v>
      </c>
      <c r="N949" s="2">
        <v>900</v>
      </c>
      <c r="O949" s="97">
        <v>900</v>
      </c>
      <c r="P949" s="52"/>
    </row>
    <row r="950" spans="1:16" ht="40.950000000000003" customHeight="1" x14ac:dyDescent="0.3">
      <c r="A950" s="4">
        <v>221</v>
      </c>
      <c r="B950" s="10" t="s">
        <v>172</v>
      </c>
      <c r="C950" s="10"/>
      <c r="D950" s="10"/>
      <c r="E950" s="10"/>
      <c r="F950" s="10" t="s">
        <v>110</v>
      </c>
      <c r="G950" s="4" t="s">
        <v>174</v>
      </c>
      <c r="H950" s="4"/>
      <c r="I950" s="4">
        <f t="shared" si="46"/>
        <v>5750</v>
      </c>
      <c r="J950" s="4">
        <v>5750</v>
      </c>
      <c r="K950" s="4">
        <f t="shared" si="44"/>
        <v>0</v>
      </c>
      <c r="L950" s="1">
        <v>5750</v>
      </c>
      <c r="M950" s="93">
        <f t="shared" si="45"/>
        <v>0</v>
      </c>
      <c r="N950" s="2"/>
      <c r="O950" s="97"/>
      <c r="P950" s="52"/>
    </row>
    <row r="951" spans="1:16" ht="40.950000000000003" customHeight="1" x14ac:dyDescent="0.3">
      <c r="A951" s="4">
        <v>222</v>
      </c>
      <c r="B951" s="10" t="s">
        <v>173</v>
      </c>
      <c r="C951" s="10"/>
      <c r="D951" s="10"/>
      <c r="E951" s="10"/>
      <c r="F951" s="10" t="s">
        <v>110</v>
      </c>
      <c r="G951" s="10" t="s">
        <v>93</v>
      </c>
      <c r="H951" s="10"/>
      <c r="I951" s="4">
        <f t="shared" si="46"/>
        <v>5750</v>
      </c>
      <c r="J951" s="4">
        <v>5750</v>
      </c>
      <c r="K951" s="4">
        <f t="shared" si="44"/>
        <v>0</v>
      </c>
      <c r="L951" s="1">
        <v>5750</v>
      </c>
      <c r="M951" s="93">
        <f t="shared" si="45"/>
        <v>0</v>
      </c>
      <c r="N951" s="2"/>
      <c r="O951" s="97"/>
      <c r="P951" s="52"/>
    </row>
    <row r="952" spans="1:16" ht="40.950000000000003" customHeight="1" x14ac:dyDescent="0.3">
      <c r="A952" s="4">
        <v>223</v>
      </c>
      <c r="B952" s="10" t="s">
        <v>207</v>
      </c>
      <c r="C952" s="10"/>
      <c r="D952" s="10"/>
      <c r="E952" s="10"/>
      <c r="F952" s="10" t="s">
        <v>13</v>
      </c>
      <c r="G952" s="4" t="s">
        <v>14</v>
      </c>
      <c r="H952" s="4">
        <v>20</v>
      </c>
      <c r="I952" s="4">
        <f t="shared" si="46"/>
        <v>169820</v>
      </c>
      <c r="J952" s="4">
        <v>169820</v>
      </c>
      <c r="K952" s="4">
        <f t="shared" si="44"/>
        <v>0</v>
      </c>
      <c r="L952" s="1">
        <v>169820</v>
      </c>
      <c r="M952" s="93">
        <f t="shared" si="45"/>
        <v>0</v>
      </c>
      <c r="N952" s="2"/>
      <c r="O952" s="97"/>
      <c r="P952" s="52">
        <v>1</v>
      </c>
    </row>
    <row r="953" spans="1:16" ht="40.950000000000003" customHeight="1" x14ac:dyDescent="0.3">
      <c r="A953" s="4">
        <v>224</v>
      </c>
      <c r="B953" s="10" t="s">
        <v>12</v>
      </c>
      <c r="C953" s="10"/>
      <c r="D953" s="10"/>
      <c r="E953" s="10"/>
      <c r="F953" s="10" t="s">
        <v>13</v>
      </c>
      <c r="G953" s="4" t="s">
        <v>14</v>
      </c>
      <c r="H953" s="4"/>
      <c r="I953" s="4">
        <f t="shared" si="46"/>
        <v>62360</v>
      </c>
      <c r="J953" s="4">
        <v>62360</v>
      </c>
      <c r="K953" s="4">
        <f t="shared" si="44"/>
        <v>0</v>
      </c>
      <c r="L953" s="1">
        <v>62360</v>
      </c>
      <c r="M953" s="93">
        <f t="shared" si="45"/>
        <v>0</v>
      </c>
      <c r="N953" s="2">
        <v>0</v>
      </c>
      <c r="O953" s="97">
        <v>0</v>
      </c>
      <c r="P953" s="52"/>
    </row>
    <row r="954" spans="1:16" ht="40.950000000000003" customHeight="1" x14ac:dyDescent="0.3">
      <c r="A954" s="4">
        <v>225</v>
      </c>
      <c r="B954" s="10" t="s">
        <v>15</v>
      </c>
      <c r="C954" s="10"/>
      <c r="D954" s="10"/>
      <c r="E954" s="10"/>
      <c r="F954" s="10" t="s">
        <v>13</v>
      </c>
      <c r="G954" s="4" t="s">
        <v>14</v>
      </c>
      <c r="H954" s="4"/>
      <c r="I954" s="4">
        <f t="shared" si="46"/>
        <v>15000</v>
      </c>
      <c r="J954" s="4">
        <v>15000</v>
      </c>
      <c r="K954" s="4">
        <f t="shared" si="44"/>
        <v>0</v>
      </c>
      <c r="L954" s="1">
        <v>15000</v>
      </c>
      <c r="M954" s="93">
        <f t="shared" si="45"/>
        <v>0</v>
      </c>
      <c r="N954" s="2">
        <v>0</v>
      </c>
      <c r="O954" s="97">
        <v>0</v>
      </c>
      <c r="P954" s="52"/>
    </row>
    <row r="955" spans="1:16" ht="40.950000000000003" customHeight="1" x14ac:dyDescent="0.3">
      <c r="A955" s="4">
        <v>1</v>
      </c>
      <c r="B955" s="10" t="s">
        <v>19</v>
      </c>
      <c r="C955" s="10"/>
      <c r="D955" s="10"/>
      <c r="E955" s="10"/>
      <c r="F955" s="10" t="s">
        <v>0</v>
      </c>
      <c r="G955" s="4" t="s">
        <v>14</v>
      </c>
      <c r="H955" s="4">
        <v>49</v>
      </c>
      <c r="I955" s="4">
        <f t="shared" si="46"/>
        <v>10390008</v>
      </c>
      <c r="J955" s="61">
        <v>10400276</v>
      </c>
      <c r="K955" s="61">
        <f t="shared" si="44"/>
        <v>0</v>
      </c>
      <c r="L955" s="60">
        <v>10400276</v>
      </c>
      <c r="M955" s="93">
        <f t="shared" si="45"/>
        <v>0</v>
      </c>
      <c r="N955" s="2">
        <v>10268</v>
      </c>
      <c r="O955" s="97">
        <f>6050+2580+1638</f>
        <v>10268</v>
      </c>
      <c r="P955" s="52"/>
    </row>
    <row r="956" spans="1:16" ht="40.950000000000003" customHeight="1" x14ac:dyDescent="0.3">
      <c r="A956" s="4">
        <v>1</v>
      </c>
      <c r="B956" s="10" t="s">
        <v>19</v>
      </c>
      <c r="C956" s="10"/>
      <c r="D956" s="10"/>
      <c r="E956" s="10"/>
      <c r="F956" s="10" t="s">
        <v>0</v>
      </c>
      <c r="G956" s="4" t="s">
        <v>7</v>
      </c>
      <c r="H956" s="4"/>
      <c r="I956" s="4">
        <f t="shared" si="46"/>
        <v>13700</v>
      </c>
      <c r="J956" s="4">
        <v>13700</v>
      </c>
      <c r="K956" s="4">
        <f t="shared" si="44"/>
        <v>0</v>
      </c>
      <c r="L956" s="1">
        <v>13700</v>
      </c>
      <c r="M956" s="93">
        <f t="shared" si="45"/>
        <v>0</v>
      </c>
      <c r="N956" s="2"/>
      <c r="O956" s="97"/>
      <c r="P956" s="52"/>
    </row>
    <row r="957" spans="1:16" ht="40.950000000000003" customHeight="1" x14ac:dyDescent="0.3">
      <c r="A957" s="4">
        <v>1</v>
      </c>
      <c r="B957" s="10" t="s">
        <v>19</v>
      </c>
      <c r="C957" s="10"/>
      <c r="D957" s="10"/>
      <c r="E957" s="10"/>
      <c r="F957" s="10" t="s">
        <v>0</v>
      </c>
      <c r="G957" s="4" t="s">
        <v>8</v>
      </c>
      <c r="H957" s="4"/>
      <c r="I957" s="4">
        <f t="shared" si="46"/>
        <v>13380</v>
      </c>
      <c r="J957" s="4">
        <v>13380</v>
      </c>
      <c r="K957" s="4">
        <f t="shared" si="44"/>
        <v>0</v>
      </c>
      <c r="L957" s="1">
        <v>13380</v>
      </c>
      <c r="M957" s="93">
        <f t="shared" si="45"/>
        <v>0</v>
      </c>
      <c r="N957" s="2"/>
      <c r="O957" s="97"/>
      <c r="P957" s="52"/>
    </row>
    <row r="958" spans="1:16" ht="40.950000000000003" customHeight="1" x14ac:dyDescent="0.3">
      <c r="A958" s="4">
        <v>1</v>
      </c>
      <c r="B958" s="10" t="s">
        <v>19</v>
      </c>
      <c r="C958" s="10"/>
      <c r="D958" s="10"/>
      <c r="E958" s="10"/>
      <c r="F958" s="10" t="s">
        <v>0</v>
      </c>
      <c r="G958" s="4" t="s">
        <v>9</v>
      </c>
      <c r="H958" s="4"/>
      <c r="I958" s="4">
        <f t="shared" si="46"/>
        <v>13380</v>
      </c>
      <c r="J958" s="4">
        <v>13380</v>
      </c>
      <c r="K958" s="4">
        <f t="shared" si="44"/>
        <v>0</v>
      </c>
      <c r="L958" s="1">
        <v>13380</v>
      </c>
      <c r="M958" s="93">
        <f t="shared" si="45"/>
        <v>0</v>
      </c>
      <c r="N958" s="2"/>
      <c r="O958" s="97"/>
      <c r="P958" s="52"/>
    </row>
    <row r="959" spans="1:16" ht="40.950000000000003" customHeight="1" x14ac:dyDescent="0.3">
      <c r="A959" s="4">
        <v>1</v>
      </c>
      <c r="B959" s="10" t="s">
        <v>19</v>
      </c>
      <c r="C959" s="10"/>
      <c r="D959" s="10"/>
      <c r="E959" s="10"/>
      <c r="F959" s="10" t="s">
        <v>108</v>
      </c>
      <c r="G959" s="4" t="s">
        <v>7</v>
      </c>
      <c r="H959" s="4"/>
      <c r="I959" s="4">
        <f t="shared" si="46"/>
        <v>454560</v>
      </c>
      <c r="J959" s="4">
        <v>454560</v>
      </c>
      <c r="K959" s="4">
        <f t="shared" si="44"/>
        <v>0</v>
      </c>
      <c r="L959" s="1">
        <v>454560</v>
      </c>
      <c r="M959" s="93">
        <f t="shared" si="45"/>
        <v>0</v>
      </c>
      <c r="N959" s="2"/>
      <c r="O959" s="97"/>
      <c r="P959" s="52"/>
    </row>
    <row r="960" spans="1:16" ht="40.950000000000003" customHeight="1" x14ac:dyDescent="0.3">
      <c r="A960" s="4">
        <v>1</v>
      </c>
      <c r="B960" s="10" t="s">
        <v>19</v>
      </c>
      <c r="C960" s="10"/>
      <c r="D960" s="10"/>
      <c r="E960" s="10"/>
      <c r="F960" s="10" t="s">
        <v>108</v>
      </c>
      <c r="G960" s="4" t="s">
        <v>8</v>
      </c>
      <c r="H960" s="4"/>
      <c r="I960" s="4">
        <f t="shared" si="46"/>
        <v>443495</v>
      </c>
      <c r="J960" s="4">
        <v>443495</v>
      </c>
      <c r="K960" s="4">
        <f t="shared" si="44"/>
        <v>0</v>
      </c>
      <c r="L960" s="1">
        <v>443495</v>
      </c>
      <c r="M960" s="93">
        <f t="shared" si="45"/>
        <v>0</v>
      </c>
      <c r="N960" s="2"/>
      <c r="O960" s="97"/>
      <c r="P960" s="52"/>
    </row>
    <row r="961" spans="1:18" ht="40.950000000000003" customHeight="1" x14ac:dyDescent="0.3">
      <c r="A961" s="4">
        <v>1</v>
      </c>
      <c r="B961" s="10" t="s">
        <v>19</v>
      </c>
      <c r="C961" s="10"/>
      <c r="D961" s="10"/>
      <c r="E961" s="10"/>
      <c r="F961" s="10" t="s">
        <v>108</v>
      </c>
      <c r="G961" s="4" t="s">
        <v>11</v>
      </c>
      <c r="H961" s="4"/>
      <c r="I961" s="4">
        <f t="shared" si="46"/>
        <v>478335</v>
      </c>
      <c r="J961" s="4">
        <v>478335</v>
      </c>
      <c r="K961" s="4">
        <f t="shared" si="44"/>
        <v>0</v>
      </c>
      <c r="L961" s="1">
        <v>478335</v>
      </c>
      <c r="M961" s="93">
        <f t="shared" si="45"/>
        <v>0</v>
      </c>
      <c r="N961" s="2"/>
      <c r="O961" s="97"/>
      <c r="P961" s="52"/>
    </row>
    <row r="962" spans="1:18" ht="40.950000000000003" customHeight="1" x14ac:dyDescent="0.3">
      <c r="A962" s="4">
        <v>1</v>
      </c>
      <c r="B962" s="10" t="s">
        <v>19</v>
      </c>
      <c r="C962" s="10"/>
      <c r="D962" s="10"/>
      <c r="E962" s="10"/>
      <c r="F962" s="10" t="s">
        <v>108</v>
      </c>
      <c r="G962" s="4" t="s">
        <v>70</v>
      </c>
      <c r="H962" s="4"/>
      <c r="I962" s="4">
        <f t="shared" si="46"/>
        <v>458295</v>
      </c>
      <c r="J962" s="4">
        <v>458295</v>
      </c>
      <c r="K962" s="4">
        <f t="shared" si="44"/>
        <v>0</v>
      </c>
      <c r="L962" s="1">
        <v>458295</v>
      </c>
      <c r="M962" s="93">
        <f t="shared" si="45"/>
        <v>0</v>
      </c>
      <c r="N962" s="2"/>
      <c r="O962" s="97"/>
      <c r="P962" s="52"/>
    </row>
    <row r="963" spans="1:18" ht="40.950000000000003" customHeight="1" x14ac:dyDescent="0.3">
      <c r="A963" s="4">
        <v>1</v>
      </c>
      <c r="B963" s="10" t="s">
        <v>19</v>
      </c>
      <c r="C963" s="10"/>
      <c r="D963" s="10"/>
      <c r="E963" s="10"/>
      <c r="F963" s="10" t="s">
        <v>108</v>
      </c>
      <c r="G963" s="4" t="s">
        <v>90</v>
      </c>
      <c r="H963" s="4"/>
      <c r="I963" s="4">
        <f t="shared" si="46"/>
        <v>415940</v>
      </c>
      <c r="J963" s="4">
        <v>415940</v>
      </c>
      <c r="K963" s="4">
        <f t="shared" si="44"/>
        <v>0</v>
      </c>
      <c r="L963" s="1">
        <v>415940</v>
      </c>
      <c r="M963" s="93">
        <f t="shared" si="45"/>
        <v>0</v>
      </c>
      <c r="N963" s="2"/>
      <c r="O963" s="97"/>
      <c r="P963" s="52"/>
    </row>
    <row r="964" spans="1:18" ht="40.950000000000003" customHeight="1" x14ac:dyDescent="0.3">
      <c r="A964" s="4">
        <v>1</v>
      </c>
      <c r="B964" s="10" t="s">
        <v>19</v>
      </c>
      <c r="C964" s="10"/>
      <c r="D964" s="10"/>
      <c r="E964" s="10"/>
      <c r="F964" s="10" t="s">
        <v>108</v>
      </c>
      <c r="G964" s="4" t="s">
        <v>48</v>
      </c>
      <c r="H964" s="4"/>
      <c r="I964" s="4">
        <f t="shared" si="46"/>
        <v>330110</v>
      </c>
      <c r="J964" s="4">
        <v>330110</v>
      </c>
      <c r="K964" s="4">
        <f t="shared" si="44"/>
        <v>0</v>
      </c>
      <c r="L964" s="1">
        <v>330110</v>
      </c>
      <c r="M964" s="93">
        <f t="shared" si="45"/>
        <v>0</v>
      </c>
      <c r="N964" s="2"/>
      <c r="O964" s="97"/>
      <c r="P964" s="52"/>
    </row>
    <row r="965" spans="1:18" ht="40.950000000000003" customHeight="1" x14ac:dyDescent="0.3">
      <c r="A965" s="4">
        <v>1</v>
      </c>
      <c r="B965" s="10" t="s">
        <v>19</v>
      </c>
      <c r="C965" s="10"/>
      <c r="D965" s="10"/>
      <c r="E965" s="10"/>
      <c r="F965" s="10" t="s">
        <v>108</v>
      </c>
      <c r="G965" s="4" t="s">
        <v>49</v>
      </c>
      <c r="H965" s="4"/>
      <c r="I965" s="4">
        <f t="shared" si="46"/>
        <v>387130</v>
      </c>
      <c r="J965" s="4">
        <v>387130</v>
      </c>
      <c r="K965" s="4">
        <f t="shared" ref="K965:K1028" si="47">L965-J965</f>
        <v>0</v>
      </c>
      <c r="L965" s="1">
        <v>387130</v>
      </c>
      <c r="M965" s="93">
        <f t="shared" si="45"/>
        <v>0</v>
      </c>
      <c r="N965" s="2"/>
      <c r="O965" s="97"/>
      <c r="P965" s="52"/>
    </row>
    <row r="966" spans="1:18" ht="40.950000000000003" customHeight="1" x14ac:dyDescent="0.3">
      <c r="A966" s="4">
        <v>1</v>
      </c>
      <c r="B966" s="10" t="s">
        <v>19</v>
      </c>
      <c r="C966" s="10"/>
      <c r="D966" s="10"/>
      <c r="E966" s="10"/>
      <c r="F966" s="10" t="s">
        <v>108</v>
      </c>
      <c r="G966" s="4" t="s">
        <v>50</v>
      </c>
      <c r="H966" s="4"/>
      <c r="I966" s="4">
        <f t="shared" si="46"/>
        <v>397525</v>
      </c>
      <c r="J966" s="4">
        <v>397525</v>
      </c>
      <c r="K966" s="4">
        <f t="shared" si="47"/>
        <v>0</v>
      </c>
      <c r="L966" s="1">
        <v>397525</v>
      </c>
      <c r="M966" s="93">
        <f t="shared" si="45"/>
        <v>0</v>
      </c>
      <c r="N966" s="2"/>
      <c r="O966" s="97"/>
      <c r="P966" s="52"/>
    </row>
    <row r="967" spans="1:18" ht="40.950000000000003" customHeight="1" x14ac:dyDescent="0.3">
      <c r="A967" s="4">
        <v>1</v>
      </c>
      <c r="B967" s="10" t="s">
        <v>19</v>
      </c>
      <c r="C967" s="10"/>
      <c r="D967" s="10"/>
      <c r="E967" s="10"/>
      <c r="F967" s="10" t="s">
        <v>108</v>
      </c>
      <c r="G967" s="4" t="s">
        <v>51</v>
      </c>
      <c r="H967" s="4"/>
      <c r="I967" s="4">
        <f t="shared" si="46"/>
        <v>387350</v>
      </c>
      <c r="J967" s="4">
        <v>387350</v>
      </c>
      <c r="K967" s="4">
        <f t="shared" si="47"/>
        <v>0</v>
      </c>
      <c r="L967" s="1">
        <v>387350</v>
      </c>
      <c r="M967" s="93">
        <f t="shared" si="45"/>
        <v>0</v>
      </c>
      <c r="N967" s="2"/>
      <c r="O967" s="97"/>
      <c r="P967" s="52"/>
    </row>
    <row r="968" spans="1:18" ht="40.950000000000003" customHeight="1" x14ac:dyDescent="0.3">
      <c r="A968" s="4">
        <v>1</v>
      </c>
      <c r="B968" s="10" t="s">
        <v>19</v>
      </c>
      <c r="C968" s="10"/>
      <c r="D968" s="10"/>
      <c r="E968" s="10"/>
      <c r="F968" s="10" t="s">
        <v>108</v>
      </c>
      <c r="G968" s="4" t="s">
        <v>39</v>
      </c>
      <c r="H968" s="4"/>
      <c r="I968" s="4">
        <f t="shared" si="46"/>
        <v>479025</v>
      </c>
      <c r="J968" s="4">
        <v>479025</v>
      </c>
      <c r="K968" s="4">
        <f t="shared" si="47"/>
        <v>0</v>
      </c>
      <c r="L968" s="1">
        <v>479025</v>
      </c>
      <c r="M968" s="93">
        <f t="shared" si="45"/>
        <v>0</v>
      </c>
      <c r="N968" s="2"/>
      <c r="O968" s="97"/>
      <c r="P968" s="52"/>
    </row>
    <row r="969" spans="1:18" ht="40.950000000000003" customHeight="1" x14ac:dyDescent="0.3">
      <c r="A969" s="4">
        <v>1</v>
      </c>
      <c r="B969" s="10" t="s">
        <v>19</v>
      </c>
      <c r="C969" s="10"/>
      <c r="D969" s="10"/>
      <c r="E969" s="10"/>
      <c r="F969" s="10" t="s">
        <v>108</v>
      </c>
      <c r="G969" s="4" t="s">
        <v>22</v>
      </c>
      <c r="H969" s="4"/>
      <c r="I969" s="4">
        <f t="shared" si="46"/>
        <v>464975</v>
      </c>
      <c r="J969" s="4">
        <v>464975</v>
      </c>
      <c r="K969" s="4">
        <f t="shared" si="47"/>
        <v>0</v>
      </c>
      <c r="L969" s="1">
        <v>464975</v>
      </c>
      <c r="M969" s="93">
        <f t="shared" si="45"/>
        <v>0</v>
      </c>
      <c r="N969" s="2"/>
      <c r="O969" s="97"/>
      <c r="P969" s="52"/>
    </row>
    <row r="970" spans="1:18" ht="40.950000000000003" customHeight="1" x14ac:dyDescent="0.3">
      <c r="A970" s="4">
        <v>1</v>
      </c>
      <c r="B970" s="10" t="s">
        <v>19</v>
      </c>
      <c r="C970" s="10"/>
      <c r="D970" s="10"/>
      <c r="E970" s="10"/>
      <c r="F970" s="10" t="s">
        <v>108</v>
      </c>
      <c r="G970" s="4" t="s">
        <v>9</v>
      </c>
      <c r="H970" s="4"/>
      <c r="I970" s="4">
        <f t="shared" si="46"/>
        <v>551700</v>
      </c>
      <c r="J970" s="4">
        <v>551700</v>
      </c>
      <c r="K970" s="4">
        <f t="shared" si="47"/>
        <v>0</v>
      </c>
      <c r="L970" s="1">
        <v>551700</v>
      </c>
      <c r="M970" s="93">
        <f t="shared" si="45"/>
        <v>0</v>
      </c>
      <c r="N970" s="2"/>
      <c r="O970" s="97"/>
      <c r="P970" s="52"/>
    </row>
    <row r="971" spans="1:18" ht="40.950000000000003" customHeight="1" x14ac:dyDescent="0.3">
      <c r="A971" s="4">
        <v>1</v>
      </c>
      <c r="B971" s="10" t="s">
        <v>19</v>
      </c>
      <c r="C971" s="10"/>
      <c r="D971" s="10"/>
      <c r="E971" s="10"/>
      <c r="F971" s="10" t="s">
        <v>108</v>
      </c>
      <c r="G971" s="4" t="s">
        <v>114</v>
      </c>
      <c r="H971" s="4"/>
      <c r="I971" s="4">
        <f t="shared" si="46"/>
        <v>375385</v>
      </c>
      <c r="J971" s="4">
        <v>375385</v>
      </c>
      <c r="K971" s="4">
        <f t="shared" si="47"/>
        <v>0</v>
      </c>
      <c r="L971" s="1">
        <v>375385</v>
      </c>
      <c r="M971" s="93">
        <f t="shared" si="45"/>
        <v>0</v>
      </c>
      <c r="N971" s="12"/>
      <c r="O971" s="98"/>
      <c r="P971" s="53"/>
    </row>
    <row r="972" spans="1:18" ht="40.950000000000003" customHeight="1" x14ac:dyDescent="0.3">
      <c r="A972" s="4">
        <v>1</v>
      </c>
      <c r="B972" s="10" t="s">
        <v>19</v>
      </c>
      <c r="C972" s="10"/>
      <c r="D972" s="10"/>
      <c r="E972" s="10"/>
      <c r="F972" s="10" t="s">
        <v>108</v>
      </c>
      <c r="G972" s="4" t="s">
        <v>85</v>
      </c>
      <c r="H972" s="4"/>
      <c r="I972" s="4">
        <f t="shared" si="46"/>
        <v>347660</v>
      </c>
      <c r="J972" s="4">
        <v>347660</v>
      </c>
      <c r="K972" s="4">
        <f t="shared" si="47"/>
        <v>0</v>
      </c>
      <c r="L972" s="1">
        <v>347660</v>
      </c>
      <c r="M972" s="93">
        <f t="shared" si="45"/>
        <v>0</v>
      </c>
      <c r="N972" s="12"/>
      <c r="O972" s="98"/>
      <c r="P972" s="53"/>
    </row>
    <row r="973" spans="1:18" ht="40.950000000000003" customHeight="1" x14ac:dyDescent="0.3">
      <c r="A973" s="4">
        <v>1</v>
      </c>
      <c r="B973" s="10" t="s">
        <v>19</v>
      </c>
      <c r="C973" s="10"/>
      <c r="D973" s="10"/>
      <c r="E973" s="10"/>
      <c r="F973" s="10" t="s">
        <v>108</v>
      </c>
      <c r="G973" s="4" t="s">
        <v>122</v>
      </c>
      <c r="H973" s="4"/>
      <c r="I973" s="4">
        <f t="shared" si="46"/>
        <v>327310</v>
      </c>
      <c r="J973" s="4">
        <v>327310</v>
      </c>
      <c r="K973" s="4">
        <f t="shared" si="47"/>
        <v>0</v>
      </c>
      <c r="L973" s="1">
        <v>327310</v>
      </c>
      <c r="M973" s="93">
        <f t="shared" si="45"/>
        <v>0</v>
      </c>
      <c r="N973" s="12"/>
      <c r="O973" s="98"/>
      <c r="P973" s="53"/>
    </row>
    <row r="974" spans="1:18" ht="40.950000000000003" customHeight="1" x14ac:dyDescent="0.3">
      <c r="A974" s="4">
        <v>1</v>
      </c>
      <c r="B974" s="10" t="s">
        <v>19</v>
      </c>
      <c r="C974" s="10"/>
      <c r="D974" s="10"/>
      <c r="E974" s="10"/>
      <c r="F974" s="10" t="s">
        <v>108</v>
      </c>
      <c r="G974" s="4" t="s">
        <v>128</v>
      </c>
      <c r="H974" s="4"/>
      <c r="I974" s="4">
        <f t="shared" si="46"/>
        <v>393055</v>
      </c>
      <c r="J974" s="4">
        <v>393055</v>
      </c>
      <c r="K974" s="4">
        <f t="shared" si="47"/>
        <v>0</v>
      </c>
      <c r="L974" s="1">
        <v>393055</v>
      </c>
      <c r="M974" s="93">
        <f t="shared" si="45"/>
        <v>0</v>
      </c>
      <c r="N974" s="12"/>
      <c r="O974" s="98"/>
      <c r="P974" s="53"/>
    </row>
    <row r="975" spans="1:18" ht="40.950000000000003" customHeight="1" x14ac:dyDescent="0.3">
      <c r="A975" s="4">
        <v>1</v>
      </c>
      <c r="B975" s="10" t="s">
        <v>19</v>
      </c>
      <c r="C975" s="10"/>
      <c r="D975" s="10"/>
      <c r="E975" s="10"/>
      <c r="F975" s="10" t="s">
        <v>108</v>
      </c>
      <c r="G975" s="4" t="s">
        <v>64</v>
      </c>
      <c r="H975" s="4"/>
      <c r="I975" s="4">
        <f t="shared" si="46"/>
        <v>439050</v>
      </c>
      <c r="J975" s="4">
        <v>439050</v>
      </c>
      <c r="K975" s="4">
        <f t="shared" si="47"/>
        <v>0</v>
      </c>
      <c r="L975" s="1">
        <v>439050</v>
      </c>
      <c r="M975" s="93">
        <f t="shared" si="45"/>
        <v>0</v>
      </c>
      <c r="N975" s="12"/>
      <c r="O975" s="98"/>
      <c r="P975" s="53"/>
    </row>
    <row r="976" spans="1:18" ht="40.950000000000003" customHeight="1" x14ac:dyDescent="1.1000000000000001">
      <c r="A976" s="4">
        <v>1</v>
      </c>
      <c r="B976" s="10" t="s">
        <v>19</v>
      </c>
      <c r="C976" s="10"/>
      <c r="D976" s="10"/>
      <c r="E976" s="10"/>
      <c r="F976" s="10" t="s">
        <v>108</v>
      </c>
      <c r="G976" s="4" t="s">
        <v>143</v>
      </c>
      <c r="H976" s="4"/>
      <c r="I976" s="4">
        <f t="shared" si="46"/>
        <v>348950</v>
      </c>
      <c r="J976" s="4">
        <v>348950</v>
      </c>
      <c r="K976" s="4">
        <f t="shared" si="47"/>
        <v>0</v>
      </c>
      <c r="L976" s="1">
        <v>348950</v>
      </c>
      <c r="M976" s="93">
        <f t="shared" si="45"/>
        <v>0</v>
      </c>
      <c r="N976" s="12"/>
      <c r="O976" s="98"/>
      <c r="P976" s="53"/>
      <c r="R976" s="345">
        <f>71-66</f>
        <v>5</v>
      </c>
    </row>
    <row r="977" spans="1:16" ht="40.950000000000003" customHeight="1" x14ac:dyDescent="0.3">
      <c r="A977" s="4">
        <v>1</v>
      </c>
      <c r="B977" s="10" t="s">
        <v>19</v>
      </c>
      <c r="C977" s="10"/>
      <c r="D977" s="10"/>
      <c r="E977" s="10"/>
      <c r="F977" s="10" t="s">
        <v>108</v>
      </c>
      <c r="G977" s="4" t="s">
        <v>169</v>
      </c>
      <c r="H977" s="4"/>
      <c r="I977" s="4">
        <f t="shared" si="46"/>
        <v>70670</v>
      </c>
      <c r="J977" s="4">
        <v>70670</v>
      </c>
      <c r="K977" s="4">
        <f t="shared" si="47"/>
        <v>0</v>
      </c>
      <c r="L977" s="1">
        <v>70670</v>
      </c>
      <c r="M977" s="93">
        <f t="shared" si="45"/>
        <v>0</v>
      </c>
      <c r="N977" s="12"/>
      <c r="O977" s="98"/>
      <c r="P977" s="53"/>
    </row>
    <row r="978" spans="1:16" ht="40.950000000000003" customHeight="1" x14ac:dyDescent="0.3">
      <c r="A978" s="4">
        <v>1</v>
      </c>
      <c r="B978" s="10" t="s">
        <v>19</v>
      </c>
      <c r="C978" s="10"/>
      <c r="D978" s="10"/>
      <c r="E978" s="10"/>
      <c r="F978" s="10" t="s">
        <v>108</v>
      </c>
      <c r="G978" s="4" t="s">
        <v>198</v>
      </c>
      <c r="H978" s="4"/>
      <c r="I978" s="4">
        <f t="shared" si="46"/>
        <v>14255</v>
      </c>
      <c r="J978" s="4">
        <v>14255</v>
      </c>
      <c r="K978" s="4">
        <f t="shared" si="47"/>
        <v>0</v>
      </c>
      <c r="L978" s="1">
        <v>14255</v>
      </c>
      <c r="M978" s="93">
        <f t="shared" si="45"/>
        <v>0</v>
      </c>
      <c r="N978" s="12"/>
      <c r="O978" s="98"/>
      <c r="P978" s="53"/>
    </row>
    <row r="979" spans="1:16" ht="40.950000000000003" customHeight="1" x14ac:dyDescent="0.3">
      <c r="A979" s="4">
        <v>1</v>
      </c>
      <c r="B979" s="10" t="s">
        <v>19</v>
      </c>
      <c r="C979" s="10"/>
      <c r="D979" s="10"/>
      <c r="E979" s="10"/>
      <c r="F979" s="10" t="s">
        <v>108</v>
      </c>
      <c r="G979" s="4" t="s">
        <v>200</v>
      </c>
      <c r="H979" s="4"/>
      <c r="I979" s="4">
        <f t="shared" si="46"/>
        <v>4150</v>
      </c>
      <c r="J979" s="4">
        <v>4150</v>
      </c>
      <c r="K979" s="4">
        <f t="shared" si="47"/>
        <v>0</v>
      </c>
      <c r="L979" s="1">
        <v>4150</v>
      </c>
      <c r="M979" s="93">
        <f t="shared" si="45"/>
        <v>0</v>
      </c>
      <c r="N979" s="12"/>
      <c r="O979" s="98"/>
      <c r="P979" s="53"/>
    </row>
    <row r="980" spans="1:16" ht="40.950000000000003" customHeight="1" x14ac:dyDescent="0.3">
      <c r="A980" s="4">
        <v>1</v>
      </c>
      <c r="B980" s="10" t="s">
        <v>19</v>
      </c>
      <c r="C980" s="10"/>
      <c r="D980" s="10"/>
      <c r="E980" s="10"/>
      <c r="F980" s="10" t="s">
        <v>145</v>
      </c>
      <c r="G980" s="4" t="s">
        <v>78</v>
      </c>
      <c r="H980" s="4"/>
      <c r="I980" s="4">
        <f t="shared" si="46"/>
        <v>10865</v>
      </c>
      <c r="J980" s="4">
        <v>10865</v>
      </c>
      <c r="K980" s="4">
        <f t="shared" si="47"/>
        <v>0</v>
      </c>
      <c r="L980" s="1">
        <v>10865</v>
      </c>
      <c r="M980" s="93">
        <f t="shared" si="45"/>
        <v>0</v>
      </c>
      <c r="N980" s="2"/>
      <c r="O980" s="97"/>
      <c r="P980" s="52"/>
    </row>
    <row r="981" spans="1:16" ht="40.950000000000003" customHeight="1" x14ac:dyDescent="0.3">
      <c r="A981" s="4"/>
      <c r="B981" s="10" t="s">
        <v>468</v>
      </c>
      <c r="C981" s="10"/>
      <c r="D981" s="10"/>
      <c r="E981" s="10"/>
      <c r="F981" s="10" t="s">
        <v>1020</v>
      </c>
      <c r="G981" s="4" t="s">
        <v>184</v>
      </c>
      <c r="H981" s="4">
        <v>10</v>
      </c>
      <c r="I981" s="4">
        <f t="shared" si="46"/>
        <v>728827</v>
      </c>
      <c r="J981" s="4">
        <v>728827</v>
      </c>
      <c r="K981" s="4">
        <f t="shared" si="47"/>
        <v>0</v>
      </c>
      <c r="L981" s="1">
        <v>728827</v>
      </c>
      <c r="M981" s="93">
        <f t="shared" si="45"/>
        <v>0</v>
      </c>
      <c r="N981" s="2"/>
      <c r="O981" s="97"/>
      <c r="P981" s="52"/>
    </row>
    <row r="982" spans="1:16" ht="40.950000000000003" customHeight="1" x14ac:dyDescent="0.3">
      <c r="A982" s="4">
        <v>2</v>
      </c>
      <c r="B982" s="10" t="s">
        <v>142</v>
      </c>
      <c r="C982" s="10"/>
      <c r="D982" s="10"/>
      <c r="E982" s="10"/>
      <c r="F982" s="10" t="s">
        <v>108</v>
      </c>
      <c r="G982" s="4" t="s">
        <v>9</v>
      </c>
      <c r="H982" s="4"/>
      <c r="I982" s="4">
        <f t="shared" si="46"/>
        <v>4350</v>
      </c>
      <c r="J982" s="4">
        <v>4350</v>
      </c>
      <c r="K982" s="4">
        <f t="shared" si="47"/>
        <v>0</v>
      </c>
      <c r="L982" s="1">
        <v>4350</v>
      </c>
      <c r="M982" s="93">
        <f t="shared" si="45"/>
        <v>0</v>
      </c>
      <c r="N982" s="2"/>
      <c r="O982" s="97"/>
      <c r="P982" s="52"/>
    </row>
    <row r="983" spans="1:16" ht="40.950000000000003" customHeight="1" x14ac:dyDescent="0.3">
      <c r="A983" s="4">
        <v>2</v>
      </c>
      <c r="B983" s="10" t="s">
        <v>142</v>
      </c>
      <c r="C983" s="10"/>
      <c r="D983" s="10"/>
      <c r="E983" s="10"/>
      <c r="F983" s="10" t="s">
        <v>108</v>
      </c>
      <c r="G983" s="4" t="s">
        <v>70</v>
      </c>
      <c r="H983" s="4"/>
      <c r="I983" s="4">
        <f t="shared" si="46"/>
        <v>4350</v>
      </c>
      <c r="J983" s="4">
        <v>4350</v>
      </c>
      <c r="K983" s="4">
        <f t="shared" si="47"/>
        <v>0</v>
      </c>
      <c r="L983" s="1">
        <v>4350</v>
      </c>
      <c r="M983" s="93">
        <f t="shared" si="45"/>
        <v>0</v>
      </c>
      <c r="N983" s="2"/>
      <c r="O983" s="97"/>
      <c r="P983" s="52"/>
    </row>
    <row r="984" spans="1:16" ht="40.950000000000003" customHeight="1" x14ac:dyDescent="0.3">
      <c r="A984" s="4">
        <v>2</v>
      </c>
      <c r="B984" s="10" t="s">
        <v>142</v>
      </c>
      <c r="C984" s="10"/>
      <c r="D984" s="10"/>
      <c r="E984" s="10"/>
      <c r="F984" s="10" t="s">
        <v>108</v>
      </c>
      <c r="G984" s="4" t="s">
        <v>48</v>
      </c>
      <c r="H984" s="4"/>
      <c r="I984" s="4">
        <f t="shared" si="46"/>
        <v>4350</v>
      </c>
      <c r="J984" s="4">
        <v>4350</v>
      </c>
      <c r="K984" s="4">
        <f t="shared" si="47"/>
        <v>0</v>
      </c>
      <c r="L984" s="1">
        <v>4350</v>
      </c>
      <c r="M984" s="93">
        <f t="shared" si="45"/>
        <v>0</v>
      </c>
      <c r="N984" s="2"/>
      <c r="O984" s="97"/>
      <c r="P984" s="52"/>
    </row>
    <row r="985" spans="1:16" ht="40.950000000000003" customHeight="1" x14ac:dyDescent="0.3">
      <c r="A985" s="4">
        <v>2</v>
      </c>
      <c r="B985" s="10" t="s">
        <v>142</v>
      </c>
      <c r="C985" s="10"/>
      <c r="D985" s="10"/>
      <c r="E985" s="10"/>
      <c r="F985" s="10" t="s">
        <v>108</v>
      </c>
      <c r="G985" s="4" t="s">
        <v>39</v>
      </c>
      <c r="H985" s="4"/>
      <c r="I985" s="4">
        <f t="shared" si="46"/>
        <v>8700</v>
      </c>
      <c r="J985" s="4">
        <v>8700</v>
      </c>
      <c r="K985" s="4">
        <f t="shared" si="47"/>
        <v>0</v>
      </c>
      <c r="L985" s="1">
        <v>8700</v>
      </c>
      <c r="M985" s="93">
        <f t="shared" si="45"/>
        <v>0</v>
      </c>
      <c r="N985" s="2"/>
      <c r="O985" s="97"/>
      <c r="P985" s="52"/>
    </row>
    <row r="986" spans="1:16" ht="40.950000000000003" customHeight="1" x14ac:dyDescent="0.3">
      <c r="A986" s="4">
        <v>3</v>
      </c>
      <c r="B986" s="10" t="s">
        <v>357</v>
      </c>
      <c r="C986" s="10"/>
      <c r="D986" s="10"/>
      <c r="E986" s="10"/>
      <c r="F986" s="10" t="s">
        <v>358</v>
      </c>
      <c r="G986" s="4" t="s">
        <v>14</v>
      </c>
      <c r="H986" s="4"/>
      <c r="I986" s="4">
        <f t="shared" si="46"/>
        <v>190036</v>
      </c>
      <c r="J986" s="4">
        <v>190036</v>
      </c>
      <c r="K986" s="4">
        <f t="shared" si="47"/>
        <v>0</v>
      </c>
      <c r="L986" s="1">
        <v>190036</v>
      </c>
      <c r="M986" s="93">
        <f t="shared" si="45"/>
        <v>0</v>
      </c>
      <c r="N986" s="2"/>
      <c r="O986" s="97"/>
      <c r="P986" s="52"/>
    </row>
    <row r="987" spans="1:16" ht="40.950000000000003" customHeight="1" x14ac:dyDescent="0.3">
      <c r="A987" s="4">
        <v>4</v>
      </c>
      <c r="B987" s="10" t="s">
        <v>390</v>
      </c>
      <c r="C987" s="10"/>
      <c r="D987" s="10"/>
      <c r="E987" s="10"/>
      <c r="F987" s="10" t="s">
        <v>358</v>
      </c>
      <c r="G987" s="4" t="s">
        <v>184</v>
      </c>
      <c r="H987" s="4"/>
      <c r="I987" s="4">
        <f t="shared" si="46"/>
        <v>123411</v>
      </c>
      <c r="J987" s="4">
        <v>123411</v>
      </c>
      <c r="K987" s="4">
        <f t="shared" si="47"/>
        <v>0</v>
      </c>
      <c r="L987" s="1">
        <v>123411</v>
      </c>
      <c r="M987" s="93">
        <f t="shared" si="45"/>
        <v>0</v>
      </c>
      <c r="N987" s="2"/>
      <c r="O987" s="97"/>
      <c r="P987" s="52"/>
    </row>
    <row r="988" spans="1:16" ht="40.950000000000003" customHeight="1" x14ac:dyDescent="0.3">
      <c r="A988" s="4">
        <v>5</v>
      </c>
      <c r="B988" s="10" t="s">
        <v>433</v>
      </c>
      <c r="C988" s="10"/>
      <c r="D988" s="10"/>
      <c r="E988" s="10"/>
      <c r="F988" s="10" t="s">
        <v>358</v>
      </c>
      <c r="G988" s="4" t="s">
        <v>184</v>
      </c>
      <c r="H988" s="4"/>
      <c r="I988" s="4">
        <f t="shared" si="46"/>
        <v>2418382</v>
      </c>
      <c r="J988" s="4">
        <v>2418382</v>
      </c>
      <c r="K988" s="4">
        <f t="shared" si="47"/>
        <v>0</v>
      </c>
      <c r="L988" s="1">
        <v>2418382</v>
      </c>
      <c r="M988" s="93">
        <f t="shared" si="45"/>
        <v>0</v>
      </c>
      <c r="N988" s="2"/>
      <c r="O988" s="97"/>
      <c r="P988" s="52"/>
    </row>
    <row r="989" spans="1:16" ht="40.950000000000003" customHeight="1" x14ac:dyDescent="0.3">
      <c r="A989" s="4"/>
      <c r="B989" s="10" t="s">
        <v>479</v>
      </c>
      <c r="C989" s="10"/>
      <c r="D989" s="10"/>
      <c r="E989" s="10"/>
      <c r="F989" s="10" t="s">
        <v>358</v>
      </c>
      <c r="G989" s="4" t="s">
        <v>184</v>
      </c>
      <c r="H989" s="4">
        <v>3</v>
      </c>
      <c r="I989" s="4">
        <f t="shared" si="46"/>
        <v>20680</v>
      </c>
      <c r="J989" s="4">
        <v>20680</v>
      </c>
      <c r="K989" s="4">
        <f t="shared" si="47"/>
        <v>0</v>
      </c>
      <c r="L989" s="1">
        <v>20680</v>
      </c>
      <c r="M989" s="93">
        <f t="shared" si="45"/>
        <v>0</v>
      </c>
      <c r="N989" s="2"/>
      <c r="O989" s="97"/>
      <c r="P989" s="52"/>
    </row>
    <row r="990" spans="1:16" ht="40.950000000000003" customHeight="1" x14ac:dyDescent="0.3">
      <c r="A990" s="4"/>
      <c r="B990" s="10" t="s">
        <v>480</v>
      </c>
      <c r="C990" s="10"/>
      <c r="D990" s="10"/>
      <c r="E990" s="10"/>
      <c r="F990" s="10" t="s">
        <v>358</v>
      </c>
      <c r="G990" s="4" t="s">
        <v>184</v>
      </c>
      <c r="H990" s="4">
        <v>2</v>
      </c>
      <c r="I990" s="4">
        <f t="shared" si="46"/>
        <v>244565</v>
      </c>
      <c r="J990" s="4">
        <v>244565</v>
      </c>
      <c r="K990" s="4">
        <f t="shared" si="47"/>
        <v>0</v>
      </c>
      <c r="L990" s="1">
        <v>244565</v>
      </c>
      <c r="M990" s="93">
        <f t="shared" si="45"/>
        <v>0</v>
      </c>
      <c r="N990" s="2"/>
      <c r="O990" s="97"/>
      <c r="P990" s="52"/>
    </row>
    <row r="991" spans="1:16" ht="40.950000000000003" customHeight="1" x14ac:dyDescent="0.3">
      <c r="A991" s="4">
        <v>6</v>
      </c>
      <c r="B991" s="10" t="s">
        <v>387</v>
      </c>
      <c r="C991" s="10"/>
      <c r="D991" s="10"/>
      <c r="E991" s="10"/>
      <c r="F991" s="10" t="s">
        <v>388</v>
      </c>
      <c r="G991" s="4" t="s">
        <v>14</v>
      </c>
      <c r="H991" s="4"/>
      <c r="I991" s="4">
        <f t="shared" si="46"/>
        <v>20600</v>
      </c>
      <c r="J991" s="4">
        <v>20600</v>
      </c>
      <c r="K991" s="4">
        <f t="shared" si="47"/>
        <v>0</v>
      </c>
      <c r="L991" s="1">
        <v>20600</v>
      </c>
      <c r="M991" s="93">
        <f t="shared" si="45"/>
        <v>0</v>
      </c>
      <c r="N991" s="2"/>
      <c r="O991" s="97"/>
      <c r="P991" s="52"/>
    </row>
    <row r="992" spans="1:16" ht="40.950000000000003" customHeight="1" x14ac:dyDescent="0.3">
      <c r="A992" s="4">
        <v>7</v>
      </c>
      <c r="B992" s="10" t="s">
        <v>1019</v>
      </c>
      <c r="C992" s="10" t="s">
        <v>421</v>
      </c>
      <c r="D992" s="10"/>
      <c r="E992" s="10"/>
      <c r="F992" s="10" t="s">
        <v>388</v>
      </c>
      <c r="G992" s="4" t="s">
        <v>14</v>
      </c>
      <c r="H992" s="4">
        <v>27</v>
      </c>
      <c r="I992" s="4">
        <f t="shared" si="46"/>
        <v>10646426</v>
      </c>
      <c r="J992" s="4">
        <v>10647098</v>
      </c>
      <c r="K992" s="4">
        <f t="shared" si="47"/>
        <v>0</v>
      </c>
      <c r="L992" s="1">
        <v>10647098</v>
      </c>
      <c r="M992" s="93">
        <f t="shared" si="45"/>
        <v>0</v>
      </c>
      <c r="N992" s="2">
        <v>672</v>
      </c>
      <c r="O992" s="97">
        <v>672</v>
      </c>
      <c r="P992" s="52"/>
    </row>
    <row r="993" spans="1:19" ht="40.950000000000003" customHeight="1" x14ac:dyDescent="0.3">
      <c r="A993" s="4"/>
      <c r="B993" s="10" t="s">
        <v>472</v>
      </c>
      <c r="C993" s="10"/>
      <c r="D993" s="10"/>
      <c r="E993" s="10"/>
      <c r="F993" s="10" t="s">
        <v>388</v>
      </c>
      <c r="G993" s="4" t="s">
        <v>14</v>
      </c>
      <c r="H993" s="4"/>
      <c r="I993" s="4">
        <f t="shared" si="46"/>
        <v>945000</v>
      </c>
      <c r="J993" s="4">
        <v>945000</v>
      </c>
      <c r="K993" s="4">
        <f t="shared" si="47"/>
        <v>0</v>
      </c>
      <c r="L993" s="1">
        <v>945000</v>
      </c>
      <c r="M993" s="93">
        <f t="shared" si="45"/>
        <v>0</v>
      </c>
      <c r="N993" s="2"/>
      <c r="O993" s="97"/>
      <c r="P993" s="52"/>
    </row>
    <row r="994" spans="1:19" ht="40.950000000000003" customHeight="1" x14ac:dyDescent="0.3">
      <c r="A994" s="4"/>
      <c r="B994" s="10" t="s">
        <v>473</v>
      </c>
      <c r="C994" s="10"/>
      <c r="D994" s="10"/>
      <c r="E994" s="10"/>
      <c r="F994" s="10" t="s">
        <v>388</v>
      </c>
      <c r="G994" s="4" t="s">
        <v>14</v>
      </c>
      <c r="H994" s="4">
        <v>3</v>
      </c>
      <c r="I994" s="4">
        <f t="shared" si="46"/>
        <v>76290</v>
      </c>
      <c r="J994" s="4">
        <v>76590</v>
      </c>
      <c r="K994" s="4">
        <f t="shared" si="47"/>
        <v>0</v>
      </c>
      <c r="L994" s="1">
        <v>76590</v>
      </c>
      <c r="M994" s="93">
        <f t="shared" si="45"/>
        <v>0</v>
      </c>
      <c r="N994" s="2">
        <v>300</v>
      </c>
      <c r="O994" s="97">
        <v>300</v>
      </c>
      <c r="P994" s="52">
        <v>0.9</v>
      </c>
    </row>
    <row r="995" spans="1:19" ht="40.950000000000003" customHeight="1" x14ac:dyDescent="0.3">
      <c r="A995" s="4">
        <v>8</v>
      </c>
      <c r="B995" s="10" t="s">
        <v>440</v>
      </c>
      <c r="C995" s="10"/>
      <c r="D995" s="10"/>
      <c r="E995" s="10"/>
      <c r="F995" s="10" t="s">
        <v>388</v>
      </c>
      <c r="G995" s="4" t="s">
        <v>14</v>
      </c>
      <c r="H995" s="4">
        <v>9</v>
      </c>
      <c r="I995" s="4">
        <f t="shared" si="46"/>
        <v>2040877.47</v>
      </c>
      <c r="J995" s="4">
        <v>2040877.47</v>
      </c>
      <c r="K995" s="61">
        <f t="shared" si="47"/>
        <v>0</v>
      </c>
      <c r="L995" s="1">
        <v>2040877.47</v>
      </c>
      <c r="M995" s="93">
        <f t="shared" si="45"/>
        <v>0</v>
      </c>
      <c r="N995" s="2"/>
      <c r="O995" s="97"/>
      <c r="P995" s="52"/>
      <c r="S995" s="59"/>
    </row>
    <row r="996" spans="1:19" ht="40.950000000000003" customHeight="1" x14ac:dyDescent="0.3">
      <c r="A996" s="4">
        <v>9</v>
      </c>
      <c r="B996" s="10" t="s">
        <v>441</v>
      </c>
      <c r="C996" s="10"/>
      <c r="D996" s="10"/>
      <c r="E996" s="10"/>
      <c r="F996" s="10" t="s">
        <v>442</v>
      </c>
      <c r="G996" s="4" t="s">
        <v>184</v>
      </c>
      <c r="H996" s="4">
        <v>2</v>
      </c>
      <c r="I996" s="4">
        <f t="shared" si="46"/>
        <v>40950</v>
      </c>
      <c r="J996" s="4">
        <v>40950</v>
      </c>
      <c r="K996" s="4">
        <f t="shared" si="47"/>
        <v>0</v>
      </c>
      <c r="L996" s="1">
        <v>40950</v>
      </c>
      <c r="M996" s="93">
        <f t="shared" si="45"/>
        <v>0</v>
      </c>
      <c r="N996" s="2"/>
      <c r="O996" s="97"/>
      <c r="P996" s="52"/>
    </row>
    <row r="997" spans="1:19" ht="40.950000000000003" customHeight="1" x14ac:dyDescent="0.3">
      <c r="A997" s="4">
        <v>10</v>
      </c>
      <c r="B997" s="10" t="s">
        <v>412</v>
      </c>
      <c r="C997" s="10"/>
      <c r="D997" s="10"/>
      <c r="E997" s="10"/>
      <c r="F997" s="10" t="s">
        <v>413</v>
      </c>
      <c r="G997" s="4" t="s">
        <v>366</v>
      </c>
      <c r="H997" s="4"/>
      <c r="I997" s="4">
        <f t="shared" si="46"/>
        <v>70283</v>
      </c>
      <c r="J997" s="4">
        <v>70283</v>
      </c>
      <c r="K997" s="4">
        <f t="shared" si="47"/>
        <v>0</v>
      </c>
      <c r="L997" s="1">
        <v>70283</v>
      </c>
      <c r="M997" s="93">
        <f t="shared" si="45"/>
        <v>0</v>
      </c>
      <c r="N997" s="2"/>
      <c r="O997" s="97"/>
      <c r="P997" s="52"/>
    </row>
    <row r="998" spans="1:19" ht="40.950000000000003" customHeight="1" x14ac:dyDescent="0.3">
      <c r="A998" s="4">
        <v>11</v>
      </c>
      <c r="B998" s="10" t="s">
        <v>248</v>
      </c>
      <c r="C998" s="10"/>
      <c r="D998" s="10" t="s">
        <v>289</v>
      </c>
      <c r="E998" s="10">
        <v>121830</v>
      </c>
      <c r="F998" s="10" t="s">
        <v>108</v>
      </c>
      <c r="G998" s="4" t="s">
        <v>9</v>
      </c>
      <c r="H998" s="4"/>
      <c r="I998" s="4">
        <f t="shared" si="46"/>
        <v>100500</v>
      </c>
      <c r="J998" s="4">
        <v>100500</v>
      </c>
      <c r="K998" s="4">
        <f t="shared" si="47"/>
        <v>0</v>
      </c>
      <c r="L998" s="1">
        <v>100500</v>
      </c>
      <c r="M998" s="93">
        <f t="shared" si="45"/>
        <v>0</v>
      </c>
      <c r="N998" s="2"/>
      <c r="O998" s="97"/>
      <c r="P998" s="52"/>
    </row>
    <row r="999" spans="1:19" ht="40.950000000000003" customHeight="1" x14ac:dyDescent="0.3">
      <c r="A999" s="4">
        <v>11</v>
      </c>
      <c r="B999" s="10" t="s">
        <v>248</v>
      </c>
      <c r="C999" s="10"/>
      <c r="D999" s="10" t="s">
        <v>289</v>
      </c>
      <c r="E999" s="10">
        <v>121830</v>
      </c>
      <c r="F999" s="10" t="s">
        <v>108</v>
      </c>
      <c r="G999" s="4" t="s">
        <v>7</v>
      </c>
      <c r="H999" s="4"/>
      <c r="I999" s="4">
        <f t="shared" si="46"/>
        <v>103262</v>
      </c>
      <c r="J999" s="4">
        <v>103262</v>
      </c>
      <c r="K999" s="4">
        <f t="shared" si="47"/>
        <v>0</v>
      </c>
      <c r="L999" s="1">
        <v>103262</v>
      </c>
      <c r="M999" s="93">
        <f t="shared" si="45"/>
        <v>0</v>
      </c>
      <c r="N999" s="2"/>
      <c r="O999" s="97"/>
      <c r="P999" s="52"/>
    </row>
    <row r="1000" spans="1:19" ht="40.950000000000003" customHeight="1" x14ac:dyDescent="0.3">
      <c r="A1000" s="4">
        <v>11</v>
      </c>
      <c r="B1000" s="10" t="s">
        <v>248</v>
      </c>
      <c r="C1000" s="10"/>
      <c r="D1000" s="10" t="s">
        <v>289</v>
      </c>
      <c r="E1000" s="10">
        <v>121830</v>
      </c>
      <c r="F1000" s="10" t="s">
        <v>108</v>
      </c>
      <c r="G1000" s="4" t="s">
        <v>8</v>
      </c>
      <c r="H1000" s="4"/>
      <c r="I1000" s="4">
        <f t="shared" si="46"/>
        <v>81870</v>
      </c>
      <c r="J1000" s="4">
        <v>81870</v>
      </c>
      <c r="K1000" s="4">
        <f t="shared" si="47"/>
        <v>0</v>
      </c>
      <c r="L1000" s="1">
        <v>81870</v>
      </c>
      <c r="M1000" s="93">
        <f t="shared" si="45"/>
        <v>0</v>
      </c>
      <c r="N1000" s="2"/>
      <c r="O1000" s="97"/>
      <c r="P1000" s="52"/>
    </row>
    <row r="1001" spans="1:19" ht="40.950000000000003" customHeight="1" x14ac:dyDescent="0.3">
      <c r="A1001" s="4">
        <v>11</v>
      </c>
      <c r="B1001" s="10" t="s">
        <v>248</v>
      </c>
      <c r="C1001" s="10"/>
      <c r="D1001" s="10" t="s">
        <v>289</v>
      </c>
      <c r="E1001" s="10">
        <v>121830</v>
      </c>
      <c r="F1001" s="10" t="s">
        <v>108</v>
      </c>
      <c r="G1001" s="4" t="s">
        <v>11</v>
      </c>
      <c r="H1001" s="4"/>
      <c r="I1001" s="4">
        <f t="shared" si="46"/>
        <v>104875</v>
      </c>
      <c r="J1001" s="4">
        <v>104875</v>
      </c>
      <c r="K1001" s="4">
        <f t="shared" si="47"/>
        <v>0</v>
      </c>
      <c r="L1001" s="1">
        <v>104875</v>
      </c>
      <c r="M1001" s="93">
        <f t="shared" si="45"/>
        <v>0</v>
      </c>
      <c r="N1001" s="2"/>
      <c r="O1001" s="97"/>
      <c r="P1001" s="52"/>
    </row>
    <row r="1002" spans="1:19" ht="40.950000000000003" customHeight="1" x14ac:dyDescent="0.3">
      <c r="A1002" s="4">
        <v>11</v>
      </c>
      <c r="B1002" s="10" t="s">
        <v>248</v>
      </c>
      <c r="C1002" s="10"/>
      <c r="D1002" s="10" t="s">
        <v>289</v>
      </c>
      <c r="E1002" s="10">
        <v>121830</v>
      </c>
      <c r="F1002" s="10" t="s">
        <v>108</v>
      </c>
      <c r="G1002" s="4" t="s">
        <v>22</v>
      </c>
      <c r="H1002" s="4"/>
      <c r="I1002" s="4">
        <f t="shared" si="46"/>
        <v>89825</v>
      </c>
      <c r="J1002" s="4">
        <v>89825</v>
      </c>
      <c r="K1002" s="4">
        <f t="shared" si="47"/>
        <v>0</v>
      </c>
      <c r="L1002" s="1">
        <v>89825</v>
      </c>
      <c r="M1002" s="93">
        <f t="shared" si="45"/>
        <v>0</v>
      </c>
      <c r="N1002" s="2"/>
      <c r="O1002" s="97"/>
      <c r="P1002" s="52"/>
    </row>
    <row r="1003" spans="1:19" ht="40.950000000000003" customHeight="1" x14ac:dyDescent="0.3">
      <c r="A1003" s="4">
        <v>11</v>
      </c>
      <c r="B1003" s="10" t="s">
        <v>248</v>
      </c>
      <c r="C1003" s="10"/>
      <c r="D1003" s="10" t="s">
        <v>289</v>
      </c>
      <c r="E1003" s="10">
        <v>121830</v>
      </c>
      <c r="F1003" s="10" t="s">
        <v>108</v>
      </c>
      <c r="G1003" s="4" t="s">
        <v>70</v>
      </c>
      <c r="H1003" s="4"/>
      <c r="I1003" s="4">
        <f t="shared" si="46"/>
        <v>278485</v>
      </c>
      <c r="J1003" s="4">
        <v>278485</v>
      </c>
      <c r="K1003" s="4">
        <f t="shared" si="47"/>
        <v>0</v>
      </c>
      <c r="L1003" s="1">
        <v>278485</v>
      </c>
      <c r="M1003" s="93">
        <f t="shared" si="45"/>
        <v>0</v>
      </c>
      <c r="N1003" s="2"/>
      <c r="O1003" s="97"/>
      <c r="P1003" s="52"/>
    </row>
    <row r="1004" spans="1:19" ht="40.950000000000003" customHeight="1" x14ac:dyDescent="0.3">
      <c r="A1004" s="4">
        <v>11</v>
      </c>
      <c r="B1004" s="10" t="s">
        <v>248</v>
      </c>
      <c r="C1004" s="10"/>
      <c r="D1004" s="10" t="s">
        <v>289</v>
      </c>
      <c r="E1004" s="10">
        <v>121830</v>
      </c>
      <c r="F1004" s="10" t="s">
        <v>108</v>
      </c>
      <c r="G1004" s="4" t="s">
        <v>90</v>
      </c>
      <c r="H1004" s="4"/>
      <c r="I1004" s="4">
        <f t="shared" si="46"/>
        <v>172792</v>
      </c>
      <c r="J1004" s="4">
        <v>172792</v>
      </c>
      <c r="K1004" s="4">
        <f t="shared" si="47"/>
        <v>0</v>
      </c>
      <c r="L1004" s="1">
        <v>172792</v>
      </c>
      <c r="M1004" s="93">
        <f t="shared" si="45"/>
        <v>0</v>
      </c>
      <c r="N1004" s="2"/>
      <c r="O1004" s="97"/>
      <c r="P1004" s="52"/>
    </row>
    <row r="1005" spans="1:19" ht="40.950000000000003" customHeight="1" x14ac:dyDescent="0.3">
      <c r="A1005" s="4">
        <v>11</v>
      </c>
      <c r="B1005" s="10" t="s">
        <v>248</v>
      </c>
      <c r="C1005" s="10"/>
      <c r="D1005" s="10" t="s">
        <v>289</v>
      </c>
      <c r="E1005" s="10">
        <v>121830</v>
      </c>
      <c r="F1005" s="10" t="s">
        <v>108</v>
      </c>
      <c r="G1005" s="4" t="s">
        <v>48</v>
      </c>
      <c r="H1005" s="4"/>
      <c r="I1005" s="4">
        <f t="shared" si="46"/>
        <v>250655</v>
      </c>
      <c r="J1005" s="4">
        <v>250655</v>
      </c>
      <c r="K1005" s="4">
        <f t="shared" si="47"/>
        <v>0</v>
      </c>
      <c r="L1005" s="1">
        <v>250655</v>
      </c>
      <c r="M1005" s="93">
        <f t="shared" ref="M1005:M1068" si="48">O1005-N1005</f>
        <v>0</v>
      </c>
      <c r="N1005" s="2"/>
      <c r="O1005" s="97"/>
      <c r="P1005" s="52"/>
    </row>
    <row r="1006" spans="1:19" ht="40.950000000000003" customHeight="1" x14ac:dyDescent="0.3">
      <c r="A1006" s="4">
        <v>11</v>
      </c>
      <c r="B1006" s="10" t="s">
        <v>248</v>
      </c>
      <c r="C1006" s="10"/>
      <c r="D1006" s="10" t="s">
        <v>289</v>
      </c>
      <c r="E1006" s="10">
        <v>121830</v>
      </c>
      <c r="F1006" s="10" t="s">
        <v>108</v>
      </c>
      <c r="G1006" s="4" t="s">
        <v>49</v>
      </c>
      <c r="H1006" s="4"/>
      <c r="I1006" s="4">
        <f t="shared" si="46"/>
        <v>238955</v>
      </c>
      <c r="J1006" s="4">
        <v>238955</v>
      </c>
      <c r="K1006" s="4">
        <f t="shared" si="47"/>
        <v>0</v>
      </c>
      <c r="L1006" s="1">
        <v>238955</v>
      </c>
      <c r="M1006" s="93">
        <f t="shared" si="48"/>
        <v>0</v>
      </c>
      <c r="N1006" s="2"/>
      <c r="O1006" s="97"/>
      <c r="P1006" s="52"/>
    </row>
    <row r="1007" spans="1:19" ht="40.950000000000003" customHeight="1" x14ac:dyDescent="0.3">
      <c r="A1007" s="4">
        <v>11</v>
      </c>
      <c r="B1007" s="10" t="s">
        <v>248</v>
      </c>
      <c r="C1007" s="10"/>
      <c r="D1007" s="10" t="s">
        <v>289</v>
      </c>
      <c r="E1007" s="10">
        <v>121830</v>
      </c>
      <c r="F1007" s="10" t="s">
        <v>108</v>
      </c>
      <c r="G1007" s="4" t="s">
        <v>50</v>
      </c>
      <c r="H1007" s="4"/>
      <c r="I1007" s="4">
        <f t="shared" si="46"/>
        <v>268640</v>
      </c>
      <c r="J1007" s="4">
        <v>268640</v>
      </c>
      <c r="K1007" s="4">
        <f t="shared" si="47"/>
        <v>0</v>
      </c>
      <c r="L1007" s="1">
        <v>268640</v>
      </c>
      <c r="M1007" s="93">
        <f t="shared" si="48"/>
        <v>0</v>
      </c>
      <c r="N1007" s="2"/>
      <c r="O1007" s="97"/>
      <c r="P1007" s="52"/>
    </row>
    <row r="1008" spans="1:19" ht="40.950000000000003" customHeight="1" x14ac:dyDescent="0.3">
      <c r="A1008" s="4">
        <v>11</v>
      </c>
      <c r="B1008" s="10" t="s">
        <v>248</v>
      </c>
      <c r="C1008" s="10"/>
      <c r="D1008" s="10" t="s">
        <v>289</v>
      </c>
      <c r="E1008" s="10">
        <v>121830</v>
      </c>
      <c r="F1008" s="10" t="s">
        <v>108</v>
      </c>
      <c r="G1008" s="4" t="s">
        <v>51</v>
      </c>
      <c r="H1008" s="4"/>
      <c r="I1008" s="4">
        <f t="shared" si="46"/>
        <v>260220</v>
      </c>
      <c r="J1008" s="4">
        <v>260220</v>
      </c>
      <c r="K1008" s="4">
        <f t="shared" si="47"/>
        <v>0</v>
      </c>
      <c r="L1008" s="1">
        <v>260220</v>
      </c>
      <c r="M1008" s="93">
        <f t="shared" si="48"/>
        <v>0</v>
      </c>
      <c r="N1008" s="2"/>
      <c r="O1008" s="97"/>
      <c r="P1008" s="52"/>
    </row>
    <row r="1009" spans="1:16" ht="40.950000000000003" customHeight="1" x14ac:dyDescent="0.3">
      <c r="A1009" s="4">
        <v>11</v>
      </c>
      <c r="B1009" s="10" t="s">
        <v>248</v>
      </c>
      <c r="C1009" s="10"/>
      <c r="D1009" s="10" t="s">
        <v>289</v>
      </c>
      <c r="E1009" s="10">
        <v>121830</v>
      </c>
      <c r="F1009" s="10" t="s">
        <v>108</v>
      </c>
      <c r="G1009" s="4" t="s">
        <v>39</v>
      </c>
      <c r="H1009" s="4"/>
      <c r="I1009" s="4">
        <f t="shared" si="46"/>
        <v>133340</v>
      </c>
      <c r="J1009" s="4">
        <v>133340</v>
      </c>
      <c r="K1009" s="4">
        <f t="shared" si="47"/>
        <v>0</v>
      </c>
      <c r="L1009" s="1">
        <v>133340</v>
      </c>
      <c r="M1009" s="93">
        <f t="shared" si="48"/>
        <v>0</v>
      </c>
      <c r="N1009" s="2"/>
      <c r="O1009" s="97"/>
      <c r="P1009" s="52"/>
    </row>
    <row r="1010" spans="1:16" ht="40.950000000000003" customHeight="1" x14ac:dyDescent="0.3">
      <c r="A1010" s="4">
        <v>11</v>
      </c>
      <c r="B1010" s="10" t="s">
        <v>248</v>
      </c>
      <c r="C1010" s="10"/>
      <c r="D1010" s="10" t="s">
        <v>289</v>
      </c>
      <c r="E1010" s="10">
        <v>121830</v>
      </c>
      <c r="F1010" s="10" t="s">
        <v>108</v>
      </c>
      <c r="G1010" s="4" t="s">
        <v>114</v>
      </c>
      <c r="H1010" s="4"/>
      <c r="I1010" s="4">
        <f t="shared" si="46"/>
        <v>141305</v>
      </c>
      <c r="J1010" s="4">
        <v>141305</v>
      </c>
      <c r="K1010" s="4">
        <f t="shared" si="47"/>
        <v>0</v>
      </c>
      <c r="L1010" s="1">
        <v>141305</v>
      </c>
      <c r="M1010" s="93">
        <f t="shared" si="48"/>
        <v>0</v>
      </c>
      <c r="N1010" s="2"/>
      <c r="O1010" s="97"/>
      <c r="P1010" s="52"/>
    </row>
    <row r="1011" spans="1:16" ht="40.950000000000003" customHeight="1" x14ac:dyDescent="0.3">
      <c r="A1011" s="4">
        <v>11</v>
      </c>
      <c r="B1011" s="10" t="s">
        <v>248</v>
      </c>
      <c r="C1011" s="10"/>
      <c r="D1011" s="10" t="s">
        <v>289</v>
      </c>
      <c r="E1011" s="10">
        <v>121830</v>
      </c>
      <c r="F1011" s="10" t="s">
        <v>108</v>
      </c>
      <c r="G1011" s="4" t="s">
        <v>85</v>
      </c>
      <c r="H1011" s="4"/>
      <c r="I1011" s="4">
        <f t="shared" ref="I1011:I1074" si="49">J1011-O1011</f>
        <v>170915</v>
      </c>
      <c r="J1011" s="4">
        <v>170915</v>
      </c>
      <c r="K1011" s="4">
        <f t="shared" si="47"/>
        <v>0</v>
      </c>
      <c r="L1011" s="1">
        <v>170915</v>
      </c>
      <c r="M1011" s="93">
        <f t="shared" si="48"/>
        <v>0</v>
      </c>
      <c r="N1011" s="2"/>
      <c r="O1011" s="97"/>
      <c r="P1011" s="52"/>
    </row>
    <row r="1012" spans="1:16" ht="40.950000000000003" customHeight="1" x14ac:dyDescent="0.3">
      <c r="A1012" s="4">
        <v>11</v>
      </c>
      <c r="B1012" s="10" t="s">
        <v>248</v>
      </c>
      <c r="C1012" s="10"/>
      <c r="D1012" s="10" t="s">
        <v>289</v>
      </c>
      <c r="E1012" s="10">
        <v>121830</v>
      </c>
      <c r="F1012" s="10" t="s">
        <v>108</v>
      </c>
      <c r="G1012" s="4" t="s">
        <v>128</v>
      </c>
      <c r="H1012" s="4"/>
      <c r="I1012" s="4">
        <f t="shared" si="49"/>
        <v>160095</v>
      </c>
      <c r="J1012" s="4">
        <v>160095</v>
      </c>
      <c r="K1012" s="4">
        <f t="shared" si="47"/>
        <v>0</v>
      </c>
      <c r="L1012" s="1">
        <v>160095</v>
      </c>
      <c r="M1012" s="93">
        <f t="shared" si="48"/>
        <v>0</v>
      </c>
      <c r="N1012" s="2"/>
      <c r="O1012" s="97"/>
      <c r="P1012" s="52"/>
    </row>
    <row r="1013" spans="1:16" ht="40.950000000000003" customHeight="1" x14ac:dyDescent="0.3">
      <c r="A1013" s="4">
        <v>11</v>
      </c>
      <c r="B1013" s="10" t="s">
        <v>248</v>
      </c>
      <c r="C1013" s="10"/>
      <c r="D1013" s="10" t="s">
        <v>289</v>
      </c>
      <c r="E1013" s="10">
        <v>121830</v>
      </c>
      <c r="F1013" s="10" t="s">
        <v>108</v>
      </c>
      <c r="G1013" s="4" t="s">
        <v>64</v>
      </c>
      <c r="H1013" s="4"/>
      <c r="I1013" s="4">
        <f t="shared" si="49"/>
        <v>107020</v>
      </c>
      <c r="J1013" s="4">
        <v>107020</v>
      </c>
      <c r="K1013" s="4">
        <f t="shared" si="47"/>
        <v>0</v>
      </c>
      <c r="L1013" s="1">
        <v>107020</v>
      </c>
      <c r="M1013" s="93">
        <f t="shared" si="48"/>
        <v>0</v>
      </c>
      <c r="N1013" s="2"/>
      <c r="O1013" s="97"/>
      <c r="P1013" s="52"/>
    </row>
    <row r="1014" spans="1:16" ht="40.950000000000003" customHeight="1" x14ac:dyDescent="0.3">
      <c r="A1014" s="4">
        <v>11</v>
      </c>
      <c r="B1014" s="10" t="s">
        <v>248</v>
      </c>
      <c r="C1014" s="10"/>
      <c r="D1014" s="10" t="s">
        <v>289</v>
      </c>
      <c r="E1014" s="10">
        <v>121830</v>
      </c>
      <c r="F1014" s="10" t="s">
        <v>108</v>
      </c>
      <c r="G1014" s="4" t="s">
        <v>254</v>
      </c>
      <c r="H1014" s="4"/>
      <c r="I1014" s="4">
        <f t="shared" si="49"/>
        <v>147457</v>
      </c>
      <c r="J1014" s="4">
        <v>147457</v>
      </c>
      <c r="K1014" s="4">
        <f t="shared" si="47"/>
        <v>0</v>
      </c>
      <c r="L1014" s="1">
        <v>147457</v>
      </c>
      <c r="M1014" s="93">
        <f t="shared" si="48"/>
        <v>0</v>
      </c>
      <c r="N1014" s="2"/>
      <c r="O1014" s="97"/>
      <c r="P1014" s="52"/>
    </row>
    <row r="1015" spans="1:16" ht="40.950000000000003" customHeight="1" x14ac:dyDescent="0.3">
      <c r="A1015" s="4">
        <v>11</v>
      </c>
      <c r="B1015" s="10" t="s">
        <v>248</v>
      </c>
      <c r="C1015" s="10"/>
      <c r="D1015" s="10" t="s">
        <v>289</v>
      </c>
      <c r="E1015" s="10">
        <v>121830</v>
      </c>
      <c r="F1015" s="10" t="s">
        <v>108</v>
      </c>
      <c r="G1015" s="4" t="s">
        <v>143</v>
      </c>
      <c r="H1015" s="4"/>
      <c r="I1015" s="4">
        <f t="shared" si="49"/>
        <v>170662</v>
      </c>
      <c r="J1015" s="4">
        <v>170662</v>
      </c>
      <c r="K1015" s="4">
        <f t="shared" si="47"/>
        <v>0</v>
      </c>
      <c r="L1015" s="1">
        <v>170662</v>
      </c>
      <c r="M1015" s="93">
        <f t="shared" si="48"/>
        <v>0</v>
      </c>
      <c r="N1015" s="2"/>
      <c r="O1015" s="97"/>
      <c r="P1015" s="52"/>
    </row>
    <row r="1016" spans="1:16" ht="40.950000000000003" customHeight="1" x14ac:dyDescent="0.3">
      <c r="A1016" s="4">
        <v>11</v>
      </c>
      <c r="B1016" s="10" t="s">
        <v>248</v>
      </c>
      <c r="C1016" s="10"/>
      <c r="D1016" s="10" t="s">
        <v>289</v>
      </c>
      <c r="E1016" s="10">
        <v>121830</v>
      </c>
      <c r="F1016" s="10" t="s">
        <v>108</v>
      </c>
      <c r="G1016" s="4" t="s">
        <v>200</v>
      </c>
      <c r="H1016" s="4"/>
      <c r="I1016" s="4">
        <f t="shared" si="49"/>
        <v>42470</v>
      </c>
      <c r="J1016" s="4">
        <v>42470</v>
      </c>
      <c r="K1016" s="4">
        <f t="shared" si="47"/>
        <v>0</v>
      </c>
      <c r="L1016" s="1">
        <v>42470</v>
      </c>
      <c r="M1016" s="93">
        <f t="shared" si="48"/>
        <v>0</v>
      </c>
      <c r="N1016" s="2"/>
      <c r="O1016" s="97"/>
      <c r="P1016" s="52"/>
    </row>
    <row r="1017" spans="1:16" ht="40.950000000000003" customHeight="1" x14ac:dyDescent="0.3">
      <c r="A1017" s="4">
        <v>11</v>
      </c>
      <c r="B1017" s="10" t="s">
        <v>248</v>
      </c>
      <c r="C1017" s="10"/>
      <c r="D1017" s="10" t="s">
        <v>289</v>
      </c>
      <c r="E1017" s="10">
        <v>121830</v>
      </c>
      <c r="F1017" s="10" t="s">
        <v>108</v>
      </c>
      <c r="G1017" s="4" t="s">
        <v>198</v>
      </c>
      <c r="H1017" s="4"/>
      <c r="I1017" s="4">
        <f t="shared" si="49"/>
        <v>43130</v>
      </c>
      <c r="J1017" s="4">
        <v>43130</v>
      </c>
      <c r="K1017" s="4">
        <f t="shared" si="47"/>
        <v>0</v>
      </c>
      <c r="L1017" s="1">
        <v>43130</v>
      </c>
      <c r="M1017" s="93">
        <f t="shared" si="48"/>
        <v>0</v>
      </c>
      <c r="N1017" s="2"/>
      <c r="O1017" s="97"/>
      <c r="P1017" s="52"/>
    </row>
    <row r="1018" spans="1:16" ht="40.950000000000003" customHeight="1" x14ac:dyDescent="0.3">
      <c r="A1018" s="4">
        <v>11</v>
      </c>
      <c r="B1018" s="10" t="s">
        <v>248</v>
      </c>
      <c r="C1018" s="10"/>
      <c r="D1018" s="10" t="s">
        <v>289</v>
      </c>
      <c r="E1018" s="10">
        <v>121830</v>
      </c>
      <c r="F1018" s="10" t="s">
        <v>108</v>
      </c>
      <c r="G1018" s="4" t="s">
        <v>402</v>
      </c>
      <c r="H1018" s="4"/>
      <c r="I1018" s="4">
        <f t="shared" si="49"/>
        <v>57100</v>
      </c>
      <c r="J1018" s="4">
        <v>57100</v>
      </c>
      <c r="K1018" s="4">
        <f t="shared" si="47"/>
        <v>0</v>
      </c>
      <c r="L1018" s="1">
        <v>57100</v>
      </c>
      <c r="M1018" s="93">
        <f t="shared" si="48"/>
        <v>0</v>
      </c>
      <c r="N1018" s="2"/>
      <c r="O1018" s="97"/>
      <c r="P1018" s="52"/>
    </row>
    <row r="1019" spans="1:16" ht="40.950000000000003" customHeight="1" x14ac:dyDescent="0.3">
      <c r="A1019" s="4">
        <v>11</v>
      </c>
      <c r="B1019" s="10" t="s">
        <v>248</v>
      </c>
      <c r="C1019" s="10"/>
      <c r="D1019" s="10" t="s">
        <v>289</v>
      </c>
      <c r="E1019" s="10">
        <v>121830</v>
      </c>
      <c r="F1019" s="10" t="s">
        <v>108</v>
      </c>
      <c r="G1019" s="4" t="s">
        <v>181</v>
      </c>
      <c r="H1019" s="4"/>
      <c r="I1019" s="4">
        <f t="shared" si="49"/>
        <v>81475</v>
      </c>
      <c r="J1019" s="4">
        <v>81475</v>
      </c>
      <c r="K1019" s="4">
        <f t="shared" si="47"/>
        <v>0</v>
      </c>
      <c r="L1019" s="1">
        <v>81475</v>
      </c>
      <c r="M1019" s="93">
        <f t="shared" si="48"/>
        <v>0</v>
      </c>
      <c r="N1019" s="2"/>
      <c r="O1019" s="97"/>
      <c r="P1019" s="52"/>
    </row>
    <row r="1020" spans="1:16" ht="40.950000000000003" customHeight="1" x14ac:dyDescent="0.3">
      <c r="A1020" s="4">
        <v>11</v>
      </c>
      <c r="B1020" s="10" t="s">
        <v>248</v>
      </c>
      <c r="C1020" s="10"/>
      <c r="D1020" s="10" t="s">
        <v>289</v>
      </c>
      <c r="E1020" s="10">
        <v>121830</v>
      </c>
      <c r="F1020" s="10" t="s">
        <v>971</v>
      </c>
      <c r="G1020" s="4" t="s">
        <v>14</v>
      </c>
      <c r="H1020" s="4">
        <v>20</v>
      </c>
      <c r="I1020" s="4">
        <f t="shared" si="49"/>
        <v>362670</v>
      </c>
      <c r="J1020" s="4">
        <v>362670</v>
      </c>
      <c r="K1020" s="4">
        <f t="shared" si="47"/>
        <v>0</v>
      </c>
      <c r="L1020" s="1">
        <v>362670</v>
      </c>
      <c r="M1020" s="93">
        <f t="shared" si="48"/>
        <v>0</v>
      </c>
      <c r="N1020" s="2"/>
      <c r="O1020" s="97"/>
      <c r="P1020" s="52"/>
    </row>
    <row r="1021" spans="1:16" ht="40.950000000000003" customHeight="1" x14ac:dyDescent="0.3">
      <c r="A1021" s="4">
        <v>12</v>
      </c>
      <c r="B1021" s="10" t="s">
        <v>63</v>
      </c>
      <c r="C1021" s="10"/>
      <c r="D1021" s="10"/>
      <c r="E1021" s="10"/>
      <c r="F1021" s="10" t="s">
        <v>108</v>
      </c>
      <c r="G1021" s="4" t="s">
        <v>14</v>
      </c>
      <c r="H1021" s="4"/>
      <c r="I1021" s="4">
        <f t="shared" si="49"/>
        <v>45000</v>
      </c>
      <c r="J1021" s="4">
        <v>45000</v>
      </c>
      <c r="K1021" s="4">
        <f t="shared" si="47"/>
        <v>0</v>
      </c>
      <c r="L1021" s="1">
        <v>45000</v>
      </c>
      <c r="M1021" s="93">
        <f t="shared" si="48"/>
        <v>0</v>
      </c>
      <c r="N1021" s="2"/>
      <c r="O1021" s="97"/>
      <c r="P1021" s="52"/>
    </row>
    <row r="1022" spans="1:16" ht="40.950000000000003" customHeight="1" x14ac:dyDescent="0.3">
      <c r="A1022" s="4">
        <v>12</v>
      </c>
      <c r="B1022" s="10" t="s">
        <v>63</v>
      </c>
      <c r="C1022" s="10"/>
      <c r="D1022" s="10"/>
      <c r="E1022" s="10"/>
      <c r="F1022" s="10" t="s">
        <v>108</v>
      </c>
      <c r="G1022" s="4" t="s">
        <v>7</v>
      </c>
      <c r="H1022" s="4"/>
      <c r="I1022" s="4">
        <f t="shared" si="49"/>
        <v>15050</v>
      </c>
      <c r="J1022" s="4">
        <v>15050</v>
      </c>
      <c r="K1022" s="4">
        <f t="shared" si="47"/>
        <v>0</v>
      </c>
      <c r="L1022" s="1">
        <v>15050</v>
      </c>
      <c r="M1022" s="93">
        <f t="shared" si="48"/>
        <v>0</v>
      </c>
      <c r="N1022" s="2"/>
      <c r="O1022" s="97"/>
      <c r="P1022" s="52"/>
    </row>
    <row r="1023" spans="1:16" ht="40.950000000000003" customHeight="1" x14ac:dyDescent="0.3">
      <c r="A1023" s="4">
        <v>12</v>
      </c>
      <c r="B1023" s="10" t="s">
        <v>63</v>
      </c>
      <c r="C1023" s="10"/>
      <c r="D1023" s="10"/>
      <c r="E1023" s="10"/>
      <c r="F1023" s="10" t="s">
        <v>108</v>
      </c>
      <c r="G1023" s="4" t="s">
        <v>8</v>
      </c>
      <c r="H1023" s="4"/>
      <c r="I1023" s="4">
        <f t="shared" si="49"/>
        <v>15050</v>
      </c>
      <c r="J1023" s="4">
        <v>15050</v>
      </c>
      <c r="K1023" s="4">
        <f t="shared" si="47"/>
        <v>0</v>
      </c>
      <c r="L1023" s="1">
        <v>15050</v>
      </c>
      <c r="M1023" s="93">
        <f t="shared" si="48"/>
        <v>0</v>
      </c>
      <c r="N1023" s="2"/>
      <c r="O1023" s="97"/>
      <c r="P1023" s="52"/>
    </row>
    <row r="1024" spans="1:16" ht="40.950000000000003" customHeight="1" x14ac:dyDescent="0.3">
      <c r="A1024" s="4">
        <v>12</v>
      </c>
      <c r="B1024" s="10" t="s">
        <v>63</v>
      </c>
      <c r="C1024" s="10"/>
      <c r="D1024" s="10"/>
      <c r="E1024" s="10"/>
      <c r="F1024" s="10" t="s">
        <v>108</v>
      </c>
      <c r="G1024" s="4" t="s">
        <v>9</v>
      </c>
      <c r="H1024" s="4"/>
      <c r="I1024" s="4">
        <f t="shared" si="49"/>
        <v>42450</v>
      </c>
      <c r="J1024" s="4">
        <v>42450</v>
      </c>
      <c r="K1024" s="4">
        <f t="shared" si="47"/>
        <v>0</v>
      </c>
      <c r="L1024" s="1">
        <v>42450</v>
      </c>
      <c r="M1024" s="93">
        <f t="shared" si="48"/>
        <v>0</v>
      </c>
      <c r="N1024" s="2"/>
      <c r="O1024" s="97"/>
      <c r="P1024" s="52"/>
    </row>
    <row r="1025" spans="1:16" ht="40.950000000000003" customHeight="1" x14ac:dyDescent="0.3">
      <c r="A1025" s="4">
        <v>12</v>
      </c>
      <c r="B1025" s="10" t="s">
        <v>63</v>
      </c>
      <c r="C1025" s="10"/>
      <c r="D1025" s="10"/>
      <c r="E1025" s="10"/>
      <c r="F1025" s="10" t="s">
        <v>108</v>
      </c>
      <c r="G1025" s="4" t="s">
        <v>11</v>
      </c>
      <c r="H1025" s="4"/>
      <c r="I1025" s="4">
        <f t="shared" si="49"/>
        <v>7550</v>
      </c>
      <c r="J1025" s="4">
        <v>7550</v>
      </c>
      <c r="K1025" s="4">
        <f t="shared" si="47"/>
        <v>0</v>
      </c>
      <c r="L1025" s="1">
        <v>7550</v>
      </c>
      <c r="M1025" s="93">
        <f t="shared" si="48"/>
        <v>0</v>
      </c>
      <c r="N1025" s="2"/>
      <c r="O1025" s="97"/>
      <c r="P1025" s="52"/>
    </row>
    <row r="1026" spans="1:16" ht="40.950000000000003" customHeight="1" x14ac:dyDescent="0.3">
      <c r="A1026" s="4">
        <v>12</v>
      </c>
      <c r="B1026" s="10" t="s">
        <v>63</v>
      </c>
      <c r="C1026" s="10"/>
      <c r="D1026" s="10"/>
      <c r="E1026" s="10"/>
      <c r="F1026" s="10" t="s">
        <v>108</v>
      </c>
      <c r="G1026" s="4" t="s">
        <v>22</v>
      </c>
      <c r="H1026" s="4"/>
      <c r="I1026" s="4">
        <f t="shared" si="49"/>
        <v>26025</v>
      </c>
      <c r="J1026" s="4">
        <v>26025</v>
      </c>
      <c r="K1026" s="4">
        <f t="shared" si="47"/>
        <v>0</v>
      </c>
      <c r="L1026" s="1">
        <v>26025</v>
      </c>
      <c r="M1026" s="93">
        <f t="shared" si="48"/>
        <v>0</v>
      </c>
      <c r="N1026" s="2"/>
      <c r="O1026" s="97"/>
      <c r="P1026" s="52"/>
    </row>
    <row r="1027" spans="1:16" ht="40.950000000000003" customHeight="1" x14ac:dyDescent="0.3">
      <c r="A1027" s="4">
        <v>12</v>
      </c>
      <c r="B1027" s="10" t="s">
        <v>63</v>
      </c>
      <c r="C1027" s="10"/>
      <c r="D1027" s="10"/>
      <c r="E1027" s="10"/>
      <c r="F1027" s="10" t="s">
        <v>108</v>
      </c>
      <c r="G1027" s="4" t="s">
        <v>70</v>
      </c>
      <c r="H1027" s="4"/>
      <c r="I1027" s="4">
        <f t="shared" si="49"/>
        <v>46900</v>
      </c>
      <c r="J1027" s="4">
        <v>46900</v>
      </c>
      <c r="K1027" s="4">
        <f t="shared" si="47"/>
        <v>0</v>
      </c>
      <c r="L1027" s="1">
        <v>46900</v>
      </c>
      <c r="M1027" s="93">
        <f t="shared" si="48"/>
        <v>0</v>
      </c>
      <c r="N1027" s="2"/>
      <c r="O1027" s="97"/>
      <c r="P1027" s="52"/>
    </row>
    <row r="1028" spans="1:16" ht="40.950000000000003" customHeight="1" x14ac:dyDescent="0.3">
      <c r="A1028" s="4">
        <v>12</v>
      </c>
      <c r="B1028" s="10" t="s">
        <v>63</v>
      </c>
      <c r="C1028" s="10"/>
      <c r="D1028" s="10"/>
      <c r="E1028" s="10"/>
      <c r="F1028" s="10" t="s">
        <v>108</v>
      </c>
      <c r="G1028" s="4" t="s">
        <v>90</v>
      </c>
      <c r="H1028" s="4"/>
      <c r="I1028" s="4">
        <f t="shared" si="49"/>
        <v>122500</v>
      </c>
      <c r="J1028" s="4">
        <v>122500</v>
      </c>
      <c r="K1028" s="4">
        <f t="shared" si="47"/>
        <v>0</v>
      </c>
      <c r="L1028" s="1">
        <v>122500</v>
      </c>
      <c r="M1028" s="93">
        <f t="shared" si="48"/>
        <v>0</v>
      </c>
      <c r="N1028" s="2"/>
      <c r="O1028" s="97"/>
      <c r="P1028" s="52"/>
    </row>
    <row r="1029" spans="1:16" ht="40.950000000000003" customHeight="1" x14ac:dyDescent="0.3">
      <c r="A1029" s="4">
        <v>12</v>
      </c>
      <c r="B1029" s="10" t="s">
        <v>63</v>
      </c>
      <c r="C1029" s="10"/>
      <c r="D1029" s="10"/>
      <c r="E1029" s="10"/>
      <c r="F1029" s="10" t="s">
        <v>108</v>
      </c>
      <c r="G1029" s="4" t="s">
        <v>48</v>
      </c>
      <c r="H1029" s="4"/>
      <c r="I1029" s="4">
        <f t="shared" si="49"/>
        <v>29400</v>
      </c>
      <c r="J1029" s="4">
        <v>29400</v>
      </c>
      <c r="K1029" s="4">
        <f t="shared" ref="K1029:K1097" si="50">L1029-J1029</f>
        <v>0</v>
      </c>
      <c r="L1029" s="1">
        <v>29400</v>
      </c>
      <c r="M1029" s="93">
        <f t="shared" si="48"/>
        <v>0</v>
      </c>
      <c r="N1029" s="2"/>
      <c r="O1029" s="97"/>
      <c r="P1029" s="52"/>
    </row>
    <row r="1030" spans="1:16" ht="40.950000000000003" customHeight="1" x14ac:dyDescent="0.3">
      <c r="A1030" s="4">
        <v>12</v>
      </c>
      <c r="B1030" s="10" t="s">
        <v>63</v>
      </c>
      <c r="C1030" s="10"/>
      <c r="D1030" s="10"/>
      <c r="E1030" s="10"/>
      <c r="F1030" s="10" t="s">
        <v>108</v>
      </c>
      <c r="G1030" s="4" t="s">
        <v>49</v>
      </c>
      <c r="H1030" s="4"/>
      <c r="I1030" s="4">
        <f t="shared" si="49"/>
        <v>7500</v>
      </c>
      <c r="J1030" s="4">
        <v>7500</v>
      </c>
      <c r="K1030" s="4">
        <f t="shared" si="50"/>
        <v>0</v>
      </c>
      <c r="L1030" s="1">
        <v>7500</v>
      </c>
      <c r="M1030" s="93">
        <f t="shared" si="48"/>
        <v>0</v>
      </c>
      <c r="N1030" s="2"/>
      <c r="O1030" s="97"/>
      <c r="P1030" s="52"/>
    </row>
    <row r="1031" spans="1:16" ht="40.950000000000003" customHeight="1" x14ac:dyDescent="0.3">
      <c r="A1031" s="4">
        <v>12</v>
      </c>
      <c r="B1031" s="10" t="s">
        <v>63</v>
      </c>
      <c r="C1031" s="10"/>
      <c r="D1031" s="10"/>
      <c r="E1031" s="10"/>
      <c r="F1031" s="10" t="s">
        <v>108</v>
      </c>
      <c r="G1031" s="4" t="s">
        <v>50</v>
      </c>
      <c r="H1031" s="4"/>
      <c r="I1031" s="4">
        <f t="shared" si="49"/>
        <v>34350</v>
      </c>
      <c r="J1031" s="4">
        <v>34350</v>
      </c>
      <c r="K1031" s="4">
        <f t="shared" si="50"/>
        <v>0</v>
      </c>
      <c r="L1031" s="1">
        <v>34350</v>
      </c>
      <c r="M1031" s="93">
        <f t="shared" si="48"/>
        <v>0</v>
      </c>
      <c r="N1031" s="2"/>
      <c r="O1031" s="97"/>
      <c r="P1031" s="52"/>
    </row>
    <row r="1032" spans="1:16" ht="40.950000000000003" customHeight="1" x14ac:dyDescent="0.3">
      <c r="A1032" s="4">
        <v>12</v>
      </c>
      <c r="B1032" s="10" t="s">
        <v>63</v>
      </c>
      <c r="C1032" s="10"/>
      <c r="D1032" s="10"/>
      <c r="E1032" s="10"/>
      <c r="F1032" s="10" t="s">
        <v>108</v>
      </c>
      <c r="G1032" s="4" t="s">
        <v>51</v>
      </c>
      <c r="H1032" s="4"/>
      <c r="I1032" s="4">
        <f t="shared" si="49"/>
        <v>30000</v>
      </c>
      <c r="J1032" s="4">
        <v>30000</v>
      </c>
      <c r="K1032" s="4">
        <f t="shared" si="50"/>
        <v>0</v>
      </c>
      <c r="L1032" s="1">
        <v>30000</v>
      </c>
      <c r="M1032" s="93">
        <f t="shared" si="48"/>
        <v>0</v>
      </c>
      <c r="N1032" s="2"/>
      <c r="O1032" s="97"/>
      <c r="P1032" s="52"/>
    </row>
    <row r="1033" spans="1:16" ht="40.950000000000003" customHeight="1" x14ac:dyDescent="0.3">
      <c r="A1033" s="4">
        <v>12</v>
      </c>
      <c r="B1033" s="10" t="s">
        <v>63</v>
      </c>
      <c r="C1033" s="10"/>
      <c r="D1033" s="10"/>
      <c r="E1033" s="10"/>
      <c r="F1033" s="10" t="s">
        <v>108</v>
      </c>
      <c r="G1033" s="4" t="s">
        <v>39</v>
      </c>
      <c r="H1033" s="4"/>
      <c r="I1033" s="4">
        <f t="shared" si="49"/>
        <v>22350</v>
      </c>
      <c r="J1033" s="4">
        <v>22350</v>
      </c>
      <c r="K1033" s="4">
        <f t="shared" si="50"/>
        <v>0</v>
      </c>
      <c r="L1033" s="1">
        <v>22350</v>
      </c>
      <c r="M1033" s="93">
        <f t="shared" si="48"/>
        <v>0</v>
      </c>
      <c r="N1033" s="2"/>
      <c r="O1033" s="97"/>
      <c r="P1033" s="52"/>
    </row>
    <row r="1034" spans="1:16" ht="40.950000000000003" customHeight="1" x14ac:dyDescent="0.3">
      <c r="A1034" s="4">
        <v>12</v>
      </c>
      <c r="B1034" s="10" t="s">
        <v>63</v>
      </c>
      <c r="C1034" s="10"/>
      <c r="D1034" s="10"/>
      <c r="E1034" s="10"/>
      <c r="F1034" s="10" t="s">
        <v>108</v>
      </c>
      <c r="G1034" s="4" t="s">
        <v>256</v>
      </c>
      <c r="H1034" s="4"/>
      <c r="I1034" s="4">
        <f t="shared" si="49"/>
        <v>3750</v>
      </c>
      <c r="J1034" s="4">
        <v>3750</v>
      </c>
      <c r="K1034" s="4">
        <f t="shared" si="50"/>
        <v>0</v>
      </c>
      <c r="L1034" s="1">
        <v>3750</v>
      </c>
      <c r="M1034" s="93">
        <f t="shared" si="48"/>
        <v>0</v>
      </c>
      <c r="N1034" s="2"/>
      <c r="O1034" s="97"/>
      <c r="P1034" s="52"/>
    </row>
    <row r="1035" spans="1:16" ht="40.950000000000003" customHeight="1" x14ac:dyDescent="0.3">
      <c r="A1035" s="4">
        <v>12</v>
      </c>
      <c r="B1035" s="10" t="s">
        <v>63</v>
      </c>
      <c r="C1035" s="10"/>
      <c r="D1035" s="10"/>
      <c r="E1035" s="10"/>
      <c r="F1035" s="10" t="s">
        <v>108</v>
      </c>
      <c r="G1035" s="4" t="s">
        <v>85</v>
      </c>
      <c r="H1035" s="4"/>
      <c r="I1035" s="4">
        <f t="shared" si="49"/>
        <v>19900</v>
      </c>
      <c r="J1035" s="4">
        <v>19900</v>
      </c>
      <c r="K1035" s="4">
        <f t="shared" si="50"/>
        <v>0</v>
      </c>
      <c r="L1035" s="1">
        <v>19900</v>
      </c>
      <c r="M1035" s="93">
        <f t="shared" si="48"/>
        <v>0</v>
      </c>
      <c r="N1035" s="2"/>
      <c r="O1035" s="97"/>
      <c r="P1035" s="52"/>
    </row>
    <row r="1036" spans="1:16" ht="40.950000000000003" customHeight="1" x14ac:dyDescent="0.3">
      <c r="A1036" s="4">
        <v>12</v>
      </c>
      <c r="B1036" s="10" t="s">
        <v>63</v>
      </c>
      <c r="C1036" s="10"/>
      <c r="D1036" s="10"/>
      <c r="E1036" s="10"/>
      <c r="F1036" s="10" t="s">
        <v>108</v>
      </c>
      <c r="G1036" s="4" t="s">
        <v>128</v>
      </c>
      <c r="H1036" s="4"/>
      <c r="I1036" s="4">
        <f t="shared" si="49"/>
        <v>26550</v>
      </c>
      <c r="J1036" s="4">
        <v>26550</v>
      </c>
      <c r="K1036" s="4">
        <f t="shared" si="50"/>
        <v>0</v>
      </c>
      <c r="L1036" s="1">
        <v>26550</v>
      </c>
      <c r="M1036" s="93">
        <f t="shared" si="48"/>
        <v>0</v>
      </c>
      <c r="N1036" s="2"/>
      <c r="O1036" s="97"/>
      <c r="P1036" s="52"/>
    </row>
    <row r="1037" spans="1:16" ht="40.950000000000003" customHeight="1" x14ac:dyDescent="0.3">
      <c r="A1037" s="4">
        <v>12</v>
      </c>
      <c r="B1037" s="10" t="s">
        <v>63</v>
      </c>
      <c r="C1037" s="10"/>
      <c r="D1037" s="10"/>
      <c r="E1037" s="10"/>
      <c r="F1037" s="10" t="s">
        <v>108</v>
      </c>
      <c r="G1037" s="4" t="s">
        <v>64</v>
      </c>
      <c r="H1037" s="4"/>
      <c r="I1037" s="4">
        <f t="shared" si="49"/>
        <v>3425</v>
      </c>
      <c r="J1037" s="4">
        <v>3425</v>
      </c>
      <c r="K1037" s="4">
        <f t="shared" si="50"/>
        <v>0</v>
      </c>
      <c r="L1037" s="1">
        <v>3425</v>
      </c>
      <c r="M1037" s="93">
        <f t="shared" si="48"/>
        <v>0</v>
      </c>
      <c r="N1037" s="2"/>
      <c r="O1037" s="97"/>
      <c r="P1037" s="52"/>
    </row>
    <row r="1038" spans="1:16" ht="40.950000000000003" customHeight="1" x14ac:dyDescent="0.3">
      <c r="A1038" s="4">
        <v>12</v>
      </c>
      <c r="B1038" s="10" t="s">
        <v>63</v>
      </c>
      <c r="C1038" s="10"/>
      <c r="D1038" s="10"/>
      <c r="E1038" s="10"/>
      <c r="F1038" s="10" t="s">
        <v>108</v>
      </c>
      <c r="G1038" s="4" t="s">
        <v>122</v>
      </c>
      <c r="H1038" s="4"/>
      <c r="I1038" s="4">
        <f t="shared" si="49"/>
        <v>22125</v>
      </c>
      <c r="J1038" s="4">
        <v>22125</v>
      </c>
      <c r="K1038" s="4">
        <f t="shared" si="50"/>
        <v>0</v>
      </c>
      <c r="L1038" s="1">
        <v>22125</v>
      </c>
      <c r="M1038" s="93">
        <f t="shared" si="48"/>
        <v>0</v>
      </c>
      <c r="N1038" s="2"/>
      <c r="O1038" s="97"/>
      <c r="P1038" s="52"/>
    </row>
    <row r="1039" spans="1:16" ht="40.950000000000003" customHeight="1" x14ac:dyDescent="0.3">
      <c r="A1039" s="4">
        <v>12</v>
      </c>
      <c r="B1039" s="10" t="s">
        <v>63</v>
      </c>
      <c r="C1039" s="10"/>
      <c r="D1039" s="10"/>
      <c r="E1039" s="10"/>
      <c r="F1039" s="10" t="s">
        <v>108</v>
      </c>
      <c r="G1039" s="4" t="s">
        <v>143</v>
      </c>
      <c r="H1039" s="4"/>
      <c r="I1039" s="4">
        <f t="shared" si="49"/>
        <v>16200</v>
      </c>
      <c r="J1039" s="4">
        <v>16200</v>
      </c>
      <c r="K1039" s="4">
        <f t="shared" si="50"/>
        <v>0</v>
      </c>
      <c r="L1039" s="1">
        <v>16200</v>
      </c>
      <c r="M1039" s="93">
        <f t="shared" si="48"/>
        <v>0</v>
      </c>
      <c r="N1039" s="2"/>
      <c r="O1039" s="97"/>
      <c r="P1039" s="52"/>
    </row>
    <row r="1040" spans="1:16" ht="40.950000000000003" customHeight="1" x14ac:dyDescent="0.3">
      <c r="A1040" s="4">
        <v>12</v>
      </c>
      <c r="B1040" s="10" t="s">
        <v>63</v>
      </c>
      <c r="C1040" s="10"/>
      <c r="D1040" s="10"/>
      <c r="E1040" s="10"/>
      <c r="F1040" s="10" t="s">
        <v>108</v>
      </c>
      <c r="G1040" s="4" t="s">
        <v>200</v>
      </c>
      <c r="H1040" s="4"/>
      <c r="I1040" s="4">
        <f t="shared" si="49"/>
        <v>7500</v>
      </c>
      <c r="J1040" s="4">
        <v>7500</v>
      </c>
      <c r="K1040" s="4">
        <f t="shared" si="50"/>
        <v>0</v>
      </c>
      <c r="L1040" s="1">
        <v>7500</v>
      </c>
      <c r="M1040" s="93">
        <f t="shared" si="48"/>
        <v>0</v>
      </c>
      <c r="N1040" s="2"/>
      <c r="O1040" s="97"/>
      <c r="P1040" s="52"/>
    </row>
    <row r="1041" spans="1:16" ht="40.950000000000003" customHeight="1" x14ac:dyDescent="0.3">
      <c r="A1041" s="4">
        <v>12</v>
      </c>
      <c r="B1041" s="10" t="s">
        <v>63</v>
      </c>
      <c r="C1041" s="10"/>
      <c r="D1041" s="10"/>
      <c r="E1041" s="10"/>
      <c r="F1041" s="10" t="s">
        <v>108</v>
      </c>
      <c r="G1041" s="4" t="s">
        <v>181</v>
      </c>
      <c r="H1041" s="4"/>
      <c r="I1041" s="4">
        <f t="shared" si="49"/>
        <v>3425</v>
      </c>
      <c r="J1041" s="4">
        <v>3425</v>
      </c>
      <c r="K1041" s="4">
        <f t="shared" si="50"/>
        <v>0</v>
      </c>
      <c r="L1041" s="1">
        <v>3425</v>
      </c>
      <c r="M1041" s="93">
        <f t="shared" si="48"/>
        <v>0</v>
      </c>
      <c r="N1041" s="2"/>
      <c r="O1041" s="97"/>
      <c r="P1041" s="52"/>
    </row>
    <row r="1042" spans="1:16" ht="40.950000000000003" customHeight="1" x14ac:dyDescent="0.3">
      <c r="A1042" s="4">
        <v>12</v>
      </c>
      <c r="B1042" s="10" t="s">
        <v>63</v>
      </c>
      <c r="C1042" s="10"/>
      <c r="D1042" s="10"/>
      <c r="E1042" s="10"/>
      <c r="F1042" s="10" t="s">
        <v>108</v>
      </c>
      <c r="G1042" s="4" t="s">
        <v>402</v>
      </c>
      <c r="H1042" s="4"/>
      <c r="I1042" s="4">
        <f t="shared" si="49"/>
        <v>58500</v>
      </c>
      <c r="J1042" s="4">
        <v>58500</v>
      </c>
      <c r="K1042" s="4">
        <f t="shared" si="50"/>
        <v>0</v>
      </c>
      <c r="L1042" s="1">
        <v>58500</v>
      </c>
      <c r="M1042" s="93">
        <f t="shared" si="48"/>
        <v>0</v>
      </c>
      <c r="N1042" s="2"/>
      <c r="O1042" s="97"/>
      <c r="P1042" s="52"/>
    </row>
    <row r="1043" spans="1:16" ht="40.950000000000003" customHeight="1" x14ac:dyDescent="0.3">
      <c r="A1043" s="4">
        <v>12</v>
      </c>
      <c r="B1043" s="10" t="s">
        <v>63</v>
      </c>
      <c r="C1043" s="10"/>
      <c r="D1043" s="10"/>
      <c r="E1043" s="10"/>
      <c r="F1043" s="10" t="s">
        <v>108</v>
      </c>
      <c r="G1043" s="4" t="s">
        <v>198</v>
      </c>
      <c r="H1043" s="4"/>
      <c r="I1043" s="4">
        <f t="shared" si="49"/>
        <v>6850</v>
      </c>
      <c r="J1043" s="4">
        <v>6850</v>
      </c>
      <c r="K1043" s="4">
        <f t="shared" si="50"/>
        <v>0</v>
      </c>
      <c r="L1043" s="1">
        <v>6850</v>
      </c>
      <c r="M1043" s="93">
        <f t="shared" si="48"/>
        <v>0</v>
      </c>
      <c r="N1043" s="2"/>
      <c r="O1043" s="97"/>
      <c r="P1043" s="52"/>
    </row>
    <row r="1044" spans="1:16" ht="40.950000000000003" customHeight="1" x14ac:dyDescent="0.3">
      <c r="A1044" s="4">
        <v>13</v>
      </c>
      <c r="B1044" s="10" t="s">
        <v>112</v>
      </c>
      <c r="C1044" s="10"/>
      <c r="D1044" s="10"/>
      <c r="E1044" s="10"/>
      <c r="F1044" s="10" t="s">
        <v>108</v>
      </c>
      <c r="G1044" s="4" t="s">
        <v>14</v>
      </c>
      <c r="H1044" s="4"/>
      <c r="I1044" s="4">
        <f t="shared" si="49"/>
        <v>47400</v>
      </c>
      <c r="J1044" s="4">
        <v>48300</v>
      </c>
      <c r="K1044" s="4">
        <f t="shared" si="50"/>
        <v>0</v>
      </c>
      <c r="L1044" s="1">
        <v>48300</v>
      </c>
      <c r="M1044" s="93">
        <f t="shared" si="48"/>
        <v>0</v>
      </c>
      <c r="N1044" s="2">
        <v>900</v>
      </c>
      <c r="O1044" s="97">
        <v>900</v>
      </c>
      <c r="P1044" s="52"/>
    </row>
    <row r="1045" spans="1:16" ht="40.950000000000003" customHeight="1" x14ac:dyDescent="0.3">
      <c r="A1045" s="4">
        <v>13</v>
      </c>
      <c r="B1045" s="10" t="s">
        <v>112</v>
      </c>
      <c r="C1045" s="10"/>
      <c r="D1045" s="10"/>
      <c r="E1045" s="10"/>
      <c r="F1045" s="10" t="s">
        <v>108</v>
      </c>
      <c r="G1045" s="4" t="s">
        <v>7</v>
      </c>
      <c r="H1045" s="4"/>
      <c r="I1045" s="4">
        <f t="shared" si="49"/>
        <v>59450</v>
      </c>
      <c r="J1045" s="4">
        <v>59450</v>
      </c>
      <c r="K1045" s="4">
        <f t="shared" si="50"/>
        <v>0</v>
      </c>
      <c r="L1045" s="1">
        <v>59450</v>
      </c>
      <c r="M1045" s="93">
        <f t="shared" si="48"/>
        <v>0</v>
      </c>
      <c r="N1045" s="2"/>
      <c r="O1045" s="97"/>
      <c r="P1045" s="52"/>
    </row>
    <row r="1046" spans="1:16" ht="40.950000000000003" customHeight="1" x14ac:dyDescent="0.3">
      <c r="A1046" s="4">
        <v>13</v>
      </c>
      <c r="B1046" s="10" t="s">
        <v>112</v>
      </c>
      <c r="C1046" s="10"/>
      <c r="D1046" s="10"/>
      <c r="E1046" s="10"/>
      <c r="F1046" s="10" t="s">
        <v>108</v>
      </c>
      <c r="G1046" s="4" t="s">
        <v>334</v>
      </c>
      <c r="H1046" s="4"/>
      <c r="I1046" s="4">
        <f t="shared" si="49"/>
        <v>10975</v>
      </c>
      <c r="J1046" s="4">
        <v>10975</v>
      </c>
      <c r="K1046" s="4">
        <f t="shared" si="50"/>
        <v>0</v>
      </c>
      <c r="L1046" s="1">
        <v>10975</v>
      </c>
      <c r="M1046" s="93">
        <f t="shared" si="48"/>
        <v>0</v>
      </c>
      <c r="N1046" s="2"/>
      <c r="O1046" s="97"/>
      <c r="P1046" s="52"/>
    </row>
    <row r="1047" spans="1:16" ht="40.950000000000003" customHeight="1" x14ac:dyDescent="0.3">
      <c r="A1047" s="4">
        <v>13</v>
      </c>
      <c r="B1047" s="10" t="s">
        <v>112</v>
      </c>
      <c r="C1047" s="10"/>
      <c r="D1047" s="10"/>
      <c r="E1047" s="10"/>
      <c r="F1047" s="10" t="s">
        <v>108</v>
      </c>
      <c r="G1047" s="4" t="s">
        <v>335</v>
      </c>
      <c r="H1047" s="4"/>
      <c r="I1047" s="4">
        <f t="shared" si="49"/>
        <v>14625</v>
      </c>
      <c r="J1047" s="4">
        <v>14625</v>
      </c>
      <c r="K1047" s="4">
        <f t="shared" si="50"/>
        <v>0</v>
      </c>
      <c r="L1047" s="1">
        <v>14625</v>
      </c>
      <c r="M1047" s="93">
        <f t="shared" si="48"/>
        <v>0</v>
      </c>
      <c r="N1047" s="2"/>
      <c r="O1047" s="97"/>
      <c r="P1047" s="52"/>
    </row>
    <row r="1048" spans="1:16" ht="40.950000000000003" customHeight="1" x14ac:dyDescent="0.3">
      <c r="A1048" s="4">
        <v>13</v>
      </c>
      <c r="B1048" s="10" t="s">
        <v>112</v>
      </c>
      <c r="C1048" s="10"/>
      <c r="D1048" s="10"/>
      <c r="E1048" s="10"/>
      <c r="F1048" s="10" t="s">
        <v>108</v>
      </c>
      <c r="G1048" s="4" t="s">
        <v>336</v>
      </c>
      <c r="H1048" s="4"/>
      <c r="I1048" s="4">
        <f t="shared" si="49"/>
        <v>7325</v>
      </c>
      <c r="J1048" s="4">
        <v>7325</v>
      </c>
      <c r="K1048" s="4">
        <f t="shared" si="50"/>
        <v>0</v>
      </c>
      <c r="L1048" s="1">
        <v>7325</v>
      </c>
      <c r="M1048" s="93">
        <f t="shared" si="48"/>
        <v>0</v>
      </c>
      <c r="N1048" s="2"/>
      <c r="O1048" s="97"/>
      <c r="P1048" s="52"/>
    </row>
    <row r="1049" spans="1:16" ht="40.950000000000003" customHeight="1" x14ac:dyDescent="0.3">
      <c r="A1049" s="4">
        <v>13</v>
      </c>
      <c r="B1049" s="10" t="s">
        <v>112</v>
      </c>
      <c r="C1049" s="10"/>
      <c r="D1049" s="10"/>
      <c r="E1049" s="10"/>
      <c r="F1049" s="10" t="s">
        <v>108</v>
      </c>
      <c r="G1049" s="4" t="s">
        <v>70</v>
      </c>
      <c r="H1049" s="4"/>
      <c r="I1049" s="4">
        <f t="shared" si="49"/>
        <v>39325</v>
      </c>
      <c r="J1049" s="4">
        <v>39325</v>
      </c>
      <c r="K1049" s="4">
        <f t="shared" si="50"/>
        <v>0</v>
      </c>
      <c r="L1049" s="1">
        <v>39325</v>
      </c>
      <c r="M1049" s="93">
        <f t="shared" si="48"/>
        <v>0</v>
      </c>
      <c r="N1049" s="2"/>
      <c r="O1049" s="97"/>
      <c r="P1049" s="52"/>
    </row>
    <row r="1050" spans="1:16" ht="40.950000000000003" customHeight="1" x14ac:dyDescent="0.3">
      <c r="A1050" s="4">
        <v>13</v>
      </c>
      <c r="B1050" s="10" t="s">
        <v>112</v>
      </c>
      <c r="C1050" s="10"/>
      <c r="D1050" s="10"/>
      <c r="E1050" s="10"/>
      <c r="F1050" s="10" t="s">
        <v>108</v>
      </c>
      <c r="G1050" s="4" t="s">
        <v>90</v>
      </c>
      <c r="H1050" s="4"/>
      <c r="I1050" s="4">
        <f t="shared" si="49"/>
        <v>14600</v>
      </c>
      <c r="J1050" s="4">
        <v>14600</v>
      </c>
      <c r="K1050" s="4">
        <f t="shared" si="50"/>
        <v>0</v>
      </c>
      <c r="L1050" s="1">
        <v>14600</v>
      </c>
      <c r="M1050" s="93">
        <f t="shared" si="48"/>
        <v>0</v>
      </c>
      <c r="N1050" s="2"/>
      <c r="O1050" s="97"/>
      <c r="P1050" s="52"/>
    </row>
    <row r="1051" spans="1:16" ht="40.950000000000003" customHeight="1" x14ac:dyDescent="0.3">
      <c r="A1051" s="4">
        <v>13</v>
      </c>
      <c r="B1051" s="10" t="s">
        <v>112</v>
      </c>
      <c r="C1051" s="10"/>
      <c r="D1051" s="10"/>
      <c r="E1051" s="10"/>
      <c r="F1051" s="10" t="s">
        <v>108</v>
      </c>
      <c r="G1051" s="4" t="s">
        <v>350</v>
      </c>
      <c r="H1051" s="4"/>
      <c r="I1051" s="4">
        <f t="shared" si="49"/>
        <v>7300</v>
      </c>
      <c r="J1051" s="4">
        <v>7300</v>
      </c>
      <c r="K1051" s="4">
        <f t="shared" si="50"/>
        <v>0</v>
      </c>
      <c r="L1051" s="1">
        <v>7300</v>
      </c>
      <c r="M1051" s="93">
        <f t="shared" si="48"/>
        <v>0</v>
      </c>
      <c r="N1051" s="2"/>
      <c r="O1051" s="97"/>
      <c r="P1051" s="52"/>
    </row>
    <row r="1052" spans="1:16" ht="40.950000000000003" customHeight="1" x14ac:dyDescent="0.3">
      <c r="A1052" s="4">
        <v>13</v>
      </c>
      <c r="B1052" s="10" t="s">
        <v>112</v>
      </c>
      <c r="C1052" s="10"/>
      <c r="D1052" s="10"/>
      <c r="E1052" s="10"/>
      <c r="F1052" s="10" t="s">
        <v>108</v>
      </c>
      <c r="G1052" s="4" t="s">
        <v>49</v>
      </c>
      <c r="H1052" s="4"/>
      <c r="I1052" s="4">
        <f t="shared" si="49"/>
        <v>10725</v>
      </c>
      <c r="J1052" s="4">
        <v>10725</v>
      </c>
      <c r="K1052" s="4">
        <f t="shared" si="50"/>
        <v>0</v>
      </c>
      <c r="L1052" s="1">
        <v>10725</v>
      </c>
      <c r="M1052" s="93">
        <f t="shared" si="48"/>
        <v>0</v>
      </c>
      <c r="N1052" s="2"/>
      <c r="O1052" s="97"/>
      <c r="P1052" s="52"/>
    </row>
    <row r="1053" spans="1:16" ht="40.950000000000003" customHeight="1" x14ac:dyDescent="0.3">
      <c r="A1053" s="4">
        <v>13</v>
      </c>
      <c r="B1053" s="10" t="s">
        <v>112</v>
      </c>
      <c r="C1053" s="10"/>
      <c r="D1053" s="10"/>
      <c r="E1053" s="10"/>
      <c r="F1053" s="10" t="s">
        <v>108</v>
      </c>
      <c r="G1053" s="4" t="s">
        <v>50</v>
      </c>
      <c r="H1053" s="4"/>
      <c r="I1053" s="4">
        <f t="shared" si="49"/>
        <v>32400</v>
      </c>
      <c r="J1053" s="4">
        <v>32400</v>
      </c>
      <c r="K1053" s="4">
        <f t="shared" si="50"/>
        <v>0</v>
      </c>
      <c r="L1053" s="1">
        <v>32400</v>
      </c>
      <c r="M1053" s="93">
        <f t="shared" si="48"/>
        <v>0</v>
      </c>
      <c r="N1053" s="2"/>
      <c r="O1053" s="97"/>
      <c r="P1053" s="52"/>
    </row>
    <row r="1054" spans="1:16" ht="40.950000000000003" customHeight="1" x14ac:dyDescent="0.3">
      <c r="A1054" s="4">
        <v>13</v>
      </c>
      <c r="B1054" s="10" t="s">
        <v>112</v>
      </c>
      <c r="C1054" s="10"/>
      <c r="D1054" s="10"/>
      <c r="E1054" s="10"/>
      <c r="F1054" s="10" t="s">
        <v>108</v>
      </c>
      <c r="G1054" s="4" t="s">
        <v>51</v>
      </c>
      <c r="H1054" s="4"/>
      <c r="I1054" s="4">
        <f t="shared" si="49"/>
        <v>40300</v>
      </c>
      <c r="J1054" s="4">
        <v>40300</v>
      </c>
      <c r="K1054" s="4">
        <f t="shared" si="50"/>
        <v>0</v>
      </c>
      <c r="L1054" s="1">
        <v>40300</v>
      </c>
      <c r="M1054" s="93">
        <f t="shared" si="48"/>
        <v>0</v>
      </c>
      <c r="N1054" s="2"/>
      <c r="O1054" s="97"/>
      <c r="P1054" s="52"/>
    </row>
    <row r="1055" spans="1:16" ht="40.950000000000003" customHeight="1" x14ac:dyDescent="0.3">
      <c r="A1055" s="4">
        <v>13</v>
      </c>
      <c r="B1055" s="10" t="s">
        <v>112</v>
      </c>
      <c r="C1055" s="10"/>
      <c r="D1055" s="10"/>
      <c r="E1055" s="10"/>
      <c r="F1055" s="10" t="s">
        <v>108</v>
      </c>
      <c r="G1055" s="4" t="s">
        <v>39</v>
      </c>
      <c r="H1055" s="4"/>
      <c r="I1055" s="4">
        <f t="shared" si="49"/>
        <v>7300</v>
      </c>
      <c r="J1055" s="4">
        <v>7300</v>
      </c>
      <c r="K1055" s="4">
        <f t="shared" si="50"/>
        <v>0</v>
      </c>
      <c r="L1055" s="1">
        <v>7300</v>
      </c>
      <c r="M1055" s="93">
        <f t="shared" si="48"/>
        <v>0</v>
      </c>
      <c r="N1055" s="2"/>
      <c r="O1055" s="97"/>
      <c r="P1055" s="52"/>
    </row>
    <row r="1056" spans="1:16" ht="40.950000000000003" customHeight="1" x14ac:dyDescent="0.3">
      <c r="A1056" s="4">
        <v>13</v>
      </c>
      <c r="B1056" s="10" t="s">
        <v>112</v>
      </c>
      <c r="C1056" s="10"/>
      <c r="D1056" s="10"/>
      <c r="E1056" s="10"/>
      <c r="F1056" s="10" t="s">
        <v>108</v>
      </c>
      <c r="G1056" s="4" t="s">
        <v>114</v>
      </c>
      <c r="H1056" s="4"/>
      <c r="I1056" s="4">
        <f t="shared" si="49"/>
        <v>46925</v>
      </c>
      <c r="J1056" s="4">
        <v>46925</v>
      </c>
      <c r="K1056" s="4">
        <f t="shared" si="50"/>
        <v>0</v>
      </c>
      <c r="L1056" s="1">
        <v>46925</v>
      </c>
      <c r="M1056" s="93">
        <f t="shared" si="48"/>
        <v>0</v>
      </c>
      <c r="N1056" s="2"/>
      <c r="O1056" s="97"/>
      <c r="P1056" s="52"/>
    </row>
    <row r="1057" spans="1:16" ht="40.950000000000003" customHeight="1" x14ac:dyDescent="0.3">
      <c r="A1057" s="4">
        <v>13</v>
      </c>
      <c r="B1057" s="10" t="s">
        <v>112</v>
      </c>
      <c r="C1057" s="10"/>
      <c r="D1057" s="10"/>
      <c r="E1057" s="10"/>
      <c r="F1057" s="10" t="s">
        <v>108</v>
      </c>
      <c r="G1057" s="4" t="s">
        <v>85</v>
      </c>
      <c r="H1057" s="4"/>
      <c r="I1057" s="4">
        <f t="shared" si="49"/>
        <v>24200</v>
      </c>
      <c r="J1057" s="4">
        <v>24200</v>
      </c>
      <c r="K1057" s="4">
        <f t="shared" si="50"/>
        <v>0</v>
      </c>
      <c r="L1057" s="1">
        <v>24200</v>
      </c>
      <c r="M1057" s="93">
        <f t="shared" si="48"/>
        <v>0</v>
      </c>
      <c r="N1057" s="2"/>
      <c r="O1057" s="97"/>
      <c r="P1057" s="52"/>
    </row>
    <row r="1058" spans="1:16" ht="40.950000000000003" customHeight="1" x14ac:dyDescent="0.3">
      <c r="A1058" s="4">
        <v>13</v>
      </c>
      <c r="B1058" s="10" t="s">
        <v>112</v>
      </c>
      <c r="C1058" s="10"/>
      <c r="D1058" s="10"/>
      <c r="E1058" s="10"/>
      <c r="F1058" s="10" t="s">
        <v>108</v>
      </c>
      <c r="G1058" s="4" t="s">
        <v>181</v>
      </c>
      <c r="H1058" s="4"/>
      <c r="I1058" s="4">
        <f t="shared" si="49"/>
        <v>28850</v>
      </c>
      <c r="J1058" s="4">
        <v>28850</v>
      </c>
      <c r="K1058" s="4">
        <f t="shared" si="50"/>
        <v>0</v>
      </c>
      <c r="L1058" s="1">
        <v>28850</v>
      </c>
      <c r="M1058" s="93">
        <f t="shared" si="48"/>
        <v>0</v>
      </c>
      <c r="N1058" s="2"/>
      <c r="O1058" s="97"/>
      <c r="P1058" s="52"/>
    </row>
    <row r="1059" spans="1:16" ht="40.950000000000003" customHeight="1" x14ac:dyDescent="0.3">
      <c r="A1059" s="4">
        <v>13</v>
      </c>
      <c r="B1059" s="10" t="s">
        <v>112</v>
      </c>
      <c r="C1059" s="10"/>
      <c r="D1059" s="10"/>
      <c r="E1059" s="10"/>
      <c r="F1059" s="10" t="s">
        <v>108</v>
      </c>
      <c r="G1059" s="4" t="s">
        <v>128</v>
      </c>
      <c r="H1059" s="4"/>
      <c r="I1059" s="4">
        <f t="shared" si="49"/>
        <v>49750</v>
      </c>
      <c r="J1059" s="4">
        <v>49750</v>
      </c>
      <c r="K1059" s="4">
        <f t="shared" si="50"/>
        <v>0</v>
      </c>
      <c r="L1059" s="1">
        <v>49750</v>
      </c>
      <c r="M1059" s="93">
        <f t="shared" si="48"/>
        <v>0</v>
      </c>
      <c r="N1059" s="2"/>
      <c r="O1059" s="97"/>
      <c r="P1059" s="52"/>
    </row>
    <row r="1060" spans="1:16" ht="40.950000000000003" customHeight="1" x14ac:dyDescent="0.3">
      <c r="A1060" s="4">
        <v>13</v>
      </c>
      <c r="B1060" s="10" t="s">
        <v>112</v>
      </c>
      <c r="C1060" s="10"/>
      <c r="D1060" s="10"/>
      <c r="E1060" s="10"/>
      <c r="F1060" s="10" t="s">
        <v>108</v>
      </c>
      <c r="G1060" s="4" t="s">
        <v>64</v>
      </c>
      <c r="H1060" s="4"/>
      <c r="I1060" s="4">
        <f t="shared" si="49"/>
        <v>10950</v>
      </c>
      <c r="J1060" s="4">
        <v>10950</v>
      </c>
      <c r="K1060" s="4">
        <f t="shared" si="50"/>
        <v>0</v>
      </c>
      <c r="L1060" s="1">
        <v>10950</v>
      </c>
      <c r="M1060" s="93">
        <f t="shared" si="48"/>
        <v>0</v>
      </c>
      <c r="N1060" s="2"/>
      <c r="O1060" s="97"/>
      <c r="P1060" s="52"/>
    </row>
    <row r="1061" spans="1:16" ht="40.950000000000003" customHeight="1" x14ac:dyDescent="0.3">
      <c r="A1061" s="4">
        <v>13</v>
      </c>
      <c r="B1061" s="10" t="s">
        <v>112</v>
      </c>
      <c r="C1061" s="10"/>
      <c r="D1061" s="10"/>
      <c r="E1061" s="10"/>
      <c r="F1061" s="10" t="s">
        <v>108</v>
      </c>
      <c r="G1061" s="4" t="s">
        <v>143</v>
      </c>
      <c r="H1061" s="4"/>
      <c r="I1061" s="4">
        <f t="shared" si="49"/>
        <v>10950</v>
      </c>
      <c r="J1061" s="4">
        <v>10950</v>
      </c>
      <c r="K1061" s="4">
        <f t="shared" si="50"/>
        <v>0</v>
      </c>
      <c r="L1061" s="1">
        <v>10950</v>
      </c>
      <c r="M1061" s="93">
        <f t="shared" si="48"/>
        <v>0</v>
      </c>
      <c r="N1061" s="2"/>
      <c r="O1061" s="97"/>
      <c r="P1061" s="52"/>
    </row>
    <row r="1062" spans="1:16" ht="40.950000000000003" customHeight="1" x14ac:dyDescent="0.3">
      <c r="A1062" s="4">
        <v>13</v>
      </c>
      <c r="B1062" s="10" t="s">
        <v>112</v>
      </c>
      <c r="C1062" s="10"/>
      <c r="D1062" s="10"/>
      <c r="E1062" s="10"/>
      <c r="F1062" s="10" t="s">
        <v>108</v>
      </c>
      <c r="G1062" s="4" t="s">
        <v>22</v>
      </c>
      <c r="H1062" s="4"/>
      <c r="I1062" s="4">
        <f t="shared" si="49"/>
        <v>55700</v>
      </c>
      <c r="J1062" s="4">
        <v>55700</v>
      </c>
      <c r="K1062" s="4">
        <f t="shared" si="50"/>
        <v>0</v>
      </c>
      <c r="L1062" s="1">
        <v>55700</v>
      </c>
      <c r="M1062" s="93">
        <f t="shared" si="48"/>
        <v>0</v>
      </c>
      <c r="N1062" s="2">
        <v>0</v>
      </c>
      <c r="O1062" s="97">
        <v>0</v>
      </c>
      <c r="P1062" s="52"/>
    </row>
    <row r="1063" spans="1:16" ht="40.950000000000003" customHeight="1" x14ac:dyDescent="0.3">
      <c r="A1063" s="4">
        <v>14</v>
      </c>
      <c r="B1063" s="10" t="s">
        <v>1153</v>
      </c>
      <c r="C1063" s="10"/>
      <c r="D1063" s="10"/>
      <c r="E1063" s="10"/>
      <c r="F1063" s="10" t="s">
        <v>25</v>
      </c>
      <c r="G1063" s="4" t="s">
        <v>14</v>
      </c>
      <c r="H1063" s="4"/>
      <c r="I1063" s="4">
        <f t="shared" si="49"/>
        <v>34600</v>
      </c>
      <c r="J1063" s="4">
        <v>34600</v>
      </c>
      <c r="K1063" s="4">
        <f t="shared" si="50"/>
        <v>0</v>
      </c>
      <c r="L1063" s="1">
        <v>34600</v>
      </c>
      <c r="M1063" s="93">
        <f t="shared" si="48"/>
        <v>0</v>
      </c>
      <c r="N1063" s="2">
        <v>0</v>
      </c>
      <c r="O1063" s="97">
        <v>0</v>
      </c>
      <c r="P1063" s="52"/>
    </row>
    <row r="1064" spans="1:16" ht="40.950000000000003" customHeight="1" x14ac:dyDescent="0.3">
      <c r="A1064" s="4">
        <v>14</v>
      </c>
      <c r="B1064" s="10" t="s">
        <v>1153</v>
      </c>
      <c r="C1064" s="10"/>
      <c r="D1064" s="10"/>
      <c r="E1064" s="10"/>
      <c r="F1064" s="10" t="s">
        <v>25</v>
      </c>
      <c r="G1064" s="4" t="s">
        <v>14</v>
      </c>
      <c r="H1064" s="4"/>
      <c r="I1064" s="4">
        <f t="shared" si="49"/>
        <v>31850</v>
      </c>
      <c r="J1064" s="4">
        <v>31850</v>
      </c>
      <c r="K1064" s="4">
        <f t="shared" si="50"/>
        <v>0</v>
      </c>
      <c r="L1064" s="1">
        <v>31850</v>
      </c>
      <c r="M1064" s="93">
        <f t="shared" si="48"/>
        <v>0</v>
      </c>
      <c r="N1064" s="2">
        <v>0</v>
      </c>
      <c r="O1064" s="97">
        <v>0</v>
      </c>
      <c r="P1064" s="52"/>
    </row>
    <row r="1065" spans="1:16" ht="40.950000000000003" customHeight="1" x14ac:dyDescent="0.3">
      <c r="A1065" s="4">
        <v>14</v>
      </c>
      <c r="B1065" s="10" t="s">
        <v>1153</v>
      </c>
      <c r="C1065" s="10"/>
      <c r="D1065" s="10"/>
      <c r="E1065" s="10"/>
      <c r="F1065" s="10" t="s">
        <v>25</v>
      </c>
      <c r="G1065" s="4" t="s">
        <v>181</v>
      </c>
      <c r="H1065" s="4">
        <v>6</v>
      </c>
      <c r="I1065" s="4">
        <f t="shared" si="49"/>
        <v>325644</v>
      </c>
      <c r="J1065" s="4">
        <v>330856</v>
      </c>
      <c r="K1065" s="4">
        <f t="shared" si="50"/>
        <v>0</v>
      </c>
      <c r="L1065" s="1">
        <v>330856</v>
      </c>
      <c r="M1065" s="93">
        <f t="shared" si="48"/>
        <v>0</v>
      </c>
      <c r="N1065" s="2">
        <v>5212</v>
      </c>
      <c r="O1065" s="97">
        <v>5212</v>
      </c>
      <c r="P1065" s="52">
        <v>0.88</v>
      </c>
    </row>
    <row r="1066" spans="1:16" ht="40.950000000000003" customHeight="1" x14ac:dyDescent="0.3">
      <c r="A1066" s="4">
        <v>14</v>
      </c>
      <c r="B1066" s="10" t="s">
        <v>1153</v>
      </c>
      <c r="C1066" s="10"/>
      <c r="D1066" s="10"/>
      <c r="E1066" s="10"/>
      <c r="F1066" s="10" t="s">
        <v>25</v>
      </c>
      <c r="G1066" s="4" t="s">
        <v>1011</v>
      </c>
      <c r="H1066" s="4">
        <v>2</v>
      </c>
      <c r="I1066" s="4">
        <f t="shared" si="49"/>
        <v>49060</v>
      </c>
      <c r="J1066" s="4">
        <v>51935</v>
      </c>
      <c r="K1066" s="4">
        <f t="shared" si="50"/>
        <v>0</v>
      </c>
      <c r="L1066" s="1">
        <v>51935</v>
      </c>
      <c r="M1066" s="93">
        <f t="shared" si="48"/>
        <v>0</v>
      </c>
      <c r="N1066" s="2">
        <v>2875</v>
      </c>
      <c r="O1066" s="97">
        <v>2875</v>
      </c>
      <c r="P1066" s="52" t="s">
        <v>1154</v>
      </c>
    </row>
    <row r="1067" spans="1:16" ht="40.950000000000003" customHeight="1" x14ac:dyDescent="0.3">
      <c r="A1067" s="4">
        <v>14</v>
      </c>
      <c r="B1067" s="10" t="s">
        <v>1153</v>
      </c>
      <c r="C1067" s="10"/>
      <c r="D1067" s="10"/>
      <c r="E1067" s="10"/>
      <c r="F1067" s="10" t="s">
        <v>25</v>
      </c>
      <c r="G1067" s="4" t="s">
        <v>381</v>
      </c>
      <c r="H1067" s="4">
        <v>2</v>
      </c>
      <c r="I1067" s="4">
        <f t="shared" si="49"/>
        <v>5602</v>
      </c>
      <c r="J1067" s="4">
        <v>5602</v>
      </c>
      <c r="K1067" s="4">
        <f t="shared" si="50"/>
        <v>0</v>
      </c>
      <c r="L1067" s="1">
        <v>5602</v>
      </c>
      <c r="M1067" s="93">
        <f t="shared" si="48"/>
        <v>0</v>
      </c>
      <c r="N1067" s="2"/>
      <c r="O1067" s="97"/>
      <c r="P1067" s="52" t="s">
        <v>1154</v>
      </c>
    </row>
    <row r="1068" spans="1:16" ht="40.950000000000003" customHeight="1" x14ac:dyDescent="0.3">
      <c r="A1068" s="4">
        <v>14</v>
      </c>
      <c r="B1068" s="10" t="s">
        <v>1153</v>
      </c>
      <c r="C1068" s="10"/>
      <c r="D1068" s="10"/>
      <c r="E1068" s="10"/>
      <c r="F1068" s="10" t="s">
        <v>25</v>
      </c>
      <c r="G1068" s="4" t="s">
        <v>200</v>
      </c>
      <c r="H1068" s="4">
        <v>2</v>
      </c>
      <c r="I1068" s="4">
        <f t="shared" si="49"/>
        <v>43216</v>
      </c>
      <c r="J1068" s="4">
        <v>45256</v>
      </c>
      <c r="K1068" s="4">
        <f t="shared" si="50"/>
        <v>0</v>
      </c>
      <c r="L1068" s="1">
        <v>45256</v>
      </c>
      <c r="M1068" s="93">
        <f t="shared" si="48"/>
        <v>0</v>
      </c>
      <c r="N1068" s="2">
        <v>2040</v>
      </c>
      <c r="O1068" s="97">
        <v>2040</v>
      </c>
      <c r="P1068" s="52" t="s">
        <v>1154</v>
      </c>
    </row>
    <row r="1069" spans="1:16" ht="40.950000000000003" customHeight="1" x14ac:dyDescent="0.3">
      <c r="A1069" s="4">
        <v>14</v>
      </c>
      <c r="B1069" s="10" t="s">
        <v>1153</v>
      </c>
      <c r="C1069" s="10"/>
      <c r="D1069" s="10"/>
      <c r="E1069" s="10"/>
      <c r="F1069" s="10" t="s">
        <v>25</v>
      </c>
      <c r="G1069" s="4" t="s">
        <v>391</v>
      </c>
      <c r="H1069" s="4">
        <v>2</v>
      </c>
      <c r="I1069" s="4">
        <f t="shared" si="49"/>
        <v>20604</v>
      </c>
      <c r="J1069" s="4">
        <v>21924</v>
      </c>
      <c r="K1069" s="4">
        <f t="shared" si="50"/>
        <v>0</v>
      </c>
      <c r="L1069" s="1">
        <v>21924</v>
      </c>
      <c r="M1069" s="93">
        <f t="shared" ref="M1069:M1132" si="51">O1069-N1069</f>
        <v>0</v>
      </c>
      <c r="N1069" s="2">
        <v>1320</v>
      </c>
      <c r="O1069" s="97">
        <v>1320</v>
      </c>
      <c r="P1069" s="52" t="s">
        <v>1154</v>
      </c>
    </row>
    <row r="1070" spans="1:16" ht="40.950000000000003" customHeight="1" x14ac:dyDescent="0.3">
      <c r="A1070" s="4">
        <v>14</v>
      </c>
      <c r="B1070" s="10" t="s">
        <v>1153</v>
      </c>
      <c r="C1070" s="10"/>
      <c r="D1070" s="10"/>
      <c r="E1070" s="10"/>
      <c r="F1070" s="10" t="s">
        <v>25</v>
      </c>
      <c r="G1070" s="4" t="s">
        <v>368</v>
      </c>
      <c r="H1070" s="4">
        <v>2</v>
      </c>
      <c r="I1070" s="4">
        <f t="shared" si="49"/>
        <v>21614</v>
      </c>
      <c r="J1070" s="4">
        <v>22814</v>
      </c>
      <c r="K1070" s="4">
        <f t="shared" si="50"/>
        <v>0</v>
      </c>
      <c r="L1070" s="1">
        <v>22814</v>
      </c>
      <c r="M1070" s="93">
        <f t="shared" si="51"/>
        <v>0</v>
      </c>
      <c r="N1070" s="2">
        <v>1200</v>
      </c>
      <c r="O1070" s="97">
        <v>1200</v>
      </c>
      <c r="P1070" s="52" t="s">
        <v>1154</v>
      </c>
    </row>
    <row r="1071" spans="1:16" ht="40.950000000000003" customHeight="1" x14ac:dyDescent="0.3">
      <c r="A1071" s="4">
        <v>14</v>
      </c>
      <c r="B1071" s="10" t="s">
        <v>1153</v>
      </c>
      <c r="C1071" s="10"/>
      <c r="D1071" s="10"/>
      <c r="E1071" s="10"/>
      <c r="F1071" s="10" t="s">
        <v>25</v>
      </c>
      <c r="G1071" s="4" t="s">
        <v>7</v>
      </c>
      <c r="H1071" s="4">
        <v>18</v>
      </c>
      <c r="I1071" s="4">
        <f t="shared" si="49"/>
        <v>721850</v>
      </c>
      <c r="J1071" s="4">
        <v>728120</v>
      </c>
      <c r="K1071" s="4">
        <f t="shared" si="50"/>
        <v>0</v>
      </c>
      <c r="L1071" s="1">
        <v>728120</v>
      </c>
      <c r="M1071" s="93">
        <f t="shared" si="51"/>
        <v>0</v>
      </c>
      <c r="N1071" s="2">
        <v>6270</v>
      </c>
      <c r="O1071" s="97">
        <v>6270</v>
      </c>
      <c r="P1071" s="52" t="s">
        <v>1389</v>
      </c>
    </row>
    <row r="1072" spans="1:16" ht="40.950000000000003" customHeight="1" x14ac:dyDescent="0.3">
      <c r="A1072" s="4">
        <v>14</v>
      </c>
      <c r="B1072" s="10" t="s">
        <v>1153</v>
      </c>
      <c r="C1072" s="10"/>
      <c r="D1072" s="10"/>
      <c r="E1072" s="10"/>
      <c r="F1072" s="10" t="s">
        <v>25</v>
      </c>
      <c r="G1072" s="4" t="s">
        <v>9</v>
      </c>
      <c r="H1072" s="4">
        <v>16</v>
      </c>
      <c r="I1072" s="4">
        <f t="shared" si="49"/>
        <v>728502</v>
      </c>
      <c r="J1072" s="4">
        <v>732827</v>
      </c>
      <c r="K1072" s="4">
        <f t="shared" si="50"/>
        <v>0</v>
      </c>
      <c r="L1072" s="1">
        <v>732827</v>
      </c>
      <c r="M1072" s="93">
        <f t="shared" si="51"/>
        <v>0</v>
      </c>
      <c r="N1072" s="2">
        <v>4325</v>
      </c>
      <c r="O1072" s="97">
        <v>4325</v>
      </c>
      <c r="P1072" s="52" t="s">
        <v>1279</v>
      </c>
    </row>
    <row r="1073" spans="1:16" ht="40.950000000000003" customHeight="1" x14ac:dyDescent="0.3">
      <c r="A1073" s="4">
        <v>14</v>
      </c>
      <c r="B1073" s="10" t="s">
        <v>1153</v>
      </c>
      <c r="C1073" s="10"/>
      <c r="D1073" s="10"/>
      <c r="E1073" s="10"/>
      <c r="F1073" s="10" t="s">
        <v>25</v>
      </c>
      <c r="G1073" s="4" t="s">
        <v>50</v>
      </c>
      <c r="H1073" s="4">
        <v>20</v>
      </c>
      <c r="I1073" s="4">
        <f t="shared" si="49"/>
        <v>725708</v>
      </c>
      <c r="J1073" s="4">
        <v>727825</v>
      </c>
      <c r="K1073" s="4">
        <f t="shared" si="50"/>
        <v>0</v>
      </c>
      <c r="L1073" s="1">
        <v>727825</v>
      </c>
      <c r="M1073" s="93">
        <f t="shared" si="51"/>
        <v>0</v>
      </c>
      <c r="N1073" s="2">
        <v>2117</v>
      </c>
      <c r="O1073" s="97">
        <v>2117</v>
      </c>
      <c r="P1073" s="52" t="s">
        <v>1154</v>
      </c>
    </row>
    <row r="1074" spans="1:16" ht="40.950000000000003" customHeight="1" x14ac:dyDescent="0.3">
      <c r="A1074" s="4">
        <v>14</v>
      </c>
      <c r="B1074" s="10" t="s">
        <v>1153</v>
      </c>
      <c r="C1074" s="10"/>
      <c r="D1074" s="10"/>
      <c r="E1074" s="10"/>
      <c r="F1074" s="10" t="s">
        <v>25</v>
      </c>
      <c r="G1074" s="4" t="s">
        <v>39</v>
      </c>
      <c r="H1074" s="4">
        <v>19</v>
      </c>
      <c r="I1074" s="4">
        <f t="shared" si="49"/>
        <v>729462</v>
      </c>
      <c r="J1074" s="4">
        <v>733572</v>
      </c>
      <c r="K1074" s="4">
        <f t="shared" si="50"/>
        <v>0</v>
      </c>
      <c r="L1074" s="1">
        <v>733572</v>
      </c>
      <c r="M1074" s="93">
        <f t="shared" si="51"/>
        <v>0</v>
      </c>
      <c r="N1074" s="2">
        <v>4110</v>
      </c>
      <c r="O1074" s="97">
        <v>4110</v>
      </c>
      <c r="P1074" s="52" t="s">
        <v>1154</v>
      </c>
    </row>
    <row r="1075" spans="1:16" ht="40.950000000000003" customHeight="1" x14ac:dyDescent="0.3">
      <c r="A1075" s="4">
        <v>14</v>
      </c>
      <c r="B1075" s="10" t="s">
        <v>1153</v>
      </c>
      <c r="C1075" s="10"/>
      <c r="D1075" s="10"/>
      <c r="E1075" s="10"/>
      <c r="F1075" s="10" t="s">
        <v>25</v>
      </c>
      <c r="G1075" s="4" t="s">
        <v>114</v>
      </c>
      <c r="H1075" s="4">
        <v>16</v>
      </c>
      <c r="I1075" s="4">
        <f t="shared" ref="I1075:I1138" si="52">J1075-O1075</f>
        <v>728919</v>
      </c>
      <c r="J1075" s="4">
        <v>732749</v>
      </c>
      <c r="K1075" s="4">
        <f t="shared" si="50"/>
        <v>0</v>
      </c>
      <c r="L1075" s="1">
        <v>732749</v>
      </c>
      <c r="M1075" s="93">
        <f t="shared" si="51"/>
        <v>0</v>
      </c>
      <c r="N1075" s="2">
        <v>3830</v>
      </c>
      <c r="O1075" s="97">
        <v>3830</v>
      </c>
      <c r="P1075" s="52" t="s">
        <v>1154</v>
      </c>
    </row>
    <row r="1076" spans="1:16" ht="40.950000000000003" customHeight="1" x14ac:dyDescent="0.3">
      <c r="A1076" s="4">
        <v>14</v>
      </c>
      <c r="B1076" s="10" t="s">
        <v>1153</v>
      </c>
      <c r="C1076" s="10"/>
      <c r="D1076" s="10"/>
      <c r="E1076" s="10"/>
      <c r="F1076" s="10" t="s">
        <v>25</v>
      </c>
      <c r="G1076" s="4" t="s">
        <v>85</v>
      </c>
      <c r="H1076" s="4">
        <v>18</v>
      </c>
      <c r="I1076" s="4">
        <f t="shared" si="52"/>
        <v>729745</v>
      </c>
      <c r="J1076" s="4">
        <v>735835</v>
      </c>
      <c r="K1076" s="4">
        <f t="shared" si="50"/>
        <v>0</v>
      </c>
      <c r="L1076" s="1">
        <v>735835</v>
      </c>
      <c r="M1076" s="93">
        <f t="shared" si="51"/>
        <v>0</v>
      </c>
      <c r="N1076" s="2">
        <v>6090</v>
      </c>
      <c r="O1076" s="97">
        <v>6090</v>
      </c>
      <c r="P1076" s="52" t="s">
        <v>1154</v>
      </c>
    </row>
    <row r="1077" spans="1:16" ht="40.950000000000003" customHeight="1" x14ac:dyDescent="0.3">
      <c r="A1077" s="4">
        <v>14</v>
      </c>
      <c r="B1077" s="10" t="s">
        <v>1153</v>
      </c>
      <c r="C1077" s="10"/>
      <c r="D1077" s="10"/>
      <c r="E1077" s="10"/>
      <c r="F1077" s="10" t="s">
        <v>25</v>
      </c>
      <c r="G1077" s="4" t="s">
        <v>128</v>
      </c>
      <c r="H1077" s="4">
        <v>17</v>
      </c>
      <c r="I1077" s="4">
        <f t="shared" si="52"/>
        <v>723993</v>
      </c>
      <c r="J1077" s="4">
        <v>734313</v>
      </c>
      <c r="K1077" s="4">
        <f t="shared" si="50"/>
        <v>0</v>
      </c>
      <c r="L1077" s="1">
        <v>734313</v>
      </c>
      <c r="M1077" s="93">
        <f t="shared" si="51"/>
        <v>0</v>
      </c>
      <c r="N1077" s="2">
        <v>10320</v>
      </c>
      <c r="O1077" s="97">
        <v>10320</v>
      </c>
      <c r="P1077" s="52" t="s">
        <v>1521</v>
      </c>
    </row>
    <row r="1078" spans="1:16" ht="40.950000000000003" customHeight="1" x14ac:dyDescent="0.3">
      <c r="A1078" s="4">
        <v>14</v>
      </c>
      <c r="B1078" s="10" t="s">
        <v>1153</v>
      </c>
      <c r="C1078" s="10"/>
      <c r="D1078" s="10"/>
      <c r="E1078" s="10"/>
      <c r="F1078" s="10" t="s">
        <v>25</v>
      </c>
      <c r="G1078" s="4" t="s">
        <v>122</v>
      </c>
      <c r="H1078" s="4">
        <v>14</v>
      </c>
      <c r="I1078" s="4">
        <f t="shared" si="52"/>
        <v>726032</v>
      </c>
      <c r="J1078" s="4">
        <v>730887</v>
      </c>
      <c r="K1078" s="4">
        <f t="shared" si="50"/>
        <v>0</v>
      </c>
      <c r="L1078" s="1">
        <v>730887</v>
      </c>
      <c r="M1078" s="93">
        <f t="shared" si="51"/>
        <v>0</v>
      </c>
      <c r="N1078" s="2">
        <v>4855</v>
      </c>
      <c r="O1078" s="97">
        <v>4855</v>
      </c>
      <c r="P1078" s="52" t="s">
        <v>1520</v>
      </c>
    </row>
    <row r="1079" spans="1:16" ht="40.950000000000003" customHeight="1" x14ac:dyDescent="0.3">
      <c r="A1079" s="4">
        <v>14</v>
      </c>
      <c r="B1079" s="10" t="s">
        <v>1153</v>
      </c>
      <c r="C1079" s="10"/>
      <c r="D1079" s="10"/>
      <c r="E1079" s="10"/>
      <c r="F1079" s="10" t="s">
        <v>25</v>
      </c>
      <c r="G1079" s="4" t="s">
        <v>143</v>
      </c>
      <c r="H1079" s="4">
        <v>20</v>
      </c>
      <c r="I1079" s="4">
        <f t="shared" si="52"/>
        <v>716355</v>
      </c>
      <c r="J1079" s="4">
        <v>723350</v>
      </c>
      <c r="K1079" s="4">
        <f t="shared" si="50"/>
        <v>0</v>
      </c>
      <c r="L1079" s="1">
        <v>723350</v>
      </c>
      <c r="M1079" s="93">
        <f t="shared" si="51"/>
        <v>0</v>
      </c>
      <c r="N1079" s="2">
        <v>6995</v>
      </c>
      <c r="O1079" s="97">
        <v>6995</v>
      </c>
      <c r="P1079" s="52" t="s">
        <v>1520</v>
      </c>
    </row>
    <row r="1080" spans="1:16" ht="40.950000000000003" customHeight="1" x14ac:dyDescent="0.3">
      <c r="A1080" s="4">
        <v>14</v>
      </c>
      <c r="B1080" s="10" t="s">
        <v>1153</v>
      </c>
      <c r="C1080" s="10"/>
      <c r="D1080" s="10"/>
      <c r="E1080" s="10"/>
      <c r="F1080" s="10" t="s">
        <v>25</v>
      </c>
      <c r="G1080" s="4" t="s">
        <v>8</v>
      </c>
      <c r="H1080" s="4">
        <v>18</v>
      </c>
      <c r="I1080" s="4">
        <f t="shared" si="52"/>
        <v>690246</v>
      </c>
      <c r="J1080" s="4">
        <v>694926</v>
      </c>
      <c r="K1080" s="4">
        <f t="shared" si="50"/>
        <v>0</v>
      </c>
      <c r="L1080" s="1">
        <v>694926</v>
      </c>
      <c r="M1080" s="93">
        <f t="shared" si="51"/>
        <v>0</v>
      </c>
      <c r="N1080" s="2">
        <v>4680</v>
      </c>
      <c r="O1080" s="97">
        <v>4680</v>
      </c>
      <c r="P1080" s="52" t="s">
        <v>1154</v>
      </c>
    </row>
    <row r="1081" spans="1:16" ht="40.950000000000003" customHeight="1" x14ac:dyDescent="0.3">
      <c r="A1081" s="4">
        <v>14</v>
      </c>
      <c r="B1081" s="10" t="s">
        <v>1153</v>
      </c>
      <c r="C1081" s="10"/>
      <c r="D1081" s="10"/>
      <c r="E1081" s="10"/>
      <c r="F1081" s="10" t="s">
        <v>25</v>
      </c>
      <c r="G1081" s="4" t="s">
        <v>22</v>
      </c>
      <c r="H1081" s="4">
        <v>22</v>
      </c>
      <c r="I1081" s="4">
        <f t="shared" si="52"/>
        <v>730864</v>
      </c>
      <c r="J1081" s="4">
        <v>741506</v>
      </c>
      <c r="K1081" s="4">
        <f t="shared" si="50"/>
        <v>0</v>
      </c>
      <c r="L1081" s="1">
        <v>741506</v>
      </c>
      <c r="M1081" s="93">
        <f t="shared" si="51"/>
        <v>0</v>
      </c>
      <c r="N1081" s="2">
        <v>10642</v>
      </c>
      <c r="O1081" s="97">
        <v>10642</v>
      </c>
      <c r="P1081" s="52" t="s">
        <v>1279</v>
      </c>
    </row>
    <row r="1082" spans="1:16" ht="40.950000000000003" customHeight="1" x14ac:dyDescent="0.3">
      <c r="A1082" s="4">
        <v>14</v>
      </c>
      <c r="B1082" s="10" t="s">
        <v>1153</v>
      </c>
      <c r="C1082" s="10"/>
      <c r="D1082" s="10"/>
      <c r="E1082" s="10"/>
      <c r="F1082" s="10" t="s">
        <v>25</v>
      </c>
      <c r="G1082" s="4" t="s">
        <v>70</v>
      </c>
      <c r="H1082" s="4">
        <v>18</v>
      </c>
      <c r="I1082" s="4">
        <f t="shared" si="52"/>
        <v>701320</v>
      </c>
      <c r="J1082" s="4">
        <v>705000</v>
      </c>
      <c r="K1082" s="4">
        <f t="shared" si="50"/>
        <v>0</v>
      </c>
      <c r="L1082" s="1">
        <v>705000</v>
      </c>
      <c r="M1082" s="93">
        <f t="shared" si="51"/>
        <v>0</v>
      </c>
      <c r="N1082" s="2">
        <v>3680</v>
      </c>
      <c r="O1082" s="97">
        <v>3680</v>
      </c>
      <c r="P1082" s="52" t="s">
        <v>1154</v>
      </c>
    </row>
    <row r="1083" spans="1:16" ht="40.950000000000003" customHeight="1" x14ac:dyDescent="0.3">
      <c r="A1083" s="4">
        <v>14</v>
      </c>
      <c r="B1083" s="10" t="s">
        <v>1153</v>
      </c>
      <c r="C1083" s="10"/>
      <c r="D1083" s="10"/>
      <c r="E1083" s="10"/>
      <c r="F1083" s="10" t="s">
        <v>25</v>
      </c>
      <c r="G1083" s="4" t="s">
        <v>48</v>
      </c>
      <c r="H1083" s="4">
        <v>18</v>
      </c>
      <c r="I1083" s="4">
        <f t="shared" si="52"/>
        <v>682347</v>
      </c>
      <c r="J1083" s="4">
        <v>685717</v>
      </c>
      <c r="K1083" s="4">
        <f t="shared" si="50"/>
        <v>0</v>
      </c>
      <c r="L1083" s="1">
        <v>685717</v>
      </c>
      <c r="M1083" s="93">
        <f t="shared" si="51"/>
        <v>0</v>
      </c>
      <c r="N1083" s="2">
        <v>3370</v>
      </c>
      <c r="O1083" s="97">
        <v>3370</v>
      </c>
      <c r="P1083" s="52" t="s">
        <v>1154</v>
      </c>
    </row>
    <row r="1084" spans="1:16" ht="40.950000000000003" customHeight="1" x14ac:dyDescent="0.3">
      <c r="A1084" s="4">
        <v>14</v>
      </c>
      <c r="B1084" s="10" t="s">
        <v>1153</v>
      </c>
      <c r="C1084" s="10"/>
      <c r="D1084" s="10"/>
      <c r="E1084" s="10"/>
      <c r="F1084" s="10" t="s">
        <v>25</v>
      </c>
      <c r="G1084" s="4" t="s">
        <v>90</v>
      </c>
      <c r="H1084" s="4">
        <v>20</v>
      </c>
      <c r="I1084" s="4">
        <f t="shared" si="52"/>
        <v>645973</v>
      </c>
      <c r="J1084" s="4">
        <v>650723</v>
      </c>
      <c r="K1084" s="61">
        <f t="shared" si="50"/>
        <v>0</v>
      </c>
      <c r="L1084" s="60">
        <v>650723</v>
      </c>
      <c r="M1084" s="93">
        <f t="shared" si="51"/>
        <v>0</v>
      </c>
      <c r="N1084" s="2">
        <v>4750</v>
      </c>
      <c r="O1084" s="97">
        <v>4750</v>
      </c>
      <c r="P1084" s="52" t="s">
        <v>1522</v>
      </c>
    </row>
    <row r="1085" spans="1:16" ht="40.950000000000003" customHeight="1" x14ac:dyDescent="0.3">
      <c r="A1085" s="4">
        <v>14</v>
      </c>
      <c r="B1085" s="10" t="s">
        <v>1153</v>
      </c>
      <c r="C1085" s="10"/>
      <c r="D1085" s="10"/>
      <c r="E1085" s="10"/>
      <c r="F1085" s="10" t="s">
        <v>25</v>
      </c>
      <c r="G1085" s="4" t="s">
        <v>49</v>
      </c>
      <c r="H1085" s="4">
        <v>21</v>
      </c>
      <c r="I1085" s="4">
        <f t="shared" si="52"/>
        <v>678245.9</v>
      </c>
      <c r="J1085" s="4">
        <v>684643.4</v>
      </c>
      <c r="K1085" s="4">
        <f t="shared" si="50"/>
        <v>0</v>
      </c>
      <c r="L1085" s="1">
        <v>684643.4</v>
      </c>
      <c r="M1085" s="93">
        <f t="shared" si="51"/>
        <v>0</v>
      </c>
      <c r="N1085" s="2">
        <v>6397.5</v>
      </c>
      <c r="O1085" s="97">
        <v>6397.5</v>
      </c>
      <c r="P1085" s="52" t="s">
        <v>1523</v>
      </c>
    </row>
    <row r="1086" spans="1:16" ht="40.950000000000003" customHeight="1" x14ac:dyDescent="0.3">
      <c r="A1086" s="4">
        <v>14</v>
      </c>
      <c r="B1086" s="10" t="s">
        <v>1153</v>
      </c>
      <c r="C1086" s="10"/>
      <c r="D1086" s="10"/>
      <c r="E1086" s="10"/>
      <c r="F1086" s="10" t="s">
        <v>25</v>
      </c>
      <c r="G1086" s="4" t="s">
        <v>64</v>
      </c>
      <c r="H1086" s="4">
        <v>16</v>
      </c>
      <c r="I1086" s="4">
        <f t="shared" si="52"/>
        <v>740683</v>
      </c>
      <c r="J1086" s="4">
        <v>747773</v>
      </c>
      <c r="K1086" s="4">
        <f t="shared" si="50"/>
        <v>0</v>
      </c>
      <c r="L1086" s="1">
        <v>747773</v>
      </c>
      <c r="M1086" s="93">
        <f t="shared" si="51"/>
        <v>0</v>
      </c>
      <c r="N1086" s="2">
        <v>7090</v>
      </c>
      <c r="O1086" s="97">
        <v>7090</v>
      </c>
      <c r="P1086" s="52" t="s">
        <v>1154</v>
      </c>
    </row>
    <row r="1087" spans="1:16" ht="40.950000000000003" customHeight="1" x14ac:dyDescent="0.3">
      <c r="A1087" s="4">
        <v>14</v>
      </c>
      <c r="B1087" s="10" t="s">
        <v>1153</v>
      </c>
      <c r="C1087" s="10"/>
      <c r="D1087" s="10"/>
      <c r="E1087" s="10"/>
      <c r="F1087" s="10" t="s">
        <v>25</v>
      </c>
      <c r="G1087" s="4" t="s">
        <v>51</v>
      </c>
      <c r="H1087" s="4">
        <v>16</v>
      </c>
      <c r="I1087" s="4">
        <f t="shared" si="52"/>
        <v>723601</v>
      </c>
      <c r="J1087" s="4">
        <v>728481</v>
      </c>
      <c r="K1087" s="4">
        <f t="shared" si="50"/>
        <v>0</v>
      </c>
      <c r="L1087" s="1">
        <v>728481</v>
      </c>
      <c r="M1087" s="93">
        <f t="shared" si="51"/>
        <v>0</v>
      </c>
      <c r="N1087" s="2">
        <v>4880</v>
      </c>
      <c r="O1087" s="97">
        <v>4880</v>
      </c>
      <c r="P1087" s="52" t="s">
        <v>1247</v>
      </c>
    </row>
    <row r="1088" spans="1:16" ht="40.950000000000003" customHeight="1" x14ac:dyDescent="0.3">
      <c r="A1088" s="4">
        <v>14</v>
      </c>
      <c r="B1088" s="10" t="s">
        <v>1153</v>
      </c>
      <c r="C1088" s="10"/>
      <c r="D1088" s="10"/>
      <c r="E1088" s="10"/>
      <c r="F1088" s="10" t="s">
        <v>25</v>
      </c>
      <c r="G1088" s="4" t="s">
        <v>11</v>
      </c>
      <c r="H1088" s="4">
        <v>23</v>
      </c>
      <c r="I1088" s="4">
        <f t="shared" si="52"/>
        <v>727500</v>
      </c>
      <c r="J1088" s="4">
        <v>736645</v>
      </c>
      <c r="K1088" s="4">
        <f t="shared" si="50"/>
        <v>0</v>
      </c>
      <c r="L1088" s="1">
        <v>736645</v>
      </c>
      <c r="M1088" s="93">
        <f t="shared" si="51"/>
        <v>0</v>
      </c>
      <c r="N1088" s="2">
        <v>9145</v>
      </c>
      <c r="O1088" s="97">
        <v>9145</v>
      </c>
      <c r="P1088" s="52" t="s">
        <v>1279</v>
      </c>
    </row>
    <row r="1089" spans="1:16" ht="40.950000000000003" customHeight="1" x14ac:dyDescent="0.3">
      <c r="A1089" s="4">
        <v>15</v>
      </c>
      <c r="B1089" s="10" t="s">
        <v>111</v>
      </c>
      <c r="C1089" s="10"/>
      <c r="D1089" s="10"/>
      <c r="E1089" s="10"/>
      <c r="F1089" s="10" t="s">
        <v>47</v>
      </c>
      <c r="G1089" s="4" t="s">
        <v>14</v>
      </c>
      <c r="H1089" s="4"/>
      <c r="I1089" s="4">
        <f t="shared" si="52"/>
        <v>17454644.599999994</v>
      </c>
      <c r="J1089" s="4">
        <v>88939263.5</v>
      </c>
      <c r="K1089" s="4">
        <f t="shared" si="50"/>
        <v>0</v>
      </c>
      <c r="L1089" s="1">
        <v>88939263.5</v>
      </c>
      <c r="M1089" s="93">
        <f t="shared" si="51"/>
        <v>0</v>
      </c>
      <c r="N1089" s="13">
        <v>71484618.900000006</v>
      </c>
      <c r="O1089" s="99">
        <f>9240516.5+13263701+17422550+9089484+12945154.9+6646823+634859+1027271.5+1214259</f>
        <v>71484618.900000006</v>
      </c>
      <c r="P1089" s="52"/>
    </row>
    <row r="1090" spans="1:16" ht="40.950000000000003" customHeight="1" x14ac:dyDescent="0.3">
      <c r="A1090" s="4">
        <v>16</v>
      </c>
      <c r="B1090" s="10" t="s">
        <v>31</v>
      </c>
      <c r="C1090" s="10"/>
      <c r="D1090" s="10" t="s">
        <v>292</v>
      </c>
      <c r="E1090" s="10">
        <v>28770</v>
      </c>
      <c r="F1090" s="10" t="s">
        <v>47</v>
      </c>
      <c r="G1090" s="4" t="s">
        <v>14</v>
      </c>
      <c r="H1090" s="4"/>
      <c r="I1090" s="4">
        <f t="shared" si="52"/>
        <v>7452651.75</v>
      </c>
      <c r="J1090" s="4">
        <v>41115887.25</v>
      </c>
      <c r="K1090" s="4">
        <f t="shared" si="50"/>
        <v>0</v>
      </c>
      <c r="L1090" s="1">
        <v>41115887.25</v>
      </c>
      <c r="M1090" s="93">
        <f t="shared" si="51"/>
        <v>0</v>
      </c>
      <c r="N1090" s="13">
        <v>33663235.5</v>
      </c>
      <c r="O1090" s="99">
        <f>6790011.5+2749060.5+1834746.5+6995709.5+7921674.5+4508422+3609937-746326</f>
        <v>33663235.5</v>
      </c>
      <c r="P1090" s="52"/>
    </row>
    <row r="1091" spans="1:16" ht="40.950000000000003" customHeight="1" x14ac:dyDescent="0.3">
      <c r="A1091" s="4">
        <v>17</v>
      </c>
      <c r="B1091" s="10" t="s">
        <v>46</v>
      </c>
      <c r="C1091" s="10"/>
      <c r="D1091" s="10" t="s">
        <v>290</v>
      </c>
      <c r="E1091" s="10">
        <v>107908</v>
      </c>
      <c r="F1091" s="10" t="s">
        <v>47</v>
      </c>
      <c r="G1091" s="4" t="s">
        <v>14</v>
      </c>
      <c r="H1091" s="4"/>
      <c r="I1091" s="4">
        <f t="shared" si="52"/>
        <v>10100801.979999997</v>
      </c>
      <c r="J1091" s="4">
        <v>53587668.979999997</v>
      </c>
      <c r="K1091" s="4">
        <f t="shared" si="50"/>
        <v>0</v>
      </c>
      <c r="L1091" s="1">
        <v>53587668.979999997</v>
      </c>
      <c r="M1091" s="93">
        <f t="shared" si="51"/>
        <v>0</v>
      </c>
      <c r="N1091" s="13">
        <v>43486867</v>
      </c>
      <c r="O1091" s="99">
        <f>27572359.5+6316633.5+4932667+3725594+939613</f>
        <v>43486867</v>
      </c>
      <c r="P1091" s="52"/>
    </row>
    <row r="1092" spans="1:16" ht="40.950000000000003" customHeight="1" x14ac:dyDescent="0.3">
      <c r="A1092" s="4">
        <v>18</v>
      </c>
      <c r="B1092" s="10" t="s">
        <v>45</v>
      </c>
      <c r="C1092" s="10"/>
      <c r="D1092" s="10" t="s">
        <v>291</v>
      </c>
      <c r="E1092" s="10">
        <v>14327</v>
      </c>
      <c r="F1092" s="10" t="s">
        <v>47</v>
      </c>
      <c r="G1092" s="4" t="s">
        <v>14</v>
      </c>
      <c r="H1092" s="4"/>
      <c r="I1092" s="4">
        <f t="shared" si="52"/>
        <v>944485</v>
      </c>
      <c r="J1092" s="4">
        <v>10745376</v>
      </c>
      <c r="K1092" s="4">
        <f t="shared" si="50"/>
        <v>0</v>
      </c>
      <c r="L1092" s="1">
        <v>10745376</v>
      </c>
      <c r="M1092" s="93">
        <f t="shared" si="51"/>
        <v>0</v>
      </c>
      <c r="N1092" s="13">
        <v>9800891</v>
      </c>
      <c r="O1092" s="99">
        <f>5917863.5+3906393.5-7838-15528</f>
        <v>9800891</v>
      </c>
      <c r="P1092" s="52"/>
    </row>
    <row r="1093" spans="1:16" ht="40.950000000000003" customHeight="1" x14ac:dyDescent="0.3">
      <c r="A1093" s="4">
        <v>19</v>
      </c>
      <c r="B1093" s="10" t="s">
        <v>188</v>
      </c>
      <c r="C1093" s="10"/>
      <c r="D1093" s="10"/>
      <c r="E1093" s="10"/>
      <c r="F1093" s="10" t="s">
        <v>33</v>
      </c>
      <c r="G1093" s="4" t="s">
        <v>14</v>
      </c>
      <c r="H1093" s="4"/>
      <c r="I1093" s="4">
        <f t="shared" si="52"/>
        <v>187500</v>
      </c>
      <c r="J1093" s="4">
        <v>187500</v>
      </c>
      <c r="K1093" s="4">
        <f t="shared" si="50"/>
        <v>0</v>
      </c>
      <c r="L1093" s="1">
        <v>187500</v>
      </c>
      <c r="M1093" s="93">
        <f t="shared" si="51"/>
        <v>0</v>
      </c>
      <c r="N1093" s="13"/>
      <c r="O1093" s="99"/>
      <c r="P1093" s="52"/>
    </row>
    <row r="1094" spans="1:16" ht="40.950000000000003" customHeight="1" x14ac:dyDescent="0.3">
      <c r="A1094" s="4">
        <v>20</v>
      </c>
      <c r="B1094" s="10" t="s">
        <v>196</v>
      </c>
      <c r="C1094" s="10"/>
      <c r="D1094" s="10" t="s">
        <v>287</v>
      </c>
      <c r="E1094" s="10">
        <v>159237</v>
      </c>
      <c r="F1094" s="10" t="s">
        <v>33</v>
      </c>
      <c r="G1094" s="4" t="s">
        <v>14</v>
      </c>
      <c r="H1094" s="4"/>
      <c r="I1094" s="4">
        <f t="shared" si="52"/>
        <v>1923900</v>
      </c>
      <c r="J1094" s="4">
        <v>1923900</v>
      </c>
      <c r="K1094" s="4">
        <f t="shared" si="50"/>
        <v>0</v>
      </c>
      <c r="L1094" s="1">
        <v>1923900</v>
      </c>
      <c r="M1094" s="93">
        <f t="shared" si="51"/>
        <v>0</v>
      </c>
      <c r="N1094" s="13"/>
      <c r="O1094" s="99"/>
      <c r="P1094" s="52"/>
    </row>
    <row r="1095" spans="1:16" ht="40.950000000000003" customHeight="1" x14ac:dyDescent="0.3">
      <c r="A1095" s="4">
        <v>20</v>
      </c>
      <c r="B1095" s="10" t="s">
        <v>196</v>
      </c>
      <c r="C1095" s="10"/>
      <c r="D1095" s="10" t="s">
        <v>287</v>
      </c>
      <c r="E1095" s="10">
        <v>159237</v>
      </c>
      <c r="F1095" s="10" t="s">
        <v>365</v>
      </c>
      <c r="G1095" s="4" t="s">
        <v>14</v>
      </c>
      <c r="H1095" s="4"/>
      <c r="I1095" s="4">
        <f t="shared" si="52"/>
        <v>10545</v>
      </c>
      <c r="J1095" s="4">
        <v>10545</v>
      </c>
      <c r="K1095" s="4">
        <f t="shared" si="50"/>
        <v>0</v>
      </c>
      <c r="L1095" s="1">
        <v>10545</v>
      </c>
      <c r="M1095" s="93">
        <f t="shared" si="51"/>
        <v>0</v>
      </c>
      <c r="N1095" s="13"/>
      <c r="O1095" s="99"/>
      <c r="P1095" s="52"/>
    </row>
    <row r="1096" spans="1:16" ht="40.950000000000003" customHeight="1" x14ac:dyDescent="0.3">
      <c r="A1096" s="4">
        <v>21</v>
      </c>
      <c r="B1096" s="10" t="s">
        <v>375</v>
      </c>
      <c r="C1096" s="10"/>
      <c r="D1096" s="10"/>
      <c r="E1096" s="10"/>
      <c r="F1096" s="10" t="s">
        <v>376</v>
      </c>
      <c r="G1096" s="4" t="s">
        <v>199</v>
      </c>
      <c r="H1096" s="4" t="s">
        <v>650</v>
      </c>
      <c r="I1096" s="4">
        <f t="shared" si="52"/>
        <v>1100</v>
      </c>
      <c r="J1096" s="4">
        <v>11000</v>
      </c>
      <c r="K1096" s="4">
        <f t="shared" si="50"/>
        <v>0</v>
      </c>
      <c r="L1096" s="1">
        <v>11000</v>
      </c>
      <c r="M1096" s="93">
        <f t="shared" si="51"/>
        <v>0</v>
      </c>
      <c r="N1096" s="13">
        <v>9900</v>
      </c>
      <c r="O1096" s="99">
        <v>9900</v>
      </c>
      <c r="P1096" s="52"/>
    </row>
    <row r="1097" spans="1:16" ht="40.950000000000003" customHeight="1" x14ac:dyDescent="0.3">
      <c r="A1097" s="4">
        <v>21</v>
      </c>
      <c r="B1097" s="10" t="s">
        <v>375</v>
      </c>
      <c r="C1097" s="10"/>
      <c r="D1097" s="10"/>
      <c r="E1097" s="10"/>
      <c r="F1097" s="10" t="s">
        <v>376</v>
      </c>
      <c r="G1097" s="4" t="s">
        <v>368</v>
      </c>
      <c r="H1097" s="4" t="s">
        <v>650</v>
      </c>
      <c r="I1097" s="4">
        <f t="shared" si="52"/>
        <v>500</v>
      </c>
      <c r="J1097" s="4">
        <v>500</v>
      </c>
      <c r="K1097" s="4">
        <f t="shared" si="50"/>
        <v>0</v>
      </c>
      <c r="L1097" s="1">
        <v>500</v>
      </c>
      <c r="M1097" s="93">
        <f t="shared" si="51"/>
        <v>0</v>
      </c>
      <c r="N1097" s="13"/>
      <c r="O1097" s="99"/>
      <c r="P1097" s="52"/>
    </row>
    <row r="1098" spans="1:16" ht="40.950000000000003" customHeight="1" x14ac:dyDescent="0.3">
      <c r="A1098" s="4">
        <v>21</v>
      </c>
      <c r="B1098" s="10" t="s">
        <v>375</v>
      </c>
      <c r="C1098" s="10"/>
      <c r="D1098" s="10"/>
      <c r="E1098" s="10"/>
      <c r="F1098" s="10" t="s">
        <v>376</v>
      </c>
      <c r="G1098" s="4" t="s">
        <v>198</v>
      </c>
      <c r="H1098" s="4" t="s">
        <v>650</v>
      </c>
      <c r="I1098" s="4">
        <f t="shared" si="52"/>
        <v>600</v>
      </c>
      <c r="J1098" s="4">
        <v>600</v>
      </c>
      <c r="K1098" s="4">
        <f t="shared" ref="K1098:K1165" si="53">L1098-J1098</f>
        <v>0</v>
      </c>
      <c r="L1098" s="1">
        <v>600</v>
      </c>
      <c r="M1098" s="93">
        <f t="shared" si="51"/>
        <v>0</v>
      </c>
      <c r="N1098" s="13"/>
      <c r="O1098" s="99"/>
      <c r="P1098" s="52"/>
    </row>
    <row r="1099" spans="1:16" ht="40.950000000000003" customHeight="1" x14ac:dyDescent="0.3">
      <c r="A1099" s="4">
        <v>21</v>
      </c>
      <c r="B1099" s="10" t="s">
        <v>375</v>
      </c>
      <c r="C1099" s="10"/>
      <c r="D1099" s="10"/>
      <c r="E1099" s="10"/>
      <c r="F1099" s="10" t="s">
        <v>376</v>
      </c>
      <c r="G1099" s="4" t="s">
        <v>200</v>
      </c>
      <c r="H1099" s="4" t="s">
        <v>650</v>
      </c>
      <c r="I1099" s="4">
        <f t="shared" si="52"/>
        <v>1200</v>
      </c>
      <c r="J1099" s="4">
        <v>1200</v>
      </c>
      <c r="K1099" s="4">
        <f t="shared" si="53"/>
        <v>0</v>
      </c>
      <c r="L1099" s="1">
        <v>1200</v>
      </c>
      <c r="M1099" s="93">
        <f t="shared" si="51"/>
        <v>0</v>
      </c>
      <c r="N1099" s="13"/>
      <c r="O1099" s="99"/>
      <c r="P1099" s="52"/>
    </row>
    <row r="1100" spans="1:16" ht="40.950000000000003" customHeight="1" x14ac:dyDescent="0.3">
      <c r="A1100" s="4">
        <v>21</v>
      </c>
      <c r="B1100" s="10" t="s">
        <v>375</v>
      </c>
      <c r="C1100" s="10"/>
      <c r="D1100" s="10"/>
      <c r="E1100" s="10"/>
      <c r="F1100" s="10" t="s">
        <v>376</v>
      </c>
      <c r="G1100" s="4" t="s">
        <v>381</v>
      </c>
      <c r="H1100" s="4" t="s">
        <v>650</v>
      </c>
      <c r="I1100" s="4">
        <f t="shared" si="52"/>
        <v>200</v>
      </c>
      <c r="J1100" s="4">
        <v>200</v>
      </c>
      <c r="K1100" s="4">
        <f t="shared" si="53"/>
        <v>0</v>
      </c>
      <c r="L1100" s="1">
        <v>200</v>
      </c>
      <c r="M1100" s="93">
        <f t="shared" si="51"/>
        <v>0</v>
      </c>
      <c r="N1100" s="13"/>
      <c r="O1100" s="99"/>
      <c r="P1100" s="52"/>
    </row>
    <row r="1101" spans="1:16" ht="40.950000000000003" customHeight="1" x14ac:dyDescent="0.3">
      <c r="A1101" s="4">
        <v>21</v>
      </c>
      <c r="B1101" s="10" t="s">
        <v>375</v>
      </c>
      <c r="C1101" s="10"/>
      <c r="D1101" s="10"/>
      <c r="E1101" s="10"/>
      <c r="F1101" s="10" t="s">
        <v>376</v>
      </c>
      <c r="G1101" s="4" t="s">
        <v>391</v>
      </c>
      <c r="H1101" s="4" t="s">
        <v>650</v>
      </c>
      <c r="I1101" s="4">
        <f t="shared" si="52"/>
        <v>350</v>
      </c>
      <c r="J1101" s="4">
        <v>350</v>
      </c>
      <c r="K1101" s="4">
        <f>L1101-J1101</f>
        <v>0</v>
      </c>
      <c r="L1101" s="1">
        <v>350</v>
      </c>
      <c r="M1101" s="93">
        <f t="shared" si="51"/>
        <v>0</v>
      </c>
      <c r="N1101" s="13"/>
      <c r="O1101" s="99"/>
      <c r="P1101" s="52"/>
    </row>
    <row r="1102" spans="1:16" ht="40.950000000000003" customHeight="1" x14ac:dyDescent="0.3">
      <c r="A1102" s="4">
        <v>21</v>
      </c>
      <c r="B1102" s="10" t="s">
        <v>375</v>
      </c>
      <c r="C1102" s="10"/>
      <c r="D1102" s="10"/>
      <c r="E1102" s="10"/>
      <c r="F1102" s="10" t="s">
        <v>376</v>
      </c>
      <c r="G1102" s="4" t="s">
        <v>169</v>
      </c>
      <c r="H1102" s="4" t="s">
        <v>650</v>
      </c>
      <c r="I1102" s="4">
        <f t="shared" si="52"/>
        <v>3000</v>
      </c>
      <c r="J1102" s="4">
        <v>3000</v>
      </c>
      <c r="K1102" s="4">
        <f>L1102-J1102</f>
        <v>0</v>
      </c>
      <c r="L1102" s="1">
        <v>3000</v>
      </c>
      <c r="M1102" s="93">
        <f t="shared" si="51"/>
        <v>0</v>
      </c>
      <c r="N1102" s="13"/>
      <c r="O1102" s="99"/>
      <c r="P1102" s="52"/>
    </row>
    <row r="1103" spans="1:16" ht="40.950000000000003" customHeight="1" x14ac:dyDescent="0.3">
      <c r="A1103" s="4">
        <v>21</v>
      </c>
      <c r="B1103" s="10" t="s">
        <v>375</v>
      </c>
      <c r="C1103" s="10"/>
      <c r="D1103" s="10"/>
      <c r="E1103" s="10"/>
      <c r="F1103" s="10" t="s">
        <v>376</v>
      </c>
      <c r="G1103" s="4" t="s">
        <v>7</v>
      </c>
      <c r="H1103" s="4" t="s">
        <v>650</v>
      </c>
      <c r="I1103" s="4">
        <f t="shared" si="52"/>
        <v>3000</v>
      </c>
      <c r="J1103" s="4">
        <v>3000</v>
      </c>
      <c r="K1103" s="4">
        <f t="shared" si="53"/>
        <v>0</v>
      </c>
      <c r="L1103" s="1">
        <v>3000</v>
      </c>
      <c r="M1103" s="93">
        <f t="shared" si="51"/>
        <v>0</v>
      </c>
      <c r="N1103" s="13"/>
      <c r="O1103" s="99"/>
      <c r="P1103" s="52"/>
    </row>
    <row r="1104" spans="1:16" ht="40.950000000000003" customHeight="1" x14ac:dyDescent="0.3">
      <c r="A1104" s="4">
        <v>21</v>
      </c>
      <c r="B1104" s="10" t="s">
        <v>375</v>
      </c>
      <c r="C1104" s="10"/>
      <c r="D1104" s="10"/>
      <c r="E1104" s="10"/>
      <c r="F1104" s="10" t="s">
        <v>376</v>
      </c>
      <c r="G1104" s="4" t="s">
        <v>8</v>
      </c>
      <c r="H1104" s="4" t="s">
        <v>650</v>
      </c>
      <c r="I1104" s="4">
        <f t="shared" si="52"/>
        <v>3000</v>
      </c>
      <c r="J1104" s="4">
        <v>3000</v>
      </c>
      <c r="K1104" s="4">
        <f t="shared" si="53"/>
        <v>0</v>
      </c>
      <c r="L1104" s="1">
        <v>3000</v>
      </c>
      <c r="M1104" s="93">
        <f t="shared" si="51"/>
        <v>0</v>
      </c>
      <c r="N1104" s="13"/>
      <c r="O1104" s="99"/>
      <c r="P1104" s="52"/>
    </row>
    <row r="1105" spans="1:16" ht="40.950000000000003" customHeight="1" x14ac:dyDescent="0.3">
      <c r="A1105" s="4">
        <v>21</v>
      </c>
      <c r="B1105" s="10" t="s">
        <v>375</v>
      </c>
      <c r="C1105" s="10"/>
      <c r="D1105" s="10"/>
      <c r="E1105" s="10"/>
      <c r="F1105" s="10" t="s">
        <v>376</v>
      </c>
      <c r="G1105" s="4" t="s">
        <v>9</v>
      </c>
      <c r="H1105" s="4" t="s">
        <v>650</v>
      </c>
      <c r="I1105" s="4">
        <f t="shared" si="52"/>
        <v>3000</v>
      </c>
      <c r="J1105" s="4">
        <v>3000</v>
      </c>
      <c r="K1105" s="4">
        <f t="shared" si="53"/>
        <v>0</v>
      </c>
      <c r="L1105" s="1">
        <v>3000</v>
      </c>
      <c r="M1105" s="93">
        <f t="shared" si="51"/>
        <v>0</v>
      </c>
      <c r="N1105" s="13"/>
      <c r="O1105" s="99"/>
      <c r="P1105" s="52"/>
    </row>
    <row r="1106" spans="1:16" ht="40.950000000000003" customHeight="1" x14ac:dyDescent="0.3">
      <c r="A1106" s="4">
        <v>21</v>
      </c>
      <c r="B1106" s="10" t="s">
        <v>375</v>
      </c>
      <c r="C1106" s="10"/>
      <c r="D1106" s="10"/>
      <c r="E1106" s="10"/>
      <c r="F1106" s="10" t="s">
        <v>376</v>
      </c>
      <c r="G1106" s="4" t="s">
        <v>22</v>
      </c>
      <c r="H1106" s="4" t="s">
        <v>650</v>
      </c>
      <c r="I1106" s="4">
        <f t="shared" si="52"/>
        <v>3000</v>
      </c>
      <c r="J1106" s="4">
        <v>3000</v>
      </c>
      <c r="K1106" s="4">
        <f t="shared" si="53"/>
        <v>0</v>
      </c>
      <c r="L1106" s="1">
        <v>3000</v>
      </c>
      <c r="M1106" s="93">
        <f t="shared" si="51"/>
        <v>0</v>
      </c>
      <c r="N1106" s="13"/>
      <c r="O1106" s="99"/>
      <c r="P1106" s="52"/>
    </row>
    <row r="1107" spans="1:16" ht="40.950000000000003" customHeight="1" x14ac:dyDescent="0.3">
      <c r="A1107" s="4">
        <v>21</v>
      </c>
      <c r="B1107" s="10" t="s">
        <v>375</v>
      </c>
      <c r="C1107" s="10"/>
      <c r="D1107" s="10"/>
      <c r="E1107" s="10"/>
      <c r="F1107" s="10" t="s">
        <v>376</v>
      </c>
      <c r="G1107" s="4" t="s">
        <v>70</v>
      </c>
      <c r="H1107" s="4" t="s">
        <v>650</v>
      </c>
      <c r="I1107" s="4">
        <f t="shared" si="52"/>
        <v>3000</v>
      </c>
      <c r="J1107" s="4">
        <v>3000</v>
      </c>
      <c r="K1107" s="4">
        <f t="shared" si="53"/>
        <v>0</v>
      </c>
      <c r="L1107" s="1">
        <v>3000</v>
      </c>
      <c r="M1107" s="93">
        <f t="shared" si="51"/>
        <v>0</v>
      </c>
      <c r="N1107" s="13"/>
      <c r="O1107" s="99"/>
      <c r="P1107" s="52"/>
    </row>
    <row r="1108" spans="1:16" ht="40.950000000000003" customHeight="1" x14ac:dyDescent="0.3">
      <c r="A1108" s="4">
        <v>21</v>
      </c>
      <c r="B1108" s="10" t="s">
        <v>375</v>
      </c>
      <c r="C1108" s="10"/>
      <c r="D1108" s="10"/>
      <c r="E1108" s="10"/>
      <c r="F1108" s="10" t="s">
        <v>376</v>
      </c>
      <c r="G1108" s="4" t="s">
        <v>49</v>
      </c>
      <c r="H1108" s="4" t="s">
        <v>650</v>
      </c>
      <c r="I1108" s="4">
        <f t="shared" si="52"/>
        <v>3000</v>
      </c>
      <c r="J1108" s="4">
        <v>3000</v>
      </c>
      <c r="K1108" s="4">
        <f t="shared" si="53"/>
        <v>0</v>
      </c>
      <c r="L1108" s="1">
        <v>3000</v>
      </c>
      <c r="M1108" s="93">
        <f t="shared" si="51"/>
        <v>0</v>
      </c>
      <c r="N1108" s="13"/>
      <c r="O1108" s="99"/>
      <c r="P1108" s="52"/>
    </row>
    <row r="1109" spans="1:16" ht="40.950000000000003" customHeight="1" x14ac:dyDescent="0.3">
      <c r="A1109" s="4">
        <v>21</v>
      </c>
      <c r="B1109" s="10" t="s">
        <v>375</v>
      </c>
      <c r="C1109" s="10"/>
      <c r="D1109" s="10"/>
      <c r="E1109" s="10"/>
      <c r="F1109" s="10" t="s">
        <v>376</v>
      </c>
      <c r="G1109" s="4" t="s">
        <v>50</v>
      </c>
      <c r="H1109" s="4" t="s">
        <v>650</v>
      </c>
      <c r="I1109" s="4">
        <f t="shared" si="52"/>
        <v>3000</v>
      </c>
      <c r="J1109" s="4">
        <v>3000</v>
      </c>
      <c r="K1109" s="4">
        <f t="shared" si="53"/>
        <v>0</v>
      </c>
      <c r="L1109" s="1">
        <v>3000</v>
      </c>
      <c r="M1109" s="93">
        <f t="shared" si="51"/>
        <v>0</v>
      </c>
      <c r="N1109" s="13"/>
      <c r="O1109" s="99"/>
      <c r="P1109" s="52"/>
    </row>
    <row r="1110" spans="1:16" ht="40.950000000000003" customHeight="1" x14ac:dyDescent="0.3">
      <c r="A1110" s="4">
        <v>21</v>
      </c>
      <c r="B1110" s="10" t="s">
        <v>375</v>
      </c>
      <c r="C1110" s="10"/>
      <c r="D1110" s="10"/>
      <c r="E1110" s="10"/>
      <c r="F1110" s="10" t="s">
        <v>376</v>
      </c>
      <c r="G1110" s="4" t="s">
        <v>11</v>
      </c>
      <c r="H1110" s="4" t="s">
        <v>650</v>
      </c>
      <c r="I1110" s="4">
        <f t="shared" si="52"/>
        <v>3000</v>
      </c>
      <c r="J1110" s="4">
        <v>3000</v>
      </c>
      <c r="K1110" s="4">
        <f t="shared" si="53"/>
        <v>0</v>
      </c>
      <c r="L1110" s="1">
        <v>3000</v>
      </c>
      <c r="M1110" s="93">
        <f t="shared" si="51"/>
        <v>0</v>
      </c>
      <c r="N1110" s="13"/>
      <c r="O1110" s="99"/>
      <c r="P1110" s="52"/>
    </row>
    <row r="1111" spans="1:16" ht="40.950000000000003" customHeight="1" x14ac:dyDescent="0.3">
      <c r="A1111" s="4">
        <v>22</v>
      </c>
      <c r="B1111" s="10" t="s">
        <v>329</v>
      </c>
      <c r="C1111" s="10" t="s">
        <v>329</v>
      </c>
      <c r="D1111" s="10" t="s">
        <v>308</v>
      </c>
      <c r="E1111" s="10">
        <v>25830</v>
      </c>
      <c r="F1111" s="10" t="s">
        <v>307</v>
      </c>
      <c r="G1111" s="4" t="s">
        <v>184</v>
      </c>
      <c r="H1111" s="4"/>
      <c r="I1111" s="4">
        <f t="shared" si="52"/>
        <v>442000</v>
      </c>
      <c r="J1111" s="4">
        <v>442000</v>
      </c>
      <c r="K1111" s="4">
        <f t="shared" si="53"/>
        <v>0</v>
      </c>
      <c r="L1111" s="1">
        <v>442000</v>
      </c>
      <c r="M1111" s="93">
        <f t="shared" si="51"/>
        <v>0</v>
      </c>
      <c r="N1111" s="13"/>
      <c r="O1111" s="99"/>
      <c r="P1111" s="52"/>
    </row>
    <row r="1112" spans="1:16" ht="40.950000000000003" customHeight="1" x14ac:dyDescent="0.3">
      <c r="A1112" s="4">
        <v>23</v>
      </c>
      <c r="B1112" s="10" t="s">
        <v>364</v>
      </c>
      <c r="C1112" s="10"/>
      <c r="D1112" s="10"/>
      <c r="E1112" s="10"/>
      <c r="F1112" s="10" t="s">
        <v>71</v>
      </c>
      <c r="G1112" s="4" t="s">
        <v>14</v>
      </c>
      <c r="H1112" s="4"/>
      <c r="I1112" s="4">
        <f t="shared" si="52"/>
        <v>171448</v>
      </c>
      <c r="J1112" s="4">
        <v>171448</v>
      </c>
      <c r="K1112" s="4">
        <f t="shared" si="53"/>
        <v>0</v>
      </c>
      <c r="L1112" s="1">
        <v>171448</v>
      </c>
      <c r="M1112" s="93">
        <f t="shared" si="51"/>
        <v>0</v>
      </c>
      <c r="N1112" s="13"/>
      <c r="O1112" s="99"/>
      <c r="P1112" s="52"/>
    </row>
    <row r="1113" spans="1:16" ht="40.950000000000003" customHeight="1" x14ac:dyDescent="0.3">
      <c r="A1113" s="4">
        <v>24</v>
      </c>
      <c r="B1113" s="10" t="s">
        <v>302</v>
      </c>
      <c r="C1113" s="10" t="s">
        <v>327</v>
      </c>
      <c r="D1113" s="10" t="s">
        <v>305</v>
      </c>
      <c r="E1113" s="10">
        <v>145527</v>
      </c>
      <c r="F1113" s="10" t="s">
        <v>71</v>
      </c>
      <c r="G1113" s="4" t="s">
        <v>14</v>
      </c>
      <c r="H1113" s="4">
        <v>6</v>
      </c>
      <c r="I1113" s="4">
        <f t="shared" si="52"/>
        <v>1059865</v>
      </c>
      <c r="J1113" s="4">
        <v>1059865</v>
      </c>
      <c r="K1113" s="4">
        <f t="shared" si="53"/>
        <v>0</v>
      </c>
      <c r="L1113" s="1">
        <v>1059865</v>
      </c>
      <c r="M1113" s="93">
        <f t="shared" si="51"/>
        <v>0</v>
      </c>
      <c r="N1113" s="13"/>
      <c r="O1113" s="99"/>
      <c r="P1113" s="52"/>
    </row>
    <row r="1114" spans="1:16" ht="40.950000000000003" customHeight="1" x14ac:dyDescent="0.3">
      <c r="A1114" s="4">
        <v>25</v>
      </c>
      <c r="B1114" s="10" t="s">
        <v>32</v>
      </c>
      <c r="C1114" s="10"/>
      <c r="D1114" s="10"/>
      <c r="E1114" s="10"/>
      <c r="F1114" s="10" t="s">
        <v>71</v>
      </c>
      <c r="G1114" s="4" t="s">
        <v>14</v>
      </c>
      <c r="H1114" s="4"/>
      <c r="I1114" s="4">
        <f t="shared" si="52"/>
        <v>225438</v>
      </c>
      <c r="J1114" s="4">
        <v>225438</v>
      </c>
      <c r="K1114" s="4">
        <f t="shared" si="53"/>
        <v>0</v>
      </c>
      <c r="L1114" s="1">
        <v>225438</v>
      </c>
      <c r="M1114" s="93">
        <f t="shared" si="51"/>
        <v>0</v>
      </c>
      <c r="N1114" s="13"/>
      <c r="O1114" s="99"/>
      <c r="P1114" s="52"/>
    </row>
    <row r="1115" spans="1:16" ht="40.950000000000003" customHeight="1" x14ac:dyDescent="0.3">
      <c r="A1115" s="4">
        <v>25</v>
      </c>
      <c r="B1115" s="10" t="s">
        <v>32</v>
      </c>
      <c r="C1115" s="10"/>
      <c r="D1115" s="10"/>
      <c r="E1115" s="10"/>
      <c r="F1115" s="10" t="s">
        <v>33</v>
      </c>
      <c r="G1115" s="4" t="s">
        <v>14</v>
      </c>
      <c r="H1115" s="4"/>
      <c r="I1115" s="4">
        <f t="shared" si="52"/>
        <v>6338042</v>
      </c>
      <c r="J1115" s="4">
        <v>6338042</v>
      </c>
      <c r="K1115" s="4">
        <f t="shared" si="53"/>
        <v>0</v>
      </c>
      <c r="L1115" s="1">
        <v>6338042</v>
      </c>
      <c r="M1115" s="93">
        <f t="shared" si="51"/>
        <v>0</v>
      </c>
      <c r="N1115" s="2">
        <v>0</v>
      </c>
      <c r="O1115" s="97">
        <v>0</v>
      </c>
      <c r="P1115" s="52"/>
    </row>
    <row r="1116" spans="1:16" ht="40.950000000000003" customHeight="1" x14ac:dyDescent="0.3">
      <c r="A1116" s="4">
        <v>26</v>
      </c>
      <c r="B1116" s="10" t="s">
        <v>1088</v>
      </c>
      <c r="C1116" s="10" t="s">
        <v>313</v>
      </c>
      <c r="D1116" s="10" t="s">
        <v>314</v>
      </c>
      <c r="E1116" s="10">
        <v>147</v>
      </c>
      <c r="F1116" s="10" t="s">
        <v>26</v>
      </c>
      <c r="G1116" s="4" t="s">
        <v>14</v>
      </c>
      <c r="H1116" s="4"/>
      <c r="I1116" s="4">
        <f t="shared" si="52"/>
        <v>50130530</v>
      </c>
      <c r="J1116" s="4">
        <v>52430530</v>
      </c>
      <c r="K1116" s="4">
        <f t="shared" si="53"/>
        <v>0</v>
      </c>
      <c r="L1116" s="1">
        <v>52430530</v>
      </c>
      <c r="M1116" s="93">
        <f t="shared" si="51"/>
        <v>0</v>
      </c>
      <c r="N1116" s="2">
        <v>2300000</v>
      </c>
      <c r="O1116" s="97">
        <v>2300000</v>
      </c>
      <c r="P1116" s="52"/>
    </row>
    <row r="1117" spans="1:16" ht="40.950000000000003" customHeight="1" x14ac:dyDescent="0.3">
      <c r="A1117" s="4">
        <v>26</v>
      </c>
      <c r="B1117" s="10" t="s">
        <v>1088</v>
      </c>
      <c r="C1117" s="10" t="s">
        <v>313</v>
      </c>
      <c r="D1117" s="10" t="s">
        <v>314</v>
      </c>
      <c r="E1117" s="10">
        <v>147</v>
      </c>
      <c r="F1117" s="10" t="s">
        <v>26</v>
      </c>
      <c r="G1117" s="10" t="s">
        <v>405</v>
      </c>
      <c r="H1117" s="10"/>
      <c r="I1117" s="4">
        <f t="shared" si="52"/>
        <v>441071</v>
      </c>
      <c r="J1117" s="4">
        <v>441071</v>
      </c>
      <c r="K1117" s="4">
        <f t="shared" si="53"/>
        <v>0</v>
      </c>
      <c r="L1117" s="1">
        <v>441071</v>
      </c>
      <c r="M1117" s="93">
        <f t="shared" si="51"/>
        <v>0</v>
      </c>
      <c r="N1117" s="2"/>
      <c r="O1117" s="97"/>
      <c r="P1117" s="52"/>
    </row>
    <row r="1118" spans="1:16" ht="40.950000000000003" customHeight="1" x14ac:dyDescent="0.3">
      <c r="A1118" s="4">
        <v>26</v>
      </c>
      <c r="B1118" s="10" t="s">
        <v>1088</v>
      </c>
      <c r="C1118" s="10" t="s">
        <v>313</v>
      </c>
      <c r="D1118" s="10" t="s">
        <v>314</v>
      </c>
      <c r="E1118" s="10">
        <v>147</v>
      </c>
      <c r="F1118" s="10" t="s">
        <v>455</v>
      </c>
      <c r="G1118" s="4" t="s">
        <v>411</v>
      </c>
      <c r="H1118" s="4"/>
      <c r="I1118" s="4">
        <f t="shared" si="52"/>
        <v>18360</v>
      </c>
      <c r="J1118" s="4">
        <v>18360</v>
      </c>
      <c r="K1118" s="4">
        <f t="shared" si="53"/>
        <v>0</v>
      </c>
      <c r="L1118" s="1">
        <v>18360</v>
      </c>
      <c r="M1118" s="93">
        <f t="shared" si="51"/>
        <v>0</v>
      </c>
      <c r="N1118" s="2"/>
      <c r="O1118" s="97"/>
      <c r="P1118" s="52"/>
    </row>
    <row r="1119" spans="1:16" ht="40.950000000000003" customHeight="1" x14ac:dyDescent="0.3">
      <c r="A1119" s="4">
        <v>26</v>
      </c>
      <c r="B1119" s="10" t="s">
        <v>1088</v>
      </c>
      <c r="C1119" s="10" t="s">
        <v>313</v>
      </c>
      <c r="D1119" s="10" t="s">
        <v>314</v>
      </c>
      <c r="E1119" s="10">
        <v>147</v>
      </c>
      <c r="F1119" s="10" t="s">
        <v>20</v>
      </c>
      <c r="G1119" s="4" t="s">
        <v>14</v>
      </c>
      <c r="H1119" s="4"/>
      <c r="I1119" s="4">
        <f t="shared" si="52"/>
        <v>410272.75</v>
      </c>
      <c r="J1119" s="4">
        <v>410272.75</v>
      </c>
      <c r="K1119" s="4">
        <f t="shared" si="53"/>
        <v>0</v>
      </c>
      <c r="L1119" s="1">
        <v>410272.75</v>
      </c>
      <c r="M1119" s="93">
        <f t="shared" si="51"/>
        <v>0</v>
      </c>
      <c r="N1119" s="2"/>
      <c r="O1119" s="97"/>
      <c r="P1119" s="52"/>
    </row>
    <row r="1120" spans="1:16" ht="40.950000000000003" customHeight="1" x14ac:dyDescent="0.3">
      <c r="A1120" s="4">
        <v>26</v>
      </c>
      <c r="B1120" s="10" t="s">
        <v>1088</v>
      </c>
      <c r="C1120" s="10"/>
      <c r="D1120" s="10"/>
      <c r="E1120" s="10"/>
      <c r="F1120" s="10" t="s">
        <v>1096</v>
      </c>
      <c r="G1120" s="4" t="s">
        <v>14</v>
      </c>
      <c r="H1120" s="4">
        <v>3</v>
      </c>
      <c r="I1120" s="4">
        <f t="shared" si="52"/>
        <v>18658</v>
      </c>
      <c r="J1120" s="4">
        <v>18658</v>
      </c>
      <c r="K1120" s="4">
        <f t="shared" si="53"/>
        <v>0</v>
      </c>
      <c r="L1120" s="1">
        <v>18658</v>
      </c>
      <c r="M1120" s="93">
        <f t="shared" si="51"/>
        <v>0</v>
      </c>
      <c r="N1120" s="2"/>
      <c r="O1120" s="97"/>
      <c r="P1120" s="52"/>
    </row>
    <row r="1121" spans="1:16" ht="40.950000000000003" customHeight="1" x14ac:dyDescent="0.3">
      <c r="A1121" s="4">
        <v>26</v>
      </c>
      <c r="B1121" s="10" t="s">
        <v>1088</v>
      </c>
      <c r="C1121" s="10" t="s">
        <v>313</v>
      </c>
      <c r="D1121" s="10" t="s">
        <v>314</v>
      </c>
      <c r="E1121" s="10">
        <v>147</v>
      </c>
      <c r="F1121" s="10" t="s">
        <v>182</v>
      </c>
      <c r="G1121" s="4" t="s">
        <v>181</v>
      </c>
      <c r="H1121" s="4"/>
      <c r="I1121" s="4">
        <f t="shared" si="52"/>
        <v>360178</v>
      </c>
      <c r="J1121" s="4">
        <v>360178</v>
      </c>
      <c r="K1121" s="4">
        <f t="shared" si="53"/>
        <v>0</v>
      </c>
      <c r="L1121" s="1">
        <v>360178</v>
      </c>
      <c r="M1121" s="93">
        <f t="shared" si="51"/>
        <v>0</v>
      </c>
      <c r="N1121" s="2"/>
      <c r="O1121" s="97"/>
      <c r="P1121" s="52"/>
    </row>
    <row r="1122" spans="1:16" ht="40.950000000000003" customHeight="1" x14ac:dyDescent="0.3">
      <c r="A1122" s="4">
        <v>26</v>
      </c>
      <c r="B1122" s="10" t="s">
        <v>1088</v>
      </c>
      <c r="C1122" s="10" t="s">
        <v>313</v>
      </c>
      <c r="D1122" s="10" t="s">
        <v>314</v>
      </c>
      <c r="E1122" s="10">
        <v>147</v>
      </c>
      <c r="F1122" s="10" t="s">
        <v>182</v>
      </c>
      <c r="G1122" s="4" t="s">
        <v>198</v>
      </c>
      <c r="H1122" s="4"/>
      <c r="I1122" s="4">
        <f t="shared" si="52"/>
        <v>80990</v>
      </c>
      <c r="J1122" s="4">
        <v>80990</v>
      </c>
      <c r="K1122" s="4">
        <f t="shared" si="53"/>
        <v>0</v>
      </c>
      <c r="L1122" s="1">
        <v>80990</v>
      </c>
      <c r="M1122" s="93">
        <f t="shared" si="51"/>
        <v>0</v>
      </c>
      <c r="N1122" s="2"/>
      <c r="O1122" s="97"/>
      <c r="P1122" s="52"/>
    </row>
    <row r="1123" spans="1:16" ht="40.950000000000003" customHeight="1" x14ac:dyDescent="0.3">
      <c r="A1123" s="4">
        <v>26</v>
      </c>
      <c r="B1123" s="10" t="s">
        <v>1088</v>
      </c>
      <c r="C1123" s="10" t="s">
        <v>313</v>
      </c>
      <c r="D1123" s="10" t="s">
        <v>314</v>
      </c>
      <c r="E1123" s="10">
        <v>147</v>
      </c>
      <c r="F1123" s="10" t="s">
        <v>182</v>
      </c>
      <c r="G1123" s="4" t="s">
        <v>238</v>
      </c>
      <c r="H1123" s="4"/>
      <c r="I1123" s="4">
        <f t="shared" si="52"/>
        <v>231231</v>
      </c>
      <c r="J1123" s="4">
        <v>231231</v>
      </c>
      <c r="K1123" s="4">
        <f t="shared" si="53"/>
        <v>0</v>
      </c>
      <c r="L1123" s="1">
        <v>231231</v>
      </c>
      <c r="M1123" s="93">
        <f t="shared" si="51"/>
        <v>0</v>
      </c>
      <c r="N1123" s="2"/>
      <c r="O1123" s="97"/>
      <c r="P1123" s="52"/>
    </row>
    <row r="1124" spans="1:16" ht="40.950000000000003" customHeight="1" x14ac:dyDescent="0.3">
      <c r="A1124" s="4">
        <v>26</v>
      </c>
      <c r="B1124" s="10" t="s">
        <v>1088</v>
      </c>
      <c r="C1124" s="10" t="s">
        <v>313</v>
      </c>
      <c r="D1124" s="10" t="s">
        <v>314</v>
      </c>
      <c r="E1124" s="10">
        <v>147</v>
      </c>
      <c r="F1124" s="10" t="s">
        <v>182</v>
      </c>
      <c r="G1124" s="4" t="s">
        <v>199</v>
      </c>
      <c r="H1124" s="4"/>
      <c r="I1124" s="4">
        <f t="shared" si="52"/>
        <v>93002</v>
      </c>
      <c r="J1124" s="4">
        <v>93002</v>
      </c>
      <c r="K1124" s="4">
        <f t="shared" si="53"/>
        <v>0</v>
      </c>
      <c r="L1124" s="1">
        <v>93002</v>
      </c>
      <c r="M1124" s="93">
        <f t="shared" si="51"/>
        <v>0</v>
      </c>
      <c r="N1124" s="2"/>
      <c r="O1124" s="97"/>
      <c r="P1124" s="52"/>
    </row>
    <row r="1125" spans="1:16" ht="40.950000000000003" customHeight="1" x14ac:dyDescent="0.3">
      <c r="A1125" s="4">
        <v>26</v>
      </c>
      <c r="B1125" s="10" t="s">
        <v>1088</v>
      </c>
      <c r="C1125" s="10" t="s">
        <v>313</v>
      </c>
      <c r="D1125" s="10" t="s">
        <v>314</v>
      </c>
      <c r="E1125" s="10">
        <v>147</v>
      </c>
      <c r="F1125" s="10" t="s">
        <v>182</v>
      </c>
      <c r="G1125" s="4" t="s">
        <v>200</v>
      </c>
      <c r="H1125" s="4"/>
      <c r="I1125" s="4">
        <f t="shared" si="52"/>
        <v>264082</v>
      </c>
      <c r="J1125" s="4">
        <v>264082</v>
      </c>
      <c r="K1125" s="4">
        <f t="shared" si="53"/>
        <v>0</v>
      </c>
      <c r="L1125" s="1">
        <v>264082</v>
      </c>
      <c r="M1125" s="93">
        <f t="shared" si="51"/>
        <v>0</v>
      </c>
      <c r="N1125" s="2"/>
      <c r="O1125" s="97"/>
      <c r="P1125" s="52"/>
    </row>
    <row r="1126" spans="1:16" ht="40.950000000000003" customHeight="1" x14ac:dyDescent="0.3">
      <c r="A1126" s="4">
        <v>26</v>
      </c>
      <c r="B1126" s="10" t="s">
        <v>1088</v>
      </c>
      <c r="C1126" s="10" t="s">
        <v>313</v>
      </c>
      <c r="D1126" s="10" t="s">
        <v>314</v>
      </c>
      <c r="E1126" s="10">
        <v>147</v>
      </c>
      <c r="F1126" s="10" t="s">
        <v>182</v>
      </c>
      <c r="G1126" s="4" t="s">
        <v>411</v>
      </c>
      <c r="H1126" s="4"/>
      <c r="I1126" s="4">
        <f t="shared" si="52"/>
        <v>208031.25</v>
      </c>
      <c r="J1126" s="4">
        <v>208031.25</v>
      </c>
      <c r="K1126" s="4">
        <f t="shared" si="53"/>
        <v>0</v>
      </c>
      <c r="L1126" s="1">
        <v>208031.25</v>
      </c>
      <c r="M1126" s="93">
        <f t="shared" si="51"/>
        <v>0</v>
      </c>
      <c r="N1126" s="2"/>
      <c r="O1126" s="97"/>
      <c r="P1126" s="52"/>
    </row>
    <row r="1127" spans="1:16" ht="40.950000000000003" customHeight="1" x14ac:dyDescent="0.3">
      <c r="A1127" s="4">
        <v>26</v>
      </c>
      <c r="B1127" s="10" t="s">
        <v>1088</v>
      </c>
      <c r="C1127" s="10" t="s">
        <v>313</v>
      </c>
      <c r="D1127" s="10" t="s">
        <v>314</v>
      </c>
      <c r="E1127" s="10">
        <v>147</v>
      </c>
      <c r="F1127" s="10" t="s">
        <v>182</v>
      </c>
      <c r="G1127" s="4" t="s">
        <v>366</v>
      </c>
      <c r="H1127" s="4"/>
      <c r="I1127" s="4">
        <f t="shared" si="52"/>
        <v>54145</v>
      </c>
      <c r="J1127" s="4">
        <v>54145</v>
      </c>
      <c r="K1127" s="4">
        <f t="shared" si="53"/>
        <v>0</v>
      </c>
      <c r="L1127" s="1">
        <v>54145</v>
      </c>
      <c r="M1127" s="93">
        <f t="shared" si="51"/>
        <v>0</v>
      </c>
      <c r="N1127" s="2"/>
      <c r="O1127" s="97"/>
      <c r="P1127" s="52"/>
    </row>
    <row r="1128" spans="1:16" ht="40.950000000000003" customHeight="1" x14ac:dyDescent="0.3">
      <c r="A1128" s="4">
        <v>26</v>
      </c>
      <c r="B1128" s="10" t="s">
        <v>1088</v>
      </c>
      <c r="C1128" s="10" t="s">
        <v>313</v>
      </c>
      <c r="D1128" s="10" t="s">
        <v>314</v>
      </c>
      <c r="E1128" s="10">
        <v>147</v>
      </c>
      <c r="F1128" s="10" t="s">
        <v>182</v>
      </c>
      <c r="G1128" s="4" t="s">
        <v>401</v>
      </c>
      <c r="H1128" s="4"/>
      <c r="I1128" s="4">
        <f t="shared" si="52"/>
        <v>4951</v>
      </c>
      <c r="J1128" s="4">
        <v>4951</v>
      </c>
      <c r="K1128" s="4">
        <f t="shared" si="53"/>
        <v>0</v>
      </c>
      <c r="L1128" s="1">
        <v>4951</v>
      </c>
      <c r="M1128" s="93">
        <f t="shared" si="51"/>
        <v>0</v>
      </c>
      <c r="N1128" s="2"/>
      <c r="O1128" s="97"/>
      <c r="P1128" s="52"/>
    </row>
    <row r="1129" spans="1:16" ht="40.950000000000003" customHeight="1" x14ac:dyDescent="0.3">
      <c r="A1129" s="4">
        <v>26</v>
      </c>
      <c r="B1129" s="10" t="s">
        <v>1088</v>
      </c>
      <c r="C1129" s="10" t="s">
        <v>313</v>
      </c>
      <c r="D1129" s="10" t="s">
        <v>314</v>
      </c>
      <c r="E1129" s="10">
        <v>147</v>
      </c>
      <c r="F1129" s="10" t="s">
        <v>105</v>
      </c>
      <c r="G1129" s="4" t="s">
        <v>8</v>
      </c>
      <c r="H1129" s="4"/>
      <c r="I1129" s="4">
        <f t="shared" si="52"/>
        <v>12625</v>
      </c>
      <c r="J1129" s="4">
        <v>12625</v>
      </c>
      <c r="K1129" s="4">
        <f t="shared" si="53"/>
        <v>0</v>
      </c>
      <c r="L1129" s="1">
        <v>12625</v>
      </c>
      <c r="M1129" s="93">
        <f t="shared" si="51"/>
        <v>0</v>
      </c>
      <c r="N1129" s="2"/>
      <c r="O1129" s="97"/>
      <c r="P1129" s="52"/>
    </row>
    <row r="1130" spans="1:16" ht="40.950000000000003" customHeight="1" x14ac:dyDescent="0.3">
      <c r="A1130" s="4">
        <v>26</v>
      </c>
      <c r="B1130" s="10" t="s">
        <v>1088</v>
      </c>
      <c r="C1130" s="10" t="s">
        <v>313</v>
      </c>
      <c r="D1130" s="10" t="s">
        <v>314</v>
      </c>
      <c r="E1130" s="10">
        <v>147</v>
      </c>
      <c r="F1130" s="10" t="s">
        <v>105</v>
      </c>
      <c r="G1130" s="4" t="s">
        <v>85</v>
      </c>
      <c r="H1130" s="4"/>
      <c r="I1130" s="4">
        <f t="shared" si="52"/>
        <v>12675</v>
      </c>
      <c r="J1130" s="4">
        <v>12675</v>
      </c>
      <c r="K1130" s="4">
        <f t="shared" si="53"/>
        <v>0</v>
      </c>
      <c r="L1130" s="1">
        <v>12675</v>
      </c>
      <c r="M1130" s="93">
        <f t="shared" si="51"/>
        <v>0</v>
      </c>
      <c r="N1130" s="2"/>
      <c r="O1130" s="97"/>
      <c r="P1130" s="52"/>
    </row>
    <row r="1131" spans="1:16" ht="40.950000000000003" customHeight="1" x14ac:dyDescent="0.3">
      <c r="A1131" s="4">
        <v>26</v>
      </c>
      <c r="B1131" s="10" t="s">
        <v>1088</v>
      </c>
      <c r="C1131" s="10" t="s">
        <v>313</v>
      </c>
      <c r="D1131" s="10" t="s">
        <v>314</v>
      </c>
      <c r="E1131" s="10">
        <v>147</v>
      </c>
      <c r="F1131" s="10" t="s">
        <v>105</v>
      </c>
      <c r="G1131" s="4" t="s">
        <v>122</v>
      </c>
      <c r="H1131" s="4"/>
      <c r="I1131" s="4">
        <f t="shared" si="52"/>
        <v>2075</v>
      </c>
      <c r="J1131" s="4">
        <v>2075</v>
      </c>
      <c r="K1131" s="4">
        <f t="shared" si="53"/>
        <v>0</v>
      </c>
      <c r="L1131" s="1">
        <v>2075</v>
      </c>
      <c r="M1131" s="93">
        <f t="shared" si="51"/>
        <v>0</v>
      </c>
      <c r="N1131" s="2"/>
      <c r="O1131" s="97"/>
      <c r="P1131" s="52"/>
    </row>
    <row r="1132" spans="1:16" ht="40.950000000000003" customHeight="1" x14ac:dyDescent="0.3">
      <c r="A1132" s="4">
        <v>26</v>
      </c>
      <c r="B1132" s="10" t="s">
        <v>1088</v>
      </c>
      <c r="C1132" s="10" t="s">
        <v>313</v>
      </c>
      <c r="D1132" s="10" t="s">
        <v>314</v>
      </c>
      <c r="E1132" s="10">
        <v>147</v>
      </c>
      <c r="F1132" s="10" t="s">
        <v>106</v>
      </c>
      <c r="G1132" s="48" t="s">
        <v>198</v>
      </c>
      <c r="H1132" s="4" t="s">
        <v>1296</v>
      </c>
      <c r="I1132" s="4">
        <f t="shared" si="52"/>
        <v>13882</v>
      </c>
      <c r="J1132" s="4">
        <v>13882</v>
      </c>
      <c r="K1132" s="4">
        <f t="shared" si="53"/>
        <v>0</v>
      </c>
      <c r="L1132" s="1">
        <v>13882</v>
      </c>
      <c r="M1132" s="93">
        <f t="shared" si="51"/>
        <v>0</v>
      </c>
      <c r="N1132" s="2"/>
      <c r="O1132" s="97"/>
      <c r="P1132" s="52"/>
    </row>
    <row r="1133" spans="1:16" ht="40.950000000000003" customHeight="1" x14ac:dyDescent="0.3">
      <c r="A1133" s="4">
        <v>26</v>
      </c>
      <c r="B1133" s="10" t="s">
        <v>1088</v>
      </c>
      <c r="C1133" s="10" t="s">
        <v>313</v>
      </c>
      <c r="D1133" s="10" t="s">
        <v>314</v>
      </c>
      <c r="E1133" s="10">
        <v>147</v>
      </c>
      <c r="F1133" s="10" t="s">
        <v>106</v>
      </c>
      <c r="G1133" s="48" t="s">
        <v>402</v>
      </c>
      <c r="H1133" s="4" t="s">
        <v>1296</v>
      </c>
      <c r="I1133" s="4">
        <f t="shared" si="52"/>
        <v>95590</v>
      </c>
      <c r="J1133" s="4">
        <v>95590</v>
      </c>
      <c r="K1133" s="4">
        <f t="shared" si="53"/>
        <v>0</v>
      </c>
      <c r="L1133" s="1">
        <v>95590</v>
      </c>
      <c r="M1133" s="93">
        <f t="shared" ref="M1133:M1199" si="54">O1133-N1133</f>
        <v>0</v>
      </c>
      <c r="N1133" s="2"/>
      <c r="O1133" s="97"/>
      <c r="P1133" s="52"/>
    </row>
    <row r="1134" spans="1:16" ht="40.950000000000003" customHeight="1" x14ac:dyDescent="0.3">
      <c r="A1134" s="4">
        <v>26</v>
      </c>
      <c r="B1134" s="10" t="s">
        <v>1088</v>
      </c>
      <c r="C1134" s="10" t="s">
        <v>313</v>
      </c>
      <c r="D1134" s="10" t="s">
        <v>314</v>
      </c>
      <c r="E1134" s="10">
        <v>147</v>
      </c>
      <c r="F1134" s="10" t="s">
        <v>106</v>
      </c>
      <c r="G1134" s="48" t="s">
        <v>169</v>
      </c>
      <c r="H1134" s="4" t="s">
        <v>1296</v>
      </c>
      <c r="I1134" s="4">
        <f t="shared" si="52"/>
        <v>36086</v>
      </c>
      <c r="J1134" s="4">
        <v>36086</v>
      </c>
      <c r="K1134" s="4">
        <f t="shared" si="53"/>
        <v>0</v>
      </c>
      <c r="L1134" s="1">
        <v>36086</v>
      </c>
      <c r="M1134" s="93">
        <f t="shared" si="54"/>
        <v>0</v>
      </c>
      <c r="N1134" s="2"/>
      <c r="O1134" s="97"/>
      <c r="P1134" s="52"/>
    </row>
    <row r="1135" spans="1:16" ht="40.950000000000003" customHeight="1" x14ac:dyDescent="0.3">
      <c r="A1135" s="4">
        <v>26</v>
      </c>
      <c r="B1135" s="10" t="s">
        <v>1088</v>
      </c>
      <c r="C1135" s="10" t="s">
        <v>313</v>
      </c>
      <c r="D1135" s="10" t="s">
        <v>314</v>
      </c>
      <c r="E1135" s="10">
        <v>147</v>
      </c>
      <c r="F1135" s="10" t="s">
        <v>106</v>
      </c>
      <c r="G1135" s="48" t="s">
        <v>200</v>
      </c>
      <c r="H1135" s="4" t="s">
        <v>1296</v>
      </c>
      <c r="I1135" s="4">
        <f t="shared" si="52"/>
        <v>25210</v>
      </c>
      <c r="J1135" s="4">
        <v>25210</v>
      </c>
      <c r="K1135" s="4">
        <f t="shared" si="53"/>
        <v>0</v>
      </c>
      <c r="L1135" s="1">
        <v>25210</v>
      </c>
      <c r="M1135" s="93">
        <f t="shared" si="54"/>
        <v>0</v>
      </c>
      <c r="N1135" s="2"/>
      <c r="O1135" s="97"/>
      <c r="P1135" s="52"/>
    </row>
    <row r="1136" spans="1:16" ht="40.950000000000003" customHeight="1" x14ac:dyDescent="0.3">
      <c r="A1136" s="4">
        <v>26</v>
      </c>
      <c r="B1136" s="10" t="s">
        <v>1088</v>
      </c>
      <c r="C1136" s="10" t="s">
        <v>313</v>
      </c>
      <c r="D1136" s="10" t="s">
        <v>314</v>
      </c>
      <c r="E1136" s="10">
        <v>147</v>
      </c>
      <c r="F1136" s="10" t="s">
        <v>106</v>
      </c>
      <c r="G1136" s="48" t="s">
        <v>411</v>
      </c>
      <c r="H1136" s="4" t="s">
        <v>1296</v>
      </c>
      <c r="I1136" s="4">
        <f t="shared" si="52"/>
        <v>5335</v>
      </c>
      <c r="J1136" s="4">
        <v>5335</v>
      </c>
      <c r="K1136" s="4">
        <f t="shared" si="53"/>
        <v>0</v>
      </c>
      <c r="L1136" s="1">
        <v>5335</v>
      </c>
      <c r="M1136" s="93">
        <f t="shared" si="54"/>
        <v>0</v>
      </c>
      <c r="N1136" s="2"/>
      <c r="O1136" s="97"/>
      <c r="P1136" s="52"/>
    </row>
    <row r="1137" spans="1:16" ht="40.950000000000003" customHeight="1" x14ac:dyDescent="0.3">
      <c r="A1137" s="4">
        <v>26</v>
      </c>
      <c r="B1137" s="10" t="s">
        <v>1088</v>
      </c>
      <c r="C1137" s="10" t="s">
        <v>313</v>
      </c>
      <c r="D1137" s="10" t="s">
        <v>314</v>
      </c>
      <c r="E1137" s="10">
        <v>147</v>
      </c>
      <c r="F1137" s="10" t="s">
        <v>106</v>
      </c>
      <c r="G1137" s="48" t="s">
        <v>7</v>
      </c>
      <c r="H1137" s="4" t="s">
        <v>1296</v>
      </c>
      <c r="I1137" s="4">
        <f t="shared" si="52"/>
        <v>278828</v>
      </c>
      <c r="J1137" s="4">
        <v>278828</v>
      </c>
      <c r="K1137" s="4">
        <f t="shared" si="53"/>
        <v>0</v>
      </c>
      <c r="L1137" s="1">
        <v>278828</v>
      </c>
      <c r="M1137" s="93">
        <f t="shared" si="54"/>
        <v>0</v>
      </c>
      <c r="N1137" s="2"/>
      <c r="O1137" s="97"/>
      <c r="P1137" s="52"/>
    </row>
    <row r="1138" spans="1:16" ht="40.950000000000003" customHeight="1" x14ac:dyDescent="0.3">
      <c r="A1138" s="4">
        <v>26</v>
      </c>
      <c r="B1138" s="10" t="s">
        <v>1088</v>
      </c>
      <c r="C1138" s="10" t="s">
        <v>313</v>
      </c>
      <c r="D1138" s="10" t="s">
        <v>314</v>
      </c>
      <c r="E1138" s="10">
        <v>147</v>
      </c>
      <c r="F1138" s="10" t="s">
        <v>106</v>
      </c>
      <c r="G1138" s="48" t="s">
        <v>8</v>
      </c>
      <c r="H1138" s="4" t="s">
        <v>1296</v>
      </c>
      <c r="I1138" s="4">
        <f t="shared" si="52"/>
        <v>277823</v>
      </c>
      <c r="J1138" s="4">
        <v>277823</v>
      </c>
      <c r="K1138" s="4">
        <f t="shared" si="53"/>
        <v>0</v>
      </c>
      <c r="L1138" s="1">
        <v>277823</v>
      </c>
      <c r="M1138" s="93">
        <f t="shared" si="54"/>
        <v>0</v>
      </c>
      <c r="N1138" s="2"/>
      <c r="O1138" s="97"/>
      <c r="P1138" s="52"/>
    </row>
    <row r="1139" spans="1:16" ht="40.950000000000003" customHeight="1" x14ac:dyDescent="0.3">
      <c r="A1139" s="4">
        <v>26</v>
      </c>
      <c r="B1139" s="10" t="s">
        <v>1088</v>
      </c>
      <c r="C1139" s="10" t="s">
        <v>313</v>
      </c>
      <c r="D1139" s="10" t="s">
        <v>314</v>
      </c>
      <c r="E1139" s="10">
        <v>147</v>
      </c>
      <c r="F1139" s="10" t="s">
        <v>106</v>
      </c>
      <c r="G1139" s="48" t="s">
        <v>9</v>
      </c>
      <c r="H1139" s="4" t="s">
        <v>1296</v>
      </c>
      <c r="I1139" s="4">
        <f t="shared" ref="I1139:I1205" si="55">J1139-O1139</f>
        <v>266511</v>
      </c>
      <c r="J1139" s="4">
        <v>266511</v>
      </c>
      <c r="K1139" s="4">
        <f t="shared" si="53"/>
        <v>0</v>
      </c>
      <c r="L1139" s="1">
        <v>266511</v>
      </c>
      <c r="M1139" s="93">
        <f t="shared" si="54"/>
        <v>0</v>
      </c>
      <c r="N1139" s="2"/>
      <c r="O1139" s="97"/>
      <c r="P1139" s="52"/>
    </row>
    <row r="1140" spans="1:16" ht="40.950000000000003" customHeight="1" x14ac:dyDescent="0.3">
      <c r="A1140" s="4">
        <v>26</v>
      </c>
      <c r="B1140" s="10" t="s">
        <v>1088</v>
      </c>
      <c r="C1140" s="10" t="s">
        <v>313</v>
      </c>
      <c r="D1140" s="10" t="s">
        <v>314</v>
      </c>
      <c r="E1140" s="10">
        <v>147</v>
      </c>
      <c r="F1140" s="10" t="s">
        <v>106</v>
      </c>
      <c r="G1140" s="48" t="s">
        <v>11</v>
      </c>
      <c r="H1140" s="4" t="s">
        <v>1296</v>
      </c>
      <c r="I1140" s="4">
        <f t="shared" si="55"/>
        <v>299641</v>
      </c>
      <c r="J1140" s="4">
        <v>299641</v>
      </c>
      <c r="K1140" s="4">
        <f t="shared" si="53"/>
        <v>0</v>
      </c>
      <c r="L1140" s="1">
        <v>299641</v>
      </c>
      <c r="M1140" s="93">
        <f t="shared" si="54"/>
        <v>0</v>
      </c>
      <c r="N1140" s="2"/>
      <c r="O1140" s="97"/>
      <c r="P1140" s="52"/>
    </row>
    <row r="1141" spans="1:16" ht="40.950000000000003" customHeight="1" x14ac:dyDescent="0.3">
      <c r="A1141" s="4">
        <v>26</v>
      </c>
      <c r="B1141" s="10" t="s">
        <v>1088</v>
      </c>
      <c r="C1141" s="10" t="s">
        <v>313</v>
      </c>
      <c r="D1141" s="10" t="s">
        <v>314</v>
      </c>
      <c r="E1141" s="10">
        <v>147</v>
      </c>
      <c r="F1141" s="10" t="s">
        <v>106</v>
      </c>
      <c r="G1141" s="48" t="s">
        <v>39</v>
      </c>
      <c r="H1141" s="4" t="s">
        <v>1296</v>
      </c>
      <c r="I1141" s="4">
        <f t="shared" si="55"/>
        <v>320541</v>
      </c>
      <c r="J1141" s="4">
        <v>320541</v>
      </c>
      <c r="K1141" s="4">
        <f t="shared" si="53"/>
        <v>0</v>
      </c>
      <c r="L1141" s="1">
        <v>320541</v>
      </c>
      <c r="M1141" s="93">
        <f t="shared" si="54"/>
        <v>0</v>
      </c>
      <c r="N1141" s="2"/>
      <c r="O1141" s="97"/>
      <c r="P1141" s="52"/>
    </row>
    <row r="1142" spans="1:16" ht="40.950000000000003" customHeight="1" x14ac:dyDescent="0.3">
      <c r="A1142" s="4">
        <v>26</v>
      </c>
      <c r="B1142" s="10" t="s">
        <v>1088</v>
      </c>
      <c r="C1142" s="10" t="s">
        <v>313</v>
      </c>
      <c r="D1142" s="10" t="s">
        <v>314</v>
      </c>
      <c r="E1142" s="10">
        <v>147</v>
      </c>
      <c r="F1142" s="10" t="s">
        <v>106</v>
      </c>
      <c r="G1142" s="48" t="s">
        <v>90</v>
      </c>
      <c r="H1142" s="4" t="s">
        <v>1296</v>
      </c>
      <c r="I1142" s="4">
        <f t="shared" si="55"/>
        <v>363590</v>
      </c>
      <c r="J1142" s="4">
        <v>363590</v>
      </c>
      <c r="K1142" s="4">
        <f t="shared" si="53"/>
        <v>0</v>
      </c>
      <c r="L1142" s="1">
        <v>363590</v>
      </c>
      <c r="M1142" s="93">
        <f t="shared" si="54"/>
        <v>0</v>
      </c>
      <c r="N1142" s="2"/>
      <c r="O1142" s="97"/>
      <c r="P1142" s="52"/>
    </row>
    <row r="1143" spans="1:16" ht="40.950000000000003" customHeight="1" x14ac:dyDescent="0.3">
      <c r="A1143" s="4">
        <v>26</v>
      </c>
      <c r="B1143" s="10" t="s">
        <v>1088</v>
      </c>
      <c r="C1143" s="10" t="s">
        <v>313</v>
      </c>
      <c r="D1143" s="10" t="s">
        <v>314</v>
      </c>
      <c r="E1143" s="10">
        <v>147</v>
      </c>
      <c r="F1143" s="10" t="s">
        <v>106</v>
      </c>
      <c r="G1143" s="48" t="s">
        <v>48</v>
      </c>
      <c r="H1143" s="4" t="s">
        <v>1296</v>
      </c>
      <c r="I1143" s="4">
        <f t="shared" si="55"/>
        <v>399813</v>
      </c>
      <c r="J1143" s="4">
        <v>399813</v>
      </c>
      <c r="K1143" s="4">
        <f t="shared" si="53"/>
        <v>0</v>
      </c>
      <c r="L1143" s="1">
        <v>399813</v>
      </c>
      <c r="M1143" s="93">
        <f t="shared" si="54"/>
        <v>0</v>
      </c>
      <c r="N1143" s="2"/>
      <c r="O1143" s="97"/>
      <c r="P1143" s="52"/>
    </row>
    <row r="1144" spans="1:16" ht="40.950000000000003" customHeight="1" x14ac:dyDescent="0.3">
      <c r="A1144" s="4">
        <v>26</v>
      </c>
      <c r="B1144" s="10" t="s">
        <v>1088</v>
      </c>
      <c r="C1144" s="10" t="s">
        <v>313</v>
      </c>
      <c r="D1144" s="10" t="s">
        <v>314</v>
      </c>
      <c r="E1144" s="10">
        <v>147</v>
      </c>
      <c r="F1144" s="10" t="s">
        <v>106</v>
      </c>
      <c r="G1144" s="48" t="s">
        <v>49</v>
      </c>
      <c r="H1144" s="4" t="s">
        <v>1296</v>
      </c>
      <c r="I1144" s="4">
        <f t="shared" si="55"/>
        <v>364488</v>
      </c>
      <c r="J1144" s="4">
        <v>364488</v>
      </c>
      <c r="K1144" s="4">
        <f t="shared" si="53"/>
        <v>0</v>
      </c>
      <c r="L1144" s="1">
        <v>364488</v>
      </c>
      <c r="M1144" s="93">
        <f t="shared" si="54"/>
        <v>0</v>
      </c>
      <c r="N1144" s="2"/>
      <c r="O1144" s="97"/>
      <c r="P1144" s="52"/>
    </row>
    <row r="1145" spans="1:16" ht="40.950000000000003" customHeight="1" x14ac:dyDescent="0.3">
      <c r="A1145" s="4">
        <v>26</v>
      </c>
      <c r="B1145" s="10" t="s">
        <v>1088</v>
      </c>
      <c r="C1145" s="10" t="s">
        <v>313</v>
      </c>
      <c r="D1145" s="10" t="s">
        <v>314</v>
      </c>
      <c r="E1145" s="10">
        <v>147</v>
      </c>
      <c r="F1145" s="10" t="s">
        <v>106</v>
      </c>
      <c r="G1145" s="48" t="s">
        <v>50</v>
      </c>
      <c r="H1145" s="4" t="s">
        <v>1296</v>
      </c>
      <c r="I1145" s="4">
        <f t="shared" si="55"/>
        <v>316634</v>
      </c>
      <c r="J1145" s="4">
        <v>316634</v>
      </c>
      <c r="K1145" s="4">
        <f t="shared" si="53"/>
        <v>0</v>
      </c>
      <c r="L1145" s="1">
        <v>316634</v>
      </c>
      <c r="M1145" s="93">
        <f t="shared" si="54"/>
        <v>0</v>
      </c>
      <c r="N1145" s="2"/>
      <c r="O1145" s="97"/>
      <c r="P1145" s="52"/>
    </row>
    <row r="1146" spans="1:16" ht="40.950000000000003" customHeight="1" x14ac:dyDescent="0.3">
      <c r="A1146" s="4">
        <v>26</v>
      </c>
      <c r="B1146" s="10" t="s">
        <v>1088</v>
      </c>
      <c r="C1146" s="10" t="s">
        <v>313</v>
      </c>
      <c r="D1146" s="10" t="s">
        <v>314</v>
      </c>
      <c r="E1146" s="10">
        <v>147</v>
      </c>
      <c r="F1146" s="10" t="s">
        <v>106</v>
      </c>
      <c r="G1146" s="48" t="s">
        <v>51</v>
      </c>
      <c r="H1146" s="4" t="s">
        <v>1296</v>
      </c>
      <c r="I1146" s="4">
        <f t="shared" si="55"/>
        <v>413041</v>
      </c>
      <c r="J1146" s="4">
        <v>413041</v>
      </c>
      <c r="K1146" s="4">
        <f t="shared" si="53"/>
        <v>0</v>
      </c>
      <c r="L1146" s="1">
        <v>413041</v>
      </c>
      <c r="M1146" s="93">
        <f t="shared" si="54"/>
        <v>0</v>
      </c>
      <c r="N1146" s="2"/>
      <c r="O1146" s="97"/>
      <c r="P1146" s="52"/>
    </row>
    <row r="1147" spans="1:16" ht="40.950000000000003" customHeight="1" x14ac:dyDescent="0.3">
      <c r="A1147" s="4">
        <v>26</v>
      </c>
      <c r="B1147" s="10" t="s">
        <v>1088</v>
      </c>
      <c r="C1147" s="10" t="s">
        <v>313</v>
      </c>
      <c r="D1147" s="10" t="s">
        <v>314</v>
      </c>
      <c r="E1147" s="10">
        <v>147</v>
      </c>
      <c r="F1147" s="10" t="s">
        <v>106</v>
      </c>
      <c r="G1147" s="48" t="s">
        <v>22</v>
      </c>
      <c r="H1147" s="4" t="s">
        <v>1296</v>
      </c>
      <c r="I1147" s="4">
        <f t="shared" si="55"/>
        <v>293056</v>
      </c>
      <c r="J1147" s="4">
        <v>293056</v>
      </c>
      <c r="K1147" s="4">
        <f t="shared" si="53"/>
        <v>0</v>
      </c>
      <c r="L1147" s="1">
        <v>293056</v>
      </c>
      <c r="M1147" s="93">
        <f t="shared" si="54"/>
        <v>0</v>
      </c>
      <c r="N1147" s="2"/>
      <c r="O1147" s="97"/>
      <c r="P1147" s="52"/>
    </row>
    <row r="1148" spans="1:16" ht="40.950000000000003" customHeight="1" x14ac:dyDescent="0.3">
      <c r="A1148" s="4">
        <v>26</v>
      </c>
      <c r="B1148" s="10" t="s">
        <v>1088</v>
      </c>
      <c r="C1148" s="10" t="s">
        <v>313</v>
      </c>
      <c r="D1148" s="10" t="s">
        <v>314</v>
      </c>
      <c r="E1148" s="10">
        <v>147</v>
      </c>
      <c r="F1148" s="10" t="s">
        <v>106</v>
      </c>
      <c r="G1148" s="48" t="s">
        <v>114</v>
      </c>
      <c r="H1148" s="4" t="s">
        <v>1296</v>
      </c>
      <c r="I1148" s="4">
        <f t="shared" si="55"/>
        <v>238143</v>
      </c>
      <c r="J1148" s="4">
        <v>238143</v>
      </c>
      <c r="K1148" s="4">
        <f t="shared" si="53"/>
        <v>0</v>
      </c>
      <c r="L1148" s="1">
        <v>238143</v>
      </c>
      <c r="M1148" s="93">
        <f t="shared" si="54"/>
        <v>0</v>
      </c>
      <c r="N1148" s="2"/>
      <c r="O1148" s="97"/>
      <c r="P1148" s="52"/>
    </row>
    <row r="1149" spans="1:16" ht="40.950000000000003" customHeight="1" x14ac:dyDescent="0.3">
      <c r="A1149" s="4">
        <v>26</v>
      </c>
      <c r="B1149" s="10" t="s">
        <v>1088</v>
      </c>
      <c r="C1149" s="10" t="s">
        <v>313</v>
      </c>
      <c r="D1149" s="10" t="s">
        <v>314</v>
      </c>
      <c r="E1149" s="10">
        <v>147</v>
      </c>
      <c r="F1149" s="10" t="s">
        <v>106</v>
      </c>
      <c r="G1149" s="48" t="s">
        <v>85</v>
      </c>
      <c r="H1149" s="4" t="s">
        <v>1296</v>
      </c>
      <c r="I1149" s="4">
        <f t="shared" si="55"/>
        <v>346303</v>
      </c>
      <c r="J1149" s="4">
        <v>346303</v>
      </c>
      <c r="K1149" s="4">
        <f t="shared" si="53"/>
        <v>0</v>
      </c>
      <c r="L1149" s="1">
        <v>346303</v>
      </c>
      <c r="M1149" s="93">
        <f t="shared" si="54"/>
        <v>0</v>
      </c>
      <c r="N1149" s="2"/>
      <c r="O1149" s="97"/>
      <c r="P1149" s="52"/>
    </row>
    <row r="1150" spans="1:16" ht="40.950000000000003" customHeight="1" x14ac:dyDescent="0.3">
      <c r="A1150" s="4">
        <v>26</v>
      </c>
      <c r="B1150" s="10" t="s">
        <v>1088</v>
      </c>
      <c r="C1150" s="10" t="s">
        <v>313</v>
      </c>
      <c r="D1150" s="10" t="s">
        <v>314</v>
      </c>
      <c r="E1150" s="10">
        <v>147</v>
      </c>
      <c r="F1150" s="10" t="s">
        <v>106</v>
      </c>
      <c r="G1150" s="48" t="s">
        <v>128</v>
      </c>
      <c r="H1150" s="4" t="s">
        <v>1296</v>
      </c>
      <c r="I1150" s="4">
        <f t="shared" si="55"/>
        <v>386652</v>
      </c>
      <c r="J1150" s="4">
        <v>386652</v>
      </c>
      <c r="K1150" s="4">
        <f t="shared" si="53"/>
        <v>0</v>
      </c>
      <c r="L1150" s="1">
        <v>386652</v>
      </c>
      <c r="M1150" s="93">
        <f t="shared" si="54"/>
        <v>0</v>
      </c>
      <c r="N1150" s="2"/>
      <c r="O1150" s="97"/>
      <c r="P1150" s="52"/>
    </row>
    <row r="1151" spans="1:16" ht="40.950000000000003" customHeight="1" x14ac:dyDescent="0.3">
      <c r="A1151" s="4">
        <v>26</v>
      </c>
      <c r="B1151" s="10" t="s">
        <v>1088</v>
      </c>
      <c r="C1151" s="10" t="s">
        <v>313</v>
      </c>
      <c r="D1151" s="10" t="s">
        <v>314</v>
      </c>
      <c r="E1151" s="10">
        <v>147</v>
      </c>
      <c r="F1151" s="10" t="s">
        <v>106</v>
      </c>
      <c r="G1151" s="48" t="s">
        <v>64</v>
      </c>
      <c r="H1151" s="4" t="s">
        <v>1296</v>
      </c>
      <c r="I1151" s="4">
        <f t="shared" si="55"/>
        <v>313946</v>
      </c>
      <c r="J1151" s="4">
        <v>313946</v>
      </c>
      <c r="K1151" s="4">
        <f t="shared" si="53"/>
        <v>0</v>
      </c>
      <c r="L1151" s="1">
        <v>313946</v>
      </c>
      <c r="M1151" s="93">
        <f t="shared" si="54"/>
        <v>0</v>
      </c>
      <c r="N1151" s="2"/>
      <c r="O1151" s="97"/>
      <c r="P1151" s="52"/>
    </row>
    <row r="1152" spans="1:16" ht="40.950000000000003" customHeight="1" x14ac:dyDescent="0.3">
      <c r="A1152" s="4">
        <v>26</v>
      </c>
      <c r="B1152" s="10" t="s">
        <v>1088</v>
      </c>
      <c r="C1152" s="10" t="s">
        <v>313</v>
      </c>
      <c r="D1152" s="10" t="s">
        <v>314</v>
      </c>
      <c r="E1152" s="10">
        <v>147</v>
      </c>
      <c r="F1152" s="10" t="s">
        <v>106</v>
      </c>
      <c r="G1152" s="48" t="s">
        <v>122</v>
      </c>
      <c r="H1152" s="4" t="s">
        <v>1296</v>
      </c>
      <c r="I1152" s="4">
        <f t="shared" si="55"/>
        <v>340642</v>
      </c>
      <c r="J1152" s="4">
        <v>340642</v>
      </c>
      <c r="K1152" s="4">
        <f t="shared" si="53"/>
        <v>0</v>
      </c>
      <c r="L1152" s="1">
        <v>340642</v>
      </c>
      <c r="M1152" s="93">
        <f t="shared" si="54"/>
        <v>0</v>
      </c>
      <c r="N1152" s="2"/>
      <c r="O1152" s="97"/>
      <c r="P1152" s="52"/>
    </row>
    <row r="1153" spans="1:16" ht="40.950000000000003" customHeight="1" x14ac:dyDescent="0.3">
      <c r="A1153" s="4">
        <v>26</v>
      </c>
      <c r="B1153" s="10" t="s">
        <v>1088</v>
      </c>
      <c r="C1153" s="10" t="s">
        <v>313</v>
      </c>
      <c r="D1153" s="10" t="s">
        <v>314</v>
      </c>
      <c r="E1153" s="10">
        <v>147</v>
      </c>
      <c r="F1153" s="10" t="s">
        <v>106</v>
      </c>
      <c r="G1153" s="48" t="s">
        <v>143</v>
      </c>
      <c r="H1153" s="4" t="s">
        <v>1296</v>
      </c>
      <c r="I1153" s="4">
        <f t="shared" si="55"/>
        <v>387605</v>
      </c>
      <c r="J1153" s="4">
        <v>387605</v>
      </c>
      <c r="K1153" s="4">
        <f t="shared" si="53"/>
        <v>0</v>
      </c>
      <c r="L1153" s="1">
        <v>387605</v>
      </c>
      <c r="M1153" s="93">
        <f t="shared" si="54"/>
        <v>0</v>
      </c>
      <c r="N1153" s="2"/>
      <c r="O1153" s="97"/>
      <c r="P1153" s="52"/>
    </row>
    <row r="1154" spans="1:16" ht="40.950000000000003" customHeight="1" x14ac:dyDescent="0.3">
      <c r="A1154" s="4">
        <v>26</v>
      </c>
      <c r="B1154" s="10" t="s">
        <v>1088</v>
      </c>
      <c r="C1154" s="10" t="s">
        <v>313</v>
      </c>
      <c r="D1154" s="10" t="s">
        <v>314</v>
      </c>
      <c r="E1154" s="10">
        <v>147</v>
      </c>
      <c r="F1154" s="10" t="s">
        <v>106</v>
      </c>
      <c r="G1154" s="48" t="s">
        <v>70</v>
      </c>
      <c r="H1154" s="4" t="s">
        <v>1296</v>
      </c>
      <c r="I1154" s="4">
        <f t="shared" si="55"/>
        <v>382549</v>
      </c>
      <c r="J1154" s="4">
        <v>382549</v>
      </c>
      <c r="K1154" s="4">
        <f t="shared" si="53"/>
        <v>0</v>
      </c>
      <c r="L1154" s="1">
        <v>382549</v>
      </c>
      <c r="M1154" s="93">
        <f t="shared" si="54"/>
        <v>0</v>
      </c>
      <c r="N1154" s="2"/>
      <c r="O1154" s="97"/>
      <c r="P1154" s="52"/>
    </row>
    <row r="1155" spans="1:16" ht="40.950000000000003" customHeight="1" x14ac:dyDescent="0.3">
      <c r="A1155" s="4">
        <v>27</v>
      </c>
      <c r="B1155" s="10" t="s">
        <v>215</v>
      </c>
      <c r="C1155" s="10"/>
      <c r="D1155" s="10"/>
      <c r="E1155" s="10"/>
      <c r="F1155" s="10" t="s">
        <v>182</v>
      </c>
      <c r="G1155" s="4" t="s">
        <v>14</v>
      </c>
      <c r="H1155" s="4"/>
      <c r="I1155" s="4">
        <f t="shared" si="55"/>
        <v>89110</v>
      </c>
      <c r="J1155" s="4">
        <v>89110</v>
      </c>
      <c r="K1155" s="4">
        <f t="shared" si="53"/>
        <v>0</v>
      </c>
      <c r="L1155" s="1">
        <v>89110</v>
      </c>
      <c r="M1155" s="93">
        <f t="shared" si="54"/>
        <v>0</v>
      </c>
      <c r="N1155" s="2"/>
      <c r="O1155" s="97"/>
      <c r="P1155" s="52"/>
    </row>
    <row r="1156" spans="1:16" ht="40.950000000000003" customHeight="1" x14ac:dyDescent="0.3">
      <c r="A1156" s="4">
        <v>28</v>
      </c>
      <c r="B1156" s="10" t="s">
        <v>403</v>
      </c>
      <c r="C1156" s="10"/>
      <c r="D1156" s="10"/>
      <c r="E1156" s="10"/>
      <c r="F1156" s="10" t="s">
        <v>404</v>
      </c>
      <c r="G1156" s="4" t="s">
        <v>184</v>
      </c>
      <c r="H1156" s="4"/>
      <c r="I1156" s="4">
        <f t="shared" si="55"/>
        <v>320939</v>
      </c>
      <c r="J1156" s="4">
        <v>320939</v>
      </c>
      <c r="K1156" s="4">
        <f t="shared" si="53"/>
        <v>0</v>
      </c>
      <c r="L1156" s="1">
        <v>320939</v>
      </c>
      <c r="M1156" s="93">
        <f t="shared" si="54"/>
        <v>0</v>
      </c>
      <c r="N1156" s="2"/>
      <c r="O1156" s="97"/>
      <c r="P1156" s="52"/>
    </row>
    <row r="1157" spans="1:16" ht="40.950000000000003" customHeight="1" x14ac:dyDescent="0.3">
      <c r="A1157" s="4">
        <v>29</v>
      </c>
      <c r="B1157" s="10" t="s">
        <v>81</v>
      </c>
      <c r="C1157" s="10"/>
      <c r="D1157" s="10"/>
      <c r="E1157" s="10"/>
      <c r="F1157" s="10" t="s">
        <v>115</v>
      </c>
      <c r="G1157" s="4" t="s">
        <v>14</v>
      </c>
      <c r="H1157" s="4"/>
      <c r="I1157" s="4">
        <f t="shared" si="55"/>
        <v>9600</v>
      </c>
      <c r="J1157" s="4">
        <v>9600</v>
      </c>
      <c r="K1157" s="4">
        <f t="shared" si="53"/>
        <v>0</v>
      </c>
      <c r="L1157" s="1">
        <v>9600</v>
      </c>
      <c r="M1157" s="93">
        <f t="shared" si="54"/>
        <v>0</v>
      </c>
      <c r="N1157" s="2"/>
      <c r="O1157" s="97"/>
      <c r="P1157" s="52"/>
    </row>
    <row r="1158" spans="1:16" ht="40.950000000000003" customHeight="1" x14ac:dyDescent="0.3">
      <c r="A1158" s="4">
        <v>30</v>
      </c>
      <c r="B1158" s="10" t="s">
        <v>35</v>
      </c>
      <c r="C1158" s="10"/>
      <c r="D1158" s="10"/>
      <c r="E1158" s="10"/>
      <c r="F1158" s="10" t="s">
        <v>36</v>
      </c>
      <c r="G1158" s="4" t="s">
        <v>14</v>
      </c>
      <c r="H1158" s="4"/>
      <c r="I1158" s="4">
        <f t="shared" si="55"/>
        <v>968100</v>
      </c>
      <c r="J1158" s="4">
        <v>968100</v>
      </c>
      <c r="K1158" s="4">
        <f t="shared" si="53"/>
        <v>0</v>
      </c>
      <c r="L1158" s="1">
        <v>968100</v>
      </c>
      <c r="M1158" s="93">
        <f t="shared" si="54"/>
        <v>0</v>
      </c>
      <c r="N1158" s="2"/>
      <c r="O1158" s="97"/>
      <c r="P1158" s="52"/>
    </row>
    <row r="1159" spans="1:16" ht="40.950000000000003" customHeight="1" x14ac:dyDescent="0.3">
      <c r="A1159" s="4">
        <v>31</v>
      </c>
      <c r="B1159" s="10" t="s">
        <v>432</v>
      </c>
      <c r="C1159" s="10"/>
      <c r="D1159" s="10"/>
      <c r="E1159" s="10"/>
      <c r="F1159" s="10" t="s">
        <v>276</v>
      </c>
      <c r="G1159" s="4" t="s">
        <v>184</v>
      </c>
      <c r="H1159" s="4">
        <v>5</v>
      </c>
      <c r="I1159" s="4">
        <f t="shared" si="55"/>
        <v>162537</v>
      </c>
      <c r="J1159" s="4">
        <v>162537</v>
      </c>
      <c r="K1159" s="4">
        <f t="shared" si="53"/>
        <v>0</v>
      </c>
      <c r="L1159" s="1">
        <v>162537</v>
      </c>
      <c r="M1159" s="93">
        <f t="shared" si="54"/>
        <v>0</v>
      </c>
      <c r="N1159" s="2"/>
      <c r="O1159" s="97"/>
      <c r="P1159" s="52"/>
    </row>
    <row r="1160" spans="1:16" ht="40.950000000000003" customHeight="1" x14ac:dyDescent="0.3">
      <c r="A1160" s="4">
        <v>32</v>
      </c>
      <c r="B1160" s="10" t="s">
        <v>275</v>
      </c>
      <c r="C1160" s="10"/>
      <c r="D1160" s="10"/>
      <c r="E1160" s="10"/>
      <c r="F1160" s="10" t="s">
        <v>333</v>
      </c>
      <c r="G1160" s="4" t="s">
        <v>14</v>
      </c>
      <c r="H1160" s="4"/>
      <c r="I1160" s="4">
        <f t="shared" si="55"/>
        <v>1000</v>
      </c>
      <c r="J1160" s="4">
        <v>1000</v>
      </c>
      <c r="K1160" s="4">
        <f t="shared" si="53"/>
        <v>0</v>
      </c>
      <c r="L1160" s="1">
        <v>1000</v>
      </c>
      <c r="M1160" s="93">
        <f t="shared" si="54"/>
        <v>0</v>
      </c>
      <c r="N1160" s="2"/>
      <c r="O1160" s="97"/>
      <c r="P1160" s="52"/>
    </row>
    <row r="1161" spans="1:16" ht="40.950000000000003" customHeight="1" x14ac:dyDescent="0.3">
      <c r="A1161" s="4">
        <v>32</v>
      </c>
      <c r="B1161" s="149" t="s">
        <v>1295</v>
      </c>
      <c r="C1161" s="10"/>
      <c r="D1161" s="10"/>
      <c r="E1161" s="10"/>
      <c r="F1161" s="10" t="s">
        <v>1294</v>
      </c>
      <c r="G1161" s="4" t="s">
        <v>14</v>
      </c>
      <c r="H1161" s="4">
        <v>16</v>
      </c>
      <c r="I1161" s="4">
        <f t="shared" si="55"/>
        <v>879800</v>
      </c>
      <c r="J1161" s="4">
        <v>879800</v>
      </c>
      <c r="K1161" s="4">
        <f t="shared" si="53"/>
        <v>0</v>
      </c>
      <c r="L1161" s="1">
        <v>879800</v>
      </c>
      <c r="M1161" s="93">
        <f t="shared" si="54"/>
        <v>0</v>
      </c>
      <c r="N1161" s="2"/>
      <c r="O1161" s="97"/>
      <c r="P1161" s="52"/>
    </row>
    <row r="1162" spans="1:16" ht="40.950000000000003" customHeight="1" x14ac:dyDescent="0.3">
      <c r="A1162" s="4">
        <v>32</v>
      </c>
      <c r="B1162" s="10" t="s">
        <v>275</v>
      </c>
      <c r="C1162" s="10"/>
      <c r="D1162" s="10"/>
      <c r="E1162" s="10"/>
      <c r="F1162" s="10" t="s">
        <v>333</v>
      </c>
      <c r="G1162" s="4" t="s">
        <v>181</v>
      </c>
      <c r="H1162" s="4">
        <v>17</v>
      </c>
      <c r="I1162" s="4">
        <f t="shared" si="55"/>
        <v>61950</v>
      </c>
      <c r="J1162" s="4">
        <v>61950</v>
      </c>
      <c r="K1162" s="4">
        <f t="shared" si="53"/>
        <v>0</v>
      </c>
      <c r="L1162" s="1">
        <v>61950</v>
      </c>
      <c r="M1162" s="93">
        <f t="shared" si="54"/>
        <v>0</v>
      </c>
      <c r="N1162" s="2"/>
      <c r="O1162" s="97"/>
      <c r="P1162" s="52"/>
    </row>
    <row r="1163" spans="1:16" ht="40.950000000000003" customHeight="1" x14ac:dyDescent="0.3">
      <c r="A1163" s="4">
        <v>32</v>
      </c>
      <c r="B1163" s="10" t="s">
        <v>275</v>
      </c>
      <c r="C1163" s="10"/>
      <c r="D1163" s="10"/>
      <c r="E1163" s="10"/>
      <c r="F1163" s="10" t="s">
        <v>333</v>
      </c>
      <c r="G1163" s="4" t="s">
        <v>402</v>
      </c>
      <c r="H1163" s="4">
        <v>17</v>
      </c>
      <c r="I1163" s="4">
        <f t="shared" si="55"/>
        <v>26950</v>
      </c>
      <c r="J1163" s="4">
        <v>26950</v>
      </c>
      <c r="K1163" s="4">
        <f t="shared" si="53"/>
        <v>0</v>
      </c>
      <c r="L1163" s="1">
        <v>26950</v>
      </c>
      <c r="M1163" s="93">
        <f t="shared" si="54"/>
        <v>0</v>
      </c>
      <c r="N1163" s="2"/>
      <c r="O1163" s="97"/>
      <c r="P1163" s="52"/>
    </row>
    <row r="1164" spans="1:16" ht="40.950000000000003" customHeight="1" x14ac:dyDescent="0.3">
      <c r="A1164" s="4">
        <v>32</v>
      </c>
      <c r="B1164" s="10" t="s">
        <v>275</v>
      </c>
      <c r="C1164" s="10"/>
      <c r="D1164" s="10"/>
      <c r="E1164" s="10"/>
      <c r="F1164" s="10" t="s">
        <v>276</v>
      </c>
      <c r="G1164" s="4" t="s">
        <v>198</v>
      </c>
      <c r="H1164" s="4">
        <v>17</v>
      </c>
      <c r="I1164" s="4">
        <f t="shared" si="55"/>
        <v>10920</v>
      </c>
      <c r="J1164" s="4">
        <v>10920</v>
      </c>
      <c r="K1164" s="4">
        <f t="shared" si="53"/>
        <v>0</v>
      </c>
      <c r="L1164" s="1">
        <v>10920</v>
      </c>
      <c r="M1164" s="93">
        <f t="shared" si="54"/>
        <v>0</v>
      </c>
      <c r="N1164" s="2"/>
      <c r="O1164" s="97"/>
      <c r="P1164" s="52"/>
    </row>
    <row r="1165" spans="1:16" ht="40.950000000000003" customHeight="1" x14ac:dyDescent="0.3">
      <c r="A1165" s="4">
        <v>32</v>
      </c>
      <c r="B1165" s="10" t="s">
        <v>275</v>
      </c>
      <c r="C1165" s="10"/>
      <c r="D1165" s="10"/>
      <c r="E1165" s="10"/>
      <c r="F1165" s="10" t="s">
        <v>276</v>
      </c>
      <c r="G1165" s="4" t="s">
        <v>200</v>
      </c>
      <c r="H1165" s="4">
        <v>17</v>
      </c>
      <c r="I1165" s="4">
        <f t="shared" si="55"/>
        <v>19500</v>
      </c>
      <c r="J1165" s="4">
        <v>19500</v>
      </c>
      <c r="K1165" s="4">
        <f t="shared" si="53"/>
        <v>0</v>
      </c>
      <c r="L1165" s="1">
        <v>19500</v>
      </c>
      <c r="M1165" s="93">
        <f t="shared" si="54"/>
        <v>0</v>
      </c>
      <c r="N1165" s="2"/>
      <c r="O1165" s="97"/>
      <c r="P1165" s="52"/>
    </row>
    <row r="1166" spans="1:16" ht="40.950000000000003" customHeight="1" x14ac:dyDescent="0.3">
      <c r="A1166" s="4">
        <v>32</v>
      </c>
      <c r="B1166" s="10" t="s">
        <v>275</v>
      </c>
      <c r="C1166" s="10"/>
      <c r="D1166" s="10"/>
      <c r="E1166" s="10"/>
      <c r="F1166" s="10" t="s">
        <v>276</v>
      </c>
      <c r="G1166" s="4" t="s">
        <v>7</v>
      </c>
      <c r="H1166" s="4">
        <v>17</v>
      </c>
      <c r="I1166" s="4">
        <f t="shared" si="55"/>
        <v>50650</v>
      </c>
      <c r="J1166" s="4">
        <v>50650</v>
      </c>
      <c r="K1166" s="4">
        <f t="shared" ref="K1166:K1231" si="56">L1166-J1166</f>
        <v>0</v>
      </c>
      <c r="L1166" s="1">
        <v>50650</v>
      </c>
      <c r="M1166" s="93">
        <f t="shared" si="54"/>
        <v>0</v>
      </c>
      <c r="N1166" s="2"/>
      <c r="O1166" s="97"/>
      <c r="P1166" s="52"/>
    </row>
    <row r="1167" spans="1:16" ht="40.950000000000003" customHeight="1" x14ac:dyDescent="0.3">
      <c r="A1167" s="4">
        <v>32</v>
      </c>
      <c r="B1167" s="10" t="s">
        <v>275</v>
      </c>
      <c r="C1167" s="10"/>
      <c r="D1167" s="10"/>
      <c r="E1167" s="10"/>
      <c r="F1167" s="10" t="s">
        <v>276</v>
      </c>
      <c r="G1167" s="4" t="s">
        <v>8</v>
      </c>
      <c r="H1167" s="4">
        <v>17</v>
      </c>
      <c r="I1167" s="4">
        <f t="shared" si="55"/>
        <v>59463</v>
      </c>
      <c r="J1167" s="4">
        <v>59463</v>
      </c>
      <c r="K1167" s="4">
        <f t="shared" si="56"/>
        <v>0</v>
      </c>
      <c r="L1167" s="1">
        <v>59463</v>
      </c>
      <c r="M1167" s="93">
        <f t="shared" si="54"/>
        <v>0</v>
      </c>
      <c r="N1167" s="2"/>
      <c r="O1167" s="97"/>
      <c r="P1167" s="52"/>
    </row>
    <row r="1168" spans="1:16" ht="40.950000000000003" customHeight="1" x14ac:dyDescent="0.3">
      <c r="A1168" s="4">
        <v>32</v>
      </c>
      <c r="B1168" s="10" t="s">
        <v>275</v>
      </c>
      <c r="C1168" s="10"/>
      <c r="D1168" s="10"/>
      <c r="E1168" s="10"/>
      <c r="F1168" s="10" t="s">
        <v>276</v>
      </c>
      <c r="G1168" s="4" t="s">
        <v>70</v>
      </c>
      <c r="H1168" s="4">
        <v>17</v>
      </c>
      <c r="I1168" s="4">
        <f t="shared" si="55"/>
        <v>47580</v>
      </c>
      <c r="J1168" s="4">
        <v>47580</v>
      </c>
      <c r="K1168" s="4">
        <f t="shared" si="56"/>
        <v>0</v>
      </c>
      <c r="L1168" s="1">
        <v>47580</v>
      </c>
      <c r="M1168" s="93">
        <f t="shared" si="54"/>
        <v>0</v>
      </c>
      <c r="N1168" s="2"/>
      <c r="O1168" s="97"/>
      <c r="P1168" s="52"/>
    </row>
    <row r="1169" spans="1:16" ht="40.950000000000003" customHeight="1" x14ac:dyDescent="0.3">
      <c r="A1169" s="4">
        <v>32</v>
      </c>
      <c r="B1169" s="10" t="s">
        <v>275</v>
      </c>
      <c r="C1169" s="10"/>
      <c r="D1169" s="10"/>
      <c r="E1169" s="10"/>
      <c r="F1169" s="10" t="s">
        <v>276</v>
      </c>
      <c r="G1169" s="4" t="s">
        <v>90</v>
      </c>
      <c r="H1169" s="4">
        <v>17</v>
      </c>
      <c r="I1169" s="4">
        <f t="shared" si="55"/>
        <v>47700</v>
      </c>
      <c r="J1169" s="4">
        <v>47700</v>
      </c>
      <c r="K1169" s="4">
        <f t="shared" si="56"/>
        <v>0</v>
      </c>
      <c r="L1169" s="1">
        <v>47700</v>
      </c>
      <c r="M1169" s="93">
        <f t="shared" si="54"/>
        <v>0</v>
      </c>
      <c r="N1169" s="2"/>
      <c r="O1169" s="97"/>
      <c r="P1169" s="52"/>
    </row>
    <row r="1170" spans="1:16" ht="40.950000000000003" customHeight="1" x14ac:dyDescent="0.3">
      <c r="A1170" s="4">
        <v>32</v>
      </c>
      <c r="B1170" s="10" t="s">
        <v>275</v>
      </c>
      <c r="C1170" s="10"/>
      <c r="D1170" s="10"/>
      <c r="E1170" s="10"/>
      <c r="F1170" s="10" t="s">
        <v>276</v>
      </c>
      <c r="G1170" s="4" t="s">
        <v>48</v>
      </c>
      <c r="H1170" s="4">
        <v>17</v>
      </c>
      <c r="I1170" s="4">
        <f t="shared" si="55"/>
        <v>54350</v>
      </c>
      <c r="J1170" s="4">
        <v>54350</v>
      </c>
      <c r="K1170" s="4">
        <f t="shared" si="56"/>
        <v>0</v>
      </c>
      <c r="L1170" s="1">
        <v>54350</v>
      </c>
      <c r="M1170" s="93">
        <f t="shared" si="54"/>
        <v>0</v>
      </c>
      <c r="N1170" s="2"/>
      <c r="O1170" s="97"/>
      <c r="P1170" s="52"/>
    </row>
    <row r="1171" spans="1:16" ht="40.950000000000003" customHeight="1" x14ac:dyDescent="0.3">
      <c r="A1171" s="4">
        <v>32</v>
      </c>
      <c r="B1171" s="10" t="s">
        <v>275</v>
      </c>
      <c r="C1171" s="10"/>
      <c r="D1171" s="10"/>
      <c r="E1171" s="10"/>
      <c r="F1171" s="10" t="s">
        <v>276</v>
      </c>
      <c r="G1171" s="4" t="s">
        <v>389</v>
      </c>
      <c r="H1171" s="4">
        <v>17</v>
      </c>
      <c r="I1171" s="4">
        <f t="shared" si="55"/>
        <v>46800</v>
      </c>
      <c r="J1171" s="4">
        <v>46800</v>
      </c>
      <c r="K1171" s="4">
        <f t="shared" si="56"/>
        <v>0</v>
      </c>
      <c r="L1171" s="1">
        <v>46800</v>
      </c>
      <c r="M1171" s="93">
        <f t="shared" si="54"/>
        <v>0</v>
      </c>
      <c r="N1171" s="2"/>
      <c r="O1171" s="97"/>
      <c r="P1171" s="52"/>
    </row>
    <row r="1172" spans="1:16" ht="40.950000000000003" customHeight="1" x14ac:dyDescent="0.3">
      <c r="A1172" s="4">
        <v>32</v>
      </c>
      <c r="B1172" s="10" t="s">
        <v>275</v>
      </c>
      <c r="C1172" s="10"/>
      <c r="D1172" s="10"/>
      <c r="E1172" s="10"/>
      <c r="F1172" s="10" t="s">
        <v>276</v>
      </c>
      <c r="G1172" s="4" t="s">
        <v>50</v>
      </c>
      <c r="H1172" s="4">
        <v>17</v>
      </c>
      <c r="I1172" s="4">
        <f t="shared" si="55"/>
        <v>43200</v>
      </c>
      <c r="J1172" s="4">
        <v>43200</v>
      </c>
      <c r="K1172" s="4">
        <f t="shared" si="56"/>
        <v>0</v>
      </c>
      <c r="L1172" s="1">
        <v>43200</v>
      </c>
      <c r="M1172" s="93">
        <f t="shared" si="54"/>
        <v>0</v>
      </c>
      <c r="N1172" s="2"/>
      <c r="O1172" s="97"/>
      <c r="P1172" s="52"/>
    </row>
    <row r="1173" spans="1:16" ht="40.950000000000003" customHeight="1" x14ac:dyDescent="0.3">
      <c r="A1173" s="4">
        <v>32</v>
      </c>
      <c r="B1173" s="10" t="s">
        <v>275</v>
      </c>
      <c r="C1173" s="10"/>
      <c r="D1173" s="10"/>
      <c r="E1173" s="10"/>
      <c r="F1173" s="10" t="s">
        <v>276</v>
      </c>
      <c r="G1173" s="4" t="s">
        <v>51</v>
      </c>
      <c r="H1173" s="4">
        <v>17</v>
      </c>
      <c r="I1173" s="4">
        <f t="shared" si="55"/>
        <v>58900</v>
      </c>
      <c r="J1173" s="4">
        <v>58900</v>
      </c>
      <c r="K1173" s="4">
        <f t="shared" si="56"/>
        <v>0</v>
      </c>
      <c r="L1173" s="1">
        <v>58900</v>
      </c>
      <c r="M1173" s="93">
        <f t="shared" si="54"/>
        <v>0</v>
      </c>
      <c r="N1173" s="2"/>
      <c r="O1173" s="97"/>
      <c r="P1173" s="52"/>
    </row>
    <row r="1174" spans="1:16" ht="40.950000000000003" customHeight="1" x14ac:dyDescent="0.3">
      <c r="A1174" s="4">
        <v>32</v>
      </c>
      <c r="B1174" s="10" t="s">
        <v>275</v>
      </c>
      <c r="C1174" s="10"/>
      <c r="D1174" s="10"/>
      <c r="E1174" s="10"/>
      <c r="F1174" s="10" t="s">
        <v>276</v>
      </c>
      <c r="G1174" s="4" t="s">
        <v>85</v>
      </c>
      <c r="H1174" s="4">
        <v>17</v>
      </c>
      <c r="I1174" s="4">
        <f t="shared" si="55"/>
        <v>46800</v>
      </c>
      <c r="J1174" s="4">
        <v>46800</v>
      </c>
      <c r="K1174" s="4">
        <f t="shared" si="56"/>
        <v>0</v>
      </c>
      <c r="L1174" s="1">
        <v>46800</v>
      </c>
      <c r="M1174" s="93">
        <f t="shared" si="54"/>
        <v>0</v>
      </c>
      <c r="N1174" s="2"/>
      <c r="O1174" s="97"/>
      <c r="P1174" s="52"/>
    </row>
    <row r="1175" spans="1:16" ht="40.950000000000003" customHeight="1" x14ac:dyDescent="0.3">
      <c r="A1175" s="4">
        <v>32</v>
      </c>
      <c r="B1175" s="10" t="s">
        <v>275</v>
      </c>
      <c r="C1175" s="10"/>
      <c r="D1175" s="10"/>
      <c r="E1175" s="10"/>
      <c r="F1175" s="10" t="s">
        <v>276</v>
      </c>
      <c r="G1175" s="4" t="s">
        <v>253</v>
      </c>
      <c r="H1175" s="4">
        <v>17</v>
      </c>
      <c r="I1175" s="4">
        <f t="shared" si="55"/>
        <v>58500</v>
      </c>
      <c r="J1175" s="4">
        <v>58500</v>
      </c>
      <c r="K1175" s="4">
        <f t="shared" si="56"/>
        <v>0</v>
      </c>
      <c r="L1175" s="1">
        <v>58500</v>
      </c>
      <c r="M1175" s="93">
        <f t="shared" si="54"/>
        <v>0</v>
      </c>
      <c r="N1175" s="2"/>
      <c r="O1175" s="97"/>
      <c r="P1175" s="52"/>
    </row>
    <row r="1176" spans="1:16" ht="40.950000000000003" customHeight="1" x14ac:dyDescent="0.3">
      <c r="A1176" s="4">
        <v>32</v>
      </c>
      <c r="B1176" s="10" t="s">
        <v>275</v>
      </c>
      <c r="C1176" s="10"/>
      <c r="D1176" s="10"/>
      <c r="E1176" s="10"/>
      <c r="F1176" s="10" t="s">
        <v>276</v>
      </c>
      <c r="G1176" s="4" t="s">
        <v>280</v>
      </c>
      <c r="H1176" s="4">
        <v>17</v>
      </c>
      <c r="I1176" s="4">
        <f t="shared" si="55"/>
        <v>38337</v>
      </c>
      <c r="J1176" s="4">
        <v>38337</v>
      </c>
      <c r="K1176" s="4">
        <f t="shared" si="56"/>
        <v>0</v>
      </c>
      <c r="L1176" s="1">
        <v>38337</v>
      </c>
      <c r="M1176" s="93">
        <f t="shared" si="54"/>
        <v>0</v>
      </c>
      <c r="N1176" s="2"/>
      <c r="O1176" s="97"/>
      <c r="P1176" s="52"/>
    </row>
    <row r="1177" spans="1:16" ht="40.950000000000003" customHeight="1" x14ac:dyDescent="0.3">
      <c r="A1177" s="4">
        <v>32</v>
      </c>
      <c r="B1177" s="10" t="s">
        <v>275</v>
      </c>
      <c r="C1177" s="10"/>
      <c r="D1177" s="10"/>
      <c r="E1177" s="10"/>
      <c r="F1177" s="10" t="s">
        <v>276</v>
      </c>
      <c r="G1177" s="4" t="s">
        <v>9</v>
      </c>
      <c r="H1177" s="4">
        <v>17</v>
      </c>
      <c r="I1177" s="4">
        <f t="shared" si="55"/>
        <v>51000</v>
      </c>
      <c r="J1177" s="4">
        <v>51000</v>
      </c>
      <c r="K1177" s="4">
        <f t="shared" si="56"/>
        <v>0</v>
      </c>
      <c r="L1177" s="1">
        <v>51000</v>
      </c>
      <c r="M1177" s="93">
        <f t="shared" si="54"/>
        <v>0</v>
      </c>
      <c r="N1177" s="2"/>
      <c r="O1177" s="97"/>
      <c r="P1177" s="52"/>
    </row>
    <row r="1178" spans="1:16" ht="40.950000000000003" customHeight="1" x14ac:dyDescent="0.3">
      <c r="A1178" s="4">
        <v>32</v>
      </c>
      <c r="B1178" s="10" t="s">
        <v>275</v>
      </c>
      <c r="C1178" s="10"/>
      <c r="D1178" s="10"/>
      <c r="E1178" s="10"/>
      <c r="F1178" s="10" t="s">
        <v>276</v>
      </c>
      <c r="G1178" s="4" t="s">
        <v>11</v>
      </c>
      <c r="H1178" s="4">
        <v>17</v>
      </c>
      <c r="I1178" s="4">
        <f t="shared" si="55"/>
        <v>51000</v>
      </c>
      <c r="J1178" s="4">
        <v>51000</v>
      </c>
      <c r="K1178" s="4">
        <f t="shared" si="56"/>
        <v>0</v>
      </c>
      <c r="L1178" s="1">
        <v>51000</v>
      </c>
      <c r="M1178" s="93">
        <f t="shared" si="54"/>
        <v>0</v>
      </c>
      <c r="N1178" s="2"/>
      <c r="O1178" s="97"/>
      <c r="P1178" s="52"/>
    </row>
    <row r="1179" spans="1:16" ht="40.950000000000003" customHeight="1" x14ac:dyDescent="0.3">
      <c r="A1179" s="4">
        <v>32</v>
      </c>
      <c r="B1179" s="10" t="s">
        <v>275</v>
      </c>
      <c r="C1179" s="10"/>
      <c r="D1179" s="10"/>
      <c r="E1179" s="10"/>
      <c r="F1179" s="10" t="s">
        <v>276</v>
      </c>
      <c r="G1179" s="4" t="s">
        <v>22</v>
      </c>
      <c r="H1179" s="4">
        <v>17</v>
      </c>
      <c r="I1179" s="4">
        <f t="shared" si="55"/>
        <v>46800</v>
      </c>
      <c r="J1179" s="4">
        <v>46800</v>
      </c>
      <c r="K1179" s="4">
        <f t="shared" si="56"/>
        <v>0</v>
      </c>
      <c r="L1179" s="1">
        <v>46800</v>
      </c>
      <c r="M1179" s="93">
        <f t="shared" si="54"/>
        <v>0</v>
      </c>
      <c r="N1179" s="2"/>
      <c r="O1179" s="97"/>
      <c r="P1179" s="52"/>
    </row>
    <row r="1180" spans="1:16" ht="40.950000000000003" customHeight="1" x14ac:dyDescent="0.3">
      <c r="A1180" s="4">
        <v>32</v>
      </c>
      <c r="B1180" s="10" t="s">
        <v>275</v>
      </c>
      <c r="C1180" s="10"/>
      <c r="D1180" s="10"/>
      <c r="E1180" s="10"/>
      <c r="F1180" s="10" t="s">
        <v>276</v>
      </c>
      <c r="G1180" s="4" t="s">
        <v>143</v>
      </c>
      <c r="H1180" s="4">
        <v>17</v>
      </c>
      <c r="I1180" s="4">
        <f t="shared" si="55"/>
        <v>2100</v>
      </c>
      <c r="J1180" s="4">
        <v>2100</v>
      </c>
      <c r="K1180" s="4">
        <f t="shared" si="56"/>
        <v>0</v>
      </c>
      <c r="L1180" s="1">
        <v>2100</v>
      </c>
      <c r="M1180" s="93">
        <f t="shared" si="54"/>
        <v>0</v>
      </c>
      <c r="N1180" s="2"/>
      <c r="O1180" s="97"/>
      <c r="P1180" s="52"/>
    </row>
    <row r="1181" spans="1:16" ht="40.950000000000003" customHeight="1" x14ac:dyDescent="0.3">
      <c r="A1181" s="4">
        <v>32</v>
      </c>
      <c r="B1181" s="10" t="s">
        <v>275</v>
      </c>
      <c r="C1181" s="10"/>
      <c r="D1181" s="10"/>
      <c r="E1181" s="10"/>
      <c r="F1181" s="10" t="s">
        <v>276</v>
      </c>
      <c r="G1181" s="4" t="s">
        <v>122</v>
      </c>
      <c r="H1181" s="4">
        <v>17</v>
      </c>
      <c r="I1181" s="4">
        <f t="shared" si="55"/>
        <v>2100</v>
      </c>
      <c r="J1181" s="4">
        <v>2100</v>
      </c>
      <c r="K1181" s="4">
        <f t="shared" si="56"/>
        <v>0</v>
      </c>
      <c r="L1181" s="1">
        <v>2100</v>
      </c>
      <c r="M1181" s="93">
        <f t="shared" si="54"/>
        <v>0</v>
      </c>
      <c r="N1181" s="2"/>
      <c r="O1181" s="97"/>
      <c r="P1181" s="52"/>
    </row>
    <row r="1182" spans="1:16" ht="40.950000000000003" customHeight="1" x14ac:dyDescent="0.3">
      <c r="A1182" s="4">
        <v>32</v>
      </c>
      <c r="B1182" s="10" t="s">
        <v>275</v>
      </c>
      <c r="C1182" s="10"/>
      <c r="D1182" s="10"/>
      <c r="E1182" s="10"/>
      <c r="F1182" s="10" t="s">
        <v>276</v>
      </c>
      <c r="G1182" s="4" t="s">
        <v>39</v>
      </c>
      <c r="H1182" s="4">
        <v>17</v>
      </c>
      <c r="I1182" s="4">
        <f t="shared" si="55"/>
        <v>4200</v>
      </c>
      <c r="J1182" s="4">
        <v>4200</v>
      </c>
      <c r="K1182" s="4">
        <f t="shared" si="56"/>
        <v>0</v>
      </c>
      <c r="L1182" s="1">
        <v>4200</v>
      </c>
      <c r="M1182" s="93">
        <f t="shared" si="54"/>
        <v>0</v>
      </c>
      <c r="N1182" s="2"/>
      <c r="O1182" s="97"/>
      <c r="P1182" s="52"/>
    </row>
    <row r="1183" spans="1:16" ht="40.950000000000003" customHeight="1" x14ac:dyDescent="0.3">
      <c r="A1183" s="4">
        <v>32</v>
      </c>
      <c r="B1183" s="10" t="s">
        <v>275</v>
      </c>
      <c r="C1183" s="10"/>
      <c r="D1183" s="10"/>
      <c r="E1183" s="10"/>
      <c r="F1183" s="10" t="s">
        <v>276</v>
      </c>
      <c r="G1183" s="4" t="s">
        <v>114</v>
      </c>
      <c r="H1183" s="4">
        <v>17</v>
      </c>
      <c r="I1183" s="4">
        <f t="shared" si="55"/>
        <v>51000</v>
      </c>
      <c r="J1183" s="4">
        <v>51000</v>
      </c>
      <c r="K1183" s="4">
        <f t="shared" si="56"/>
        <v>0</v>
      </c>
      <c r="L1183" s="1">
        <v>51000</v>
      </c>
      <c r="M1183" s="93">
        <f t="shared" si="54"/>
        <v>0</v>
      </c>
      <c r="N1183" s="2"/>
      <c r="O1183" s="97"/>
      <c r="P1183" s="52"/>
    </row>
    <row r="1184" spans="1:16" ht="40.950000000000003" customHeight="1" x14ac:dyDescent="0.3">
      <c r="A1184" s="4">
        <v>33</v>
      </c>
      <c r="B1184" s="10" t="s">
        <v>211</v>
      </c>
      <c r="C1184" s="10" t="s">
        <v>328</v>
      </c>
      <c r="D1184" s="10" t="s">
        <v>306</v>
      </c>
      <c r="E1184" s="10">
        <v>35579</v>
      </c>
      <c r="F1184" s="10" t="s">
        <v>115</v>
      </c>
      <c r="G1184" s="4" t="s">
        <v>181</v>
      </c>
      <c r="H1184" s="4"/>
      <c r="I1184" s="4">
        <f t="shared" si="55"/>
        <v>103170</v>
      </c>
      <c r="J1184" s="4">
        <v>103170</v>
      </c>
      <c r="K1184" s="4">
        <f t="shared" si="56"/>
        <v>0</v>
      </c>
      <c r="L1184" s="1">
        <v>103170</v>
      </c>
      <c r="M1184" s="93">
        <f t="shared" si="54"/>
        <v>0</v>
      </c>
      <c r="N1184" s="12"/>
      <c r="O1184" s="98"/>
      <c r="P1184" s="53"/>
    </row>
    <row r="1185" spans="1:16" ht="40.950000000000003" customHeight="1" x14ac:dyDescent="0.3">
      <c r="A1185" s="4">
        <v>33</v>
      </c>
      <c r="B1185" s="10" t="s">
        <v>211</v>
      </c>
      <c r="C1185" s="10" t="s">
        <v>328</v>
      </c>
      <c r="D1185" s="10" t="s">
        <v>306</v>
      </c>
      <c r="E1185" s="10">
        <v>35579</v>
      </c>
      <c r="F1185" s="10" t="s">
        <v>115</v>
      </c>
      <c r="G1185" s="4" t="s">
        <v>198</v>
      </c>
      <c r="H1185" s="4"/>
      <c r="I1185" s="4">
        <f t="shared" si="55"/>
        <v>69540</v>
      </c>
      <c r="J1185" s="4">
        <v>69540</v>
      </c>
      <c r="K1185" s="4">
        <f t="shared" si="56"/>
        <v>0</v>
      </c>
      <c r="L1185" s="1">
        <v>69540</v>
      </c>
      <c r="M1185" s="93">
        <f t="shared" si="54"/>
        <v>0</v>
      </c>
      <c r="N1185" s="12"/>
      <c r="O1185" s="98"/>
      <c r="P1185" s="53"/>
    </row>
    <row r="1186" spans="1:16" ht="40.950000000000003" customHeight="1" x14ac:dyDescent="0.3">
      <c r="A1186" s="4">
        <v>33</v>
      </c>
      <c r="B1186" s="10" t="s">
        <v>211</v>
      </c>
      <c r="C1186" s="10" t="s">
        <v>328</v>
      </c>
      <c r="D1186" s="10" t="s">
        <v>306</v>
      </c>
      <c r="E1186" s="10">
        <v>35579</v>
      </c>
      <c r="F1186" s="10" t="s">
        <v>115</v>
      </c>
      <c r="G1186" s="4" t="s">
        <v>200</v>
      </c>
      <c r="H1186" s="4"/>
      <c r="I1186" s="4">
        <f t="shared" si="55"/>
        <v>16530</v>
      </c>
      <c r="J1186" s="4">
        <v>16530</v>
      </c>
      <c r="K1186" s="4">
        <f t="shared" si="56"/>
        <v>0</v>
      </c>
      <c r="L1186" s="1">
        <v>16530</v>
      </c>
      <c r="M1186" s="93">
        <f t="shared" si="54"/>
        <v>0</v>
      </c>
      <c r="N1186" s="12"/>
      <c r="O1186" s="98"/>
      <c r="P1186" s="53"/>
    </row>
    <row r="1187" spans="1:16" ht="40.950000000000003" customHeight="1" x14ac:dyDescent="0.3">
      <c r="A1187" s="4">
        <v>33</v>
      </c>
      <c r="B1187" s="10" t="s">
        <v>211</v>
      </c>
      <c r="C1187" s="10" t="s">
        <v>328</v>
      </c>
      <c r="D1187" s="10" t="s">
        <v>306</v>
      </c>
      <c r="E1187" s="10">
        <v>35579</v>
      </c>
      <c r="F1187" s="10" t="s">
        <v>115</v>
      </c>
      <c r="G1187" s="4" t="s">
        <v>8</v>
      </c>
      <c r="H1187" s="4"/>
      <c r="I1187" s="4">
        <f t="shared" si="55"/>
        <v>84930</v>
      </c>
      <c r="J1187" s="4">
        <v>84930</v>
      </c>
      <c r="K1187" s="4">
        <f t="shared" si="56"/>
        <v>0</v>
      </c>
      <c r="L1187" s="1">
        <v>84930</v>
      </c>
      <c r="M1187" s="93">
        <f t="shared" si="54"/>
        <v>0</v>
      </c>
      <c r="N1187" s="12"/>
      <c r="O1187" s="98"/>
      <c r="P1187" s="53"/>
    </row>
    <row r="1188" spans="1:16" ht="40.950000000000003" customHeight="1" x14ac:dyDescent="0.3">
      <c r="A1188" s="4">
        <v>33</v>
      </c>
      <c r="B1188" s="10" t="s">
        <v>211</v>
      </c>
      <c r="C1188" s="10" t="s">
        <v>328</v>
      </c>
      <c r="D1188" s="10" t="s">
        <v>306</v>
      </c>
      <c r="E1188" s="10">
        <v>35579</v>
      </c>
      <c r="F1188" s="10" t="s">
        <v>115</v>
      </c>
      <c r="G1188" s="4" t="s">
        <v>70</v>
      </c>
      <c r="H1188" s="4"/>
      <c r="I1188" s="4">
        <f t="shared" si="55"/>
        <v>17100</v>
      </c>
      <c r="J1188" s="4">
        <v>17100</v>
      </c>
      <c r="K1188" s="4">
        <f t="shared" si="56"/>
        <v>0</v>
      </c>
      <c r="L1188" s="1">
        <v>17100</v>
      </c>
      <c r="M1188" s="93">
        <f t="shared" si="54"/>
        <v>0</v>
      </c>
      <c r="N1188" s="12"/>
      <c r="O1188" s="98"/>
      <c r="P1188" s="53"/>
    </row>
    <row r="1189" spans="1:16" ht="40.950000000000003" customHeight="1" x14ac:dyDescent="0.3">
      <c r="A1189" s="4">
        <v>33</v>
      </c>
      <c r="B1189" s="10" t="s">
        <v>211</v>
      </c>
      <c r="C1189" s="10" t="s">
        <v>328</v>
      </c>
      <c r="D1189" s="10" t="s">
        <v>306</v>
      </c>
      <c r="E1189" s="10">
        <v>35579</v>
      </c>
      <c r="F1189" s="10" t="s">
        <v>115</v>
      </c>
      <c r="G1189" s="4" t="s">
        <v>90</v>
      </c>
      <c r="H1189" s="4"/>
      <c r="I1189" s="4">
        <f t="shared" si="55"/>
        <v>69540</v>
      </c>
      <c r="J1189" s="4">
        <v>69540</v>
      </c>
      <c r="K1189" s="4">
        <f t="shared" si="56"/>
        <v>0</v>
      </c>
      <c r="L1189" s="1">
        <v>69540</v>
      </c>
      <c r="M1189" s="93">
        <f t="shared" si="54"/>
        <v>0</v>
      </c>
      <c r="N1189" s="12"/>
      <c r="O1189" s="98"/>
      <c r="P1189" s="53"/>
    </row>
    <row r="1190" spans="1:16" ht="40.950000000000003" customHeight="1" x14ac:dyDescent="0.3">
      <c r="A1190" s="4">
        <v>33</v>
      </c>
      <c r="B1190" s="10" t="s">
        <v>211</v>
      </c>
      <c r="C1190" s="10" t="s">
        <v>328</v>
      </c>
      <c r="D1190" s="10" t="s">
        <v>306</v>
      </c>
      <c r="E1190" s="10">
        <v>35579</v>
      </c>
      <c r="F1190" s="10" t="s">
        <v>115</v>
      </c>
      <c r="G1190" s="4" t="s">
        <v>48</v>
      </c>
      <c r="H1190" s="4"/>
      <c r="I1190" s="4">
        <f t="shared" si="55"/>
        <v>53010</v>
      </c>
      <c r="J1190" s="4">
        <v>53010</v>
      </c>
      <c r="K1190" s="4">
        <f t="shared" si="56"/>
        <v>0</v>
      </c>
      <c r="L1190" s="1">
        <v>53010</v>
      </c>
      <c r="M1190" s="93">
        <f t="shared" si="54"/>
        <v>0</v>
      </c>
      <c r="N1190" s="12"/>
      <c r="O1190" s="98"/>
      <c r="P1190" s="53"/>
    </row>
    <row r="1191" spans="1:16" ht="40.950000000000003" customHeight="1" x14ac:dyDescent="0.3">
      <c r="A1191" s="4">
        <v>33</v>
      </c>
      <c r="B1191" s="10" t="s">
        <v>211</v>
      </c>
      <c r="C1191" s="10" t="s">
        <v>328</v>
      </c>
      <c r="D1191" s="10" t="s">
        <v>306</v>
      </c>
      <c r="E1191" s="10">
        <v>35579</v>
      </c>
      <c r="F1191" s="10" t="s">
        <v>115</v>
      </c>
      <c r="G1191" s="4" t="s">
        <v>49</v>
      </c>
      <c r="H1191" s="4"/>
      <c r="I1191" s="4">
        <f t="shared" si="55"/>
        <v>75810</v>
      </c>
      <c r="J1191" s="4">
        <v>75810</v>
      </c>
      <c r="K1191" s="4">
        <f t="shared" si="56"/>
        <v>0</v>
      </c>
      <c r="L1191" s="1">
        <v>75810</v>
      </c>
      <c r="M1191" s="93">
        <f t="shared" si="54"/>
        <v>0</v>
      </c>
      <c r="N1191" s="12"/>
      <c r="O1191" s="98"/>
      <c r="P1191" s="53"/>
    </row>
    <row r="1192" spans="1:16" ht="40.950000000000003" customHeight="1" x14ac:dyDescent="0.3">
      <c r="A1192" s="4">
        <v>33</v>
      </c>
      <c r="B1192" s="10" t="s">
        <v>211</v>
      </c>
      <c r="C1192" s="10" t="s">
        <v>328</v>
      </c>
      <c r="D1192" s="10" t="s">
        <v>306</v>
      </c>
      <c r="E1192" s="10">
        <v>35579</v>
      </c>
      <c r="F1192" s="10" t="s">
        <v>115</v>
      </c>
      <c r="G1192" s="4" t="s">
        <v>50</v>
      </c>
      <c r="H1192" s="4"/>
      <c r="I1192" s="4">
        <f t="shared" si="55"/>
        <v>24510</v>
      </c>
      <c r="J1192" s="4">
        <v>24510</v>
      </c>
      <c r="K1192" s="4">
        <f t="shared" si="56"/>
        <v>0</v>
      </c>
      <c r="L1192" s="1">
        <v>24510</v>
      </c>
      <c r="M1192" s="93">
        <f t="shared" si="54"/>
        <v>0</v>
      </c>
      <c r="N1192" s="12"/>
      <c r="O1192" s="98"/>
      <c r="P1192" s="53"/>
    </row>
    <row r="1193" spans="1:16" ht="40.950000000000003" customHeight="1" x14ac:dyDescent="0.3">
      <c r="A1193" s="4">
        <v>33</v>
      </c>
      <c r="B1193" s="10" t="s">
        <v>211</v>
      </c>
      <c r="C1193" s="10" t="s">
        <v>328</v>
      </c>
      <c r="D1193" s="10" t="s">
        <v>306</v>
      </c>
      <c r="E1193" s="10">
        <v>35579</v>
      </c>
      <c r="F1193" s="10" t="s">
        <v>115</v>
      </c>
      <c r="G1193" s="4" t="s">
        <v>51</v>
      </c>
      <c r="H1193" s="4"/>
      <c r="I1193" s="4">
        <f t="shared" si="55"/>
        <v>198465</v>
      </c>
      <c r="J1193" s="4">
        <v>198465</v>
      </c>
      <c r="K1193" s="4">
        <f t="shared" si="56"/>
        <v>0</v>
      </c>
      <c r="L1193" s="1">
        <v>198465</v>
      </c>
      <c r="M1193" s="93">
        <f t="shared" si="54"/>
        <v>0</v>
      </c>
      <c r="N1193" s="12"/>
      <c r="O1193" s="98"/>
      <c r="P1193" s="53"/>
    </row>
    <row r="1194" spans="1:16" ht="40.950000000000003" customHeight="1" x14ac:dyDescent="0.3">
      <c r="A1194" s="4">
        <v>33</v>
      </c>
      <c r="B1194" s="10" t="s">
        <v>211</v>
      </c>
      <c r="C1194" s="10" t="s">
        <v>328</v>
      </c>
      <c r="D1194" s="10" t="s">
        <v>306</v>
      </c>
      <c r="E1194" s="10">
        <v>35579</v>
      </c>
      <c r="F1194" s="10" t="s">
        <v>115</v>
      </c>
      <c r="G1194" s="4" t="s">
        <v>39</v>
      </c>
      <c r="H1194" s="4"/>
      <c r="I1194" s="4">
        <f t="shared" si="55"/>
        <v>51870</v>
      </c>
      <c r="J1194" s="4">
        <v>51870</v>
      </c>
      <c r="K1194" s="4">
        <f t="shared" si="56"/>
        <v>0</v>
      </c>
      <c r="L1194" s="1">
        <v>51870</v>
      </c>
      <c r="M1194" s="93">
        <f t="shared" si="54"/>
        <v>0</v>
      </c>
      <c r="N1194" s="12"/>
      <c r="O1194" s="98"/>
      <c r="P1194" s="53"/>
    </row>
    <row r="1195" spans="1:16" ht="40.950000000000003" customHeight="1" x14ac:dyDescent="0.3">
      <c r="A1195" s="4">
        <v>33</v>
      </c>
      <c r="B1195" s="10" t="s">
        <v>211</v>
      </c>
      <c r="C1195" s="10" t="s">
        <v>328</v>
      </c>
      <c r="D1195" s="10" t="s">
        <v>306</v>
      </c>
      <c r="E1195" s="10">
        <v>35579</v>
      </c>
      <c r="F1195" s="10" t="s">
        <v>115</v>
      </c>
      <c r="G1195" s="4" t="s">
        <v>114</v>
      </c>
      <c r="H1195" s="4"/>
      <c r="I1195" s="4">
        <f t="shared" si="55"/>
        <v>287280</v>
      </c>
      <c r="J1195" s="4">
        <v>287280</v>
      </c>
      <c r="K1195" s="4">
        <f t="shared" si="56"/>
        <v>0</v>
      </c>
      <c r="L1195" s="1">
        <v>287280</v>
      </c>
      <c r="M1195" s="93">
        <f t="shared" si="54"/>
        <v>0</v>
      </c>
      <c r="N1195" s="12"/>
      <c r="O1195" s="98"/>
      <c r="P1195" s="53"/>
    </row>
    <row r="1196" spans="1:16" ht="40.950000000000003" customHeight="1" x14ac:dyDescent="0.3">
      <c r="A1196" s="4">
        <v>33</v>
      </c>
      <c r="B1196" s="10" t="s">
        <v>211</v>
      </c>
      <c r="C1196" s="10" t="s">
        <v>328</v>
      </c>
      <c r="D1196" s="10" t="s">
        <v>306</v>
      </c>
      <c r="E1196" s="10">
        <v>35579</v>
      </c>
      <c r="F1196" s="10" t="s">
        <v>115</v>
      </c>
      <c r="G1196" s="4" t="s">
        <v>85</v>
      </c>
      <c r="H1196" s="4"/>
      <c r="I1196" s="4">
        <f t="shared" si="55"/>
        <v>206875</v>
      </c>
      <c r="J1196" s="4">
        <v>206875</v>
      </c>
      <c r="K1196" s="4">
        <f t="shared" si="56"/>
        <v>0</v>
      </c>
      <c r="L1196" s="1">
        <v>206875</v>
      </c>
      <c r="M1196" s="93">
        <f t="shared" si="54"/>
        <v>0</v>
      </c>
      <c r="N1196" s="12"/>
      <c r="O1196" s="98"/>
      <c r="P1196" s="53"/>
    </row>
    <row r="1197" spans="1:16" ht="40.950000000000003" customHeight="1" x14ac:dyDescent="0.3">
      <c r="A1197" s="4">
        <v>33</v>
      </c>
      <c r="B1197" s="10" t="s">
        <v>211</v>
      </c>
      <c r="C1197" s="10" t="s">
        <v>328</v>
      </c>
      <c r="D1197" s="10" t="s">
        <v>306</v>
      </c>
      <c r="E1197" s="10">
        <v>35579</v>
      </c>
      <c r="F1197" s="10" t="s">
        <v>115</v>
      </c>
      <c r="G1197" s="4" t="s">
        <v>128</v>
      </c>
      <c r="H1197" s="4"/>
      <c r="I1197" s="4">
        <f t="shared" si="55"/>
        <v>140220</v>
      </c>
      <c r="J1197" s="4">
        <v>140220</v>
      </c>
      <c r="K1197" s="4">
        <f t="shared" si="56"/>
        <v>0</v>
      </c>
      <c r="L1197" s="1">
        <v>140220</v>
      </c>
      <c r="M1197" s="93">
        <f t="shared" si="54"/>
        <v>0</v>
      </c>
      <c r="N1197" s="12"/>
      <c r="O1197" s="98"/>
      <c r="P1197" s="53"/>
    </row>
    <row r="1198" spans="1:16" ht="40.950000000000003" customHeight="1" x14ac:dyDescent="0.3">
      <c r="A1198" s="4">
        <v>33</v>
      </c>
      <c r="B1198" s="10" t="s">
        <v>211</v>
      </c>
      <c r="C1198" s="10" t="s">
        <v>328</v>
      </c>
      <c r="D1198" s="10" t="s">
        <v>306</v>
      </c>
      <c r="E1198" s="10">
        <v>35579</v>
      </c>
      <c r="F1198" s="10" t="s">
        <v>115</v>
      </c>
      <c r="G1198" s="4" t="s">
        <v>64</v>
      </c>
      <c r="H1198" s="4"/>
      <c r="I1198" s="4">
        <f t="shared" si="55"/>
        <v>160170</v>
      </c>
      <c r="J1198" s="4">
        <v>160170</v>
      </c>
      <c r="K1198" s="4">
        <f t="shared" si="56"/>
        <v>0</v>
      </c>
      <c r="L1198" s="1">
        <v>160170</v>
      </c>
      <c r="M1198" s="93">
        <f t="shared" si="54"/>
        <v>0</v>
      </c>
      <c r="N1198" s="12"/>
      <c r="O1198" s="98"/>
      <c r="P1198" s="53"/>
    </row>
    <row r="1199" spans="1:16" ht="40.950000000000003" customHeight="1" x14ac:dyDescent="0.3">
      <c r="A1199" s="4">
        <v>33</v>
      </c>
      <c r="B1199" s="10" t="s">
        <v>211</v>
      </c>
      <c r="C1199" s="10" t="s">
        <v>328</v>
      </c>
      <c r="D1199" s="10" t="s">
        <v>306</v>
      </c>
      <c r="E1199" s="10">
        <v>35579</v>
      </c>
      <c r="F1199" s="10" t="s">
        <v>115</v>
      </c>
      <c r="G1199" s="4" t="s">
        <v>122</v>
      </c>
      <c r="H1199" s="4"/>
      <c r="I1199" s="4">
        <f t="shared" si="55"/>
        <v>204405</v>
      </c>
      <c r="J1199" s="4">
        <v>204405</v>
      </c>
      <c r="K1199" s="4">
        <f t="shared" si="56"/>
        <v>0</v>
      </c>
      <c r="L1199" s="1">
        <v>204405</v>
      </c>
      <c r="M1199" s="93">
        <f t="shared" si="54"/>
        <v>0</v>
      </c>
      <c r="N1199" s="12"/>
      <c r="O1199" s="98"/>
      <c r="P1199" s="53"/>
    </row>
    <row r="1200" spans="1:16" ht="40.950000000000003" customHeight="1" x14ac:dyDescent="0.3">
      <c r="A1200" s="4">
        <v>33</v>
      </c>
      <c r="B1200" s="10" t="s">
        <v>211</v>
      </c>
      <c r="C1200" s="10" t="s">
        <v>328</v>
      </c>
      <c r="D1200" s="10" t="s">
        <v>306</v>
      </c>
      <c r="E1200" s="10">
        <v>35579</v>
      </c>
      <c r="F1200" s="10" t="s">
        <v>115</v>
      </c>
      <c r="G1200" s="4" t="s">
        <v>143</v>
      </c>
      <c r="H1200" s="4"/>
      <c r="I1200" s="4">
        <f t="shared" si="55"/>
        <v>127680</v>
      </c>
      <c r="J1200" s="4">
        <v>127680</v>
      </c>
      <c r="K1200" s="4">
        <f t="shared" si="56"/>
        <v>0</v>
      </c>
      <c r="L1200" s="1">
        <v>127680</v>
      </c>
      <c r="M1200" s="93">
        <f t="shared" ref="M1200:M1263" si="57">O1200-N1200</f>
        <v>0</v>
      </c>
      <c r="N1200" s="12"/>
      <c r="O1200" s="98"/>
      <c r="P1200" s="53"/>
    </row>
    <row r="1201" spans="1:16" ht="40.950000000000003" customHeight="1" x14ac:dyDescent="0.3">
      <c r="A1201" s="4">
        <v>34</v>
      </c>
      <c r="B1201" s="10" t="s">
        <v>170</v>
      </c>
      <c r="C1201" s="10"/>
      <c r="D1201" s="10" t="s">
        <v>286</v>
      </c>
      <c r="E1201" s="10">
        <v>35703</v>
      </c>
      <c r="F1201" s="10" t="s">
        <v>115</v>
      </c>
      <c r="G1201" s="4" t="s">
        <v>9</v>
      </c>
      <c r="H1201" s="4"/>
      <c r="I1201" s="4">
        <f t="shared" si="55"/>
        <v>59995</v>
      </c>
      <c r="J1201" s="4">
        <v>59995</v>
      </c>
      <c r="K1201" s="4">
        <f t="shared" si="56"/>
        <v>0</v>
      </c>
      <c r="L1201" s="1">
        <v>59995</v>
      </c>
      <c r="M1201" s="93">
        <f t="shared" si="57"/>
        <v>0</v>
      </c>
      <c r="N1201" s="12"/>
      <c r="O1201" s="98"/>
      <c r="P1201" s="53"/>
    </row>
    <row r="1202" spans="1:16" ht="40.950000000000003" customHeight="1" x14ac:dyDescent="0.3">
      <c r="A1202" s="4">
        <v>34</v>
      </c>
      <c r="B1202" s="10" t="s">
        <v>170</v>
      </c>
      <c r="C1202" s="10"/>
      <c r="D1202" s="10" t="s">
        <v>286</v>
      </c>
      <c r="E1202" s="10">
        <v>35703</v>
      </c>
      <c r="F1202" s="10" t="s">
        <v>115</v>
      </c>
      <c r="G1202" s="4" t="s">
        <v>7</v>
      </c>
      <c r="H1202" s="4"/>
      <c r="I1202" s="4">
        <f t="shared" si="55"/>
        <v>49035</v>
      </c>
      <c r="J1202" s="4">
        <v>49035</v>
      </c>
      <c r="K1202" s="4">
        <f t="shared" si="56"/>
        <v>0</v>
      </c>
      <c r="L1202" s="1">
        <v>49035</v>
      </c>
      <c r="M1202" s="93">
        <f t="shared" si="57"/>
        <v>0</v>
      </c>
      <c r="N1202" s="12"/>
      <c r="O1202" s="98"/>
      <c r="P1202" s="53"/>
    </row>
    <row r="1203" spans="1:16" ht="40.950000000000003" customHeight="1" x14ac:dyDescent="0.3">
      <c r="A1203" s="4">
        <v>34</v>
      </c>
      <c r="B1203" s="10" t="s">
        <v>170</v>
      </c>
      <c r="C1203" s="10"/>
      <c r="D1203" s="10" t="s">
        <v>286</v>
      </c>
      <c r="E1203" s="10">
        <v>35703</v>
      </c>
      <c r="F1203" s="10" t="s">
        <v>115</v>
      </c>
      <c r="G1203" s="4" t="s">
        <v>8</v>
      </c>
      <c r="H1203" s="4"/>
      <c r="I1203" s="4">
        <f t="shared" si="55"/>
        <v>90745</v>
      </c>
      <c r="J1203" s="4">
        <v>90745</v>
      </c>
      <c r="K1203" s="4">
        <f t="shared" si="56"/>
        <v>0</v>
      </c>
      <c r="L1203" s="1">
        <v>90745</v>
      </c>
      <c r="M1203" s="93">
        <f t="shared" si="57"/>
        <v>0</v>
      </c>
      <c r="N1203" s="12"/>
      <c r="O1203" s="98"/>
      <c r="P1203" s="53"/>
    </row>
    <row r="1204" spans="1:16" ht="40.950000000000003" customHeight="1" x14ac:dyDescent="0.3">
      <c r="A1204" s="4">
        <v>34</v>
      </c>
      <c r="B1204" s="10" t="s">
        <v>170</v>
      </c>
      <c r="C1204" s="10"/>
      <c r="D1204" s="10" t="s">
        <v>286</v>
      </c>
      <c r="E1204" s="10">
        <v>35703</v>
      </c>
      <c r="F1204" s="10" t="s">
        <v>115</v>
      </c>
      <c r="G1204" s="4" t="s">
        <v>11</v>
      </c>
      <c r="H1204" s="4"/>
      <c r="I1204" s="4">
        <f t="shared" si="55"/>
        <v>25650</v>
      </c>
      <c r="J1204" s="4">
        <v>25650</v>
      </c>
      <c r="K1204" s="4">
        <f t="shared" si="56"/>
        <v>0</v>
      </c>
      <c r="L1204" s="1">
        <v>25650</v>
      </c>
      <c r="M1204" s="93">
        <f t="shared" si="57"/>
        <v>0</v>
      </c>
      <c r="N1204" s="12"/>
      <c r="O1204" s="98"/>
      <c r="P1204" s="53"/>
    </row>
    <row r="1205" spans="1:16" ht="40.950000000000003" customHeight="1" x14ac:dyDescent="0.3">
      <c r="A1205" s="4">
        <v>34</v>
      </c>
      <c r="B1205" s="10" t="s">
        <v>170</v>
      </c>
      <c r="C1205" s="10"/>
      <c r="D1205" s="10" t="s">
        <v>286</v>
      </c>
      <c r="E1205" s="10">
        <v>35703</v>
      </c>
      <c r="F1205" s="10" t="s">
        <v>115</v>
      </c>
      <c r="G1205" s="4" t="s">
        <v>90</v>
      </c>
      <c r="H1205" s="4"/>
      <c r="I1205" s="4">
        <f t="shared" si="55"/>
        <v>25650</v>
      </c>
      <c r="J1205" s="4">
        <v>25650</v>
      </c>
      <c r="K1205" s="4">
        <f t="shared" si="56"/>
        <v>0</v>
      </c>
      <c r="L1205" s="1">
        <v>25650</v>
      </c>
      <c r="M1205" s="93">
        <f t="shared" si="57"/>
        <v>0</v>
      </c>
      <c r="N1205" s="12"/>
      <c r="O1205" s="98"/>
      <c r="P1205" s="53"/>
    </row>
    <row r="1206" spans="1:16" ht="40.950000000000003" customHeight="1" x14ac:dyDescent="0.3">
      <c r="A1206" s="4">
        <v>34</v>
      </c>
      <c r="B1206" s="10" t="s">
        <v>170</v>
      </c>
      <c r="C1206" s="10"/>
      <c r="D1206" s="10" t="s">
        <v>286</v>
      </c>
      <c r="E1206" s="10">
        <v>35703</v>
      </c>
      <c r="F1206" s="10" t="s">
        <v>115</v>
      </c>
      <c r="G1206" s="4" t="s">
        <v>48</v>
      </c>
      <c r="H1206" s="4"/>
      <c r="I1206" s="4">
        <f t="shared" ref="I1206:I1269" si="58">J1206-O1206</f>
        <v>77695</v>
      </c>
      <c r="J1206" s="4">
        <v>77695</v>
      </c>
      <c r="K1206" s="4">
        <f t="shared" si="56"/>
        <v>0</v>
      </c>
      <c r="L1206" s="1">
        <v>77695</v>
      </c>
      <c r="M1206" s="93">
        <f t="shared" si="57"/>
        <v>0</v>
      </c>
      <c r="N1206" s="12"/>
      <c r="O1206" s="98"/>
      <c r="P1206" s="53"/>
    </row>
    <row r="1207" spans="1:16" ht="40.950000000000003" customHeight="1" x14ac:dyDescent="0.3">
      <c r="A1207" s="4">
        <v>34</v>
      </c>
      <c r="B1207" s="10" t="s">
        <v>170</v>
      </c>
      <c r="C1207" s="10"/>
      <c r="D1207" s="10" t="s">
        <v>286</v>
      </c>
      <c r="E1207" s="10">
        <v>35703</v>
      </c>
      <c r="F1207" s="10" t="s">
        <v>115</v>
      </c>
      <c r="G1207" s="4" t="s">
        <v>49</v>
      </c>
      <c r="H1207" s="4"/>
      <c r="I1207" s="4">
        <f t="shared" si="58"/>
        <v>76710</v>
      </c>
      <c r="J1207" s="4">
        <v>76710</v>
      </c>
      <c r="K1207" s="4">
        <f t="shared" si="56"/>
        <v>0</v>
      </c>
      <c r="L1207" s="1">
        <v>76710</v>
      </c>
      <c r="M1207" s="93">
        <f t="shared" si="57"/>
        <v>0</v>
      </c>
      <c r="N1207" s="12"/>
      <c r="O1207" s="98"/>
      <c r="P1207" s="53"/>
    </row>
    <row r="1208" spans="1:16" ht="40.950000000000003" customHeight="1" x14ac:dyDescent="0.3">
      <c r="A1208" s="4">
        <v>34</v>
      </c>
      <c r="B1208" s="10" t="s">
        <v>170</v>
      </c>
      <c r="C1208" s="10"/>
      <c r="D1208" s="10" t="s">
        <v>286</v>
      </c>
      <c r="E1208" s="10">
        <v>35703</v>
      </c>
      <c r="F1208" s="10" t="s">
        <v>115</v>
      </c>
      <c r="G1208" s="4" t="s">
        <v>50</v>
      </c>
      <c r="H1208" s="4"/>
      <c r="I1208" s="4">
        <f t="shared" si="58"/>
        <v>55970</v>
      </c>
      <c r="J1208" s="4">
        <v>55970</v>
      </c>
      <c r="K1208" s="4">
        <f t="shared" si="56"/>
        <v>0</v>
      </c>
      <c r="L1208" s="1">
        <v>55970</v>
      </c>
      <c r="M1208" s="93">
        <f t="shared" si="57"/>
        <v>0</v>
      </c>
      <c r="N1208" s="12"/>
      <c r="O1208" s="98"/>
      <c r="P1208" s="53"/>
    </row>
    <row r="1209" spans="1:16" ht="40.950000000000003" customHeight="1" x14ac:dyDescent="0.3">
      <c r="A1209" s="4">
        <v>34</v>
      </c>
      <c r="B1209" s="10" t="s">
        <v>170</v>
      </c>
      <c r="C1209" s="10"/>
      <c r="D1209" s="10" t="s">
        <v>286</v>
      </c>
      <c r="E1209" s="10">
        <v>35703</v>
      </c>
      <c r="F1209" s="10" t="s">
        <v>115</v>
      </c>
      <c r="G1209" s="4" t="s">
        <v>51</v>
      </c>
      <c r="H1209" s="4"/>
      <c r="I1209" s="4">
        <f t="shared" si="58"/>
        <v>42750</v>
      </c>
      <c r="J1209" s="4">
        <v>42750</v>
      </c>
      <c r="K1209" s="4">
        <f t="shared" si="56"/>
        <v>0</v>
      </c>
      <c r="L1209" s="1">
        <v>42750</v>
      </c>
      <c r="M1209" s="93">
        <f t="shared" si="57"/>
        <v>0</v>
      </c>
      <c r="N1209" s="12"/>
      <c r="O1209" s="98"/>
      <c r="P1209" s="53"/>
    </row>
    <row r="1210" spans="1:16" ht="40.950000000000003" customHeight="1" x14ac:dyDescent="0.3">
      <c r="A1210" s="4">
        <v>34</v>
      </c>
      <c r="B1210" s="10" t="s">
        <v>170</v>
      </c>
      <c r="C1210" s="10"/>
      <c r="D1210" s="10" t="s">
        <v>286</v>
      </c>
      <c r="E1210" s="10">
        <v>35703</v>
      </c>
      <c r="F1210" s="10" t="s">
        <v>115</v>
      </c>
      <c r="G1210" s="4" t="s">
        <v>39</v>
      </c>
      <c r="H1210" s="4"/>
      <c r="I1210" s="4">
        <f t="shared" si="58"/>
        <v>147505</v>
      </c>
      <c r="J1210" s="4">
        <v>147505</v>
      </c>
      <c r="K1210" s="4">
        <f t="shared" si="56"/>
        <v>0</v>
      </c>
      <c r="L1210" s="1">
        <v>147505</v>
      </c>
      <c r="M1210" s="93">
        <f t="shared" si="57"/>
        <v>0</v>
      </c>
      <c r="N1210" s="12"/>
      <c r="O1210" s="98"/>
      <c r="P1210" s="53"/>
    </row>
    <row r="1211" spans="1:16" ht="40.950000000000003" customHeight="1" x14ac:dyDescent="0.3">
      <c r="A1211" s="4">
        <v>34</v>
      </c>
      <c r="B1211" s="10" t="s">
        <v>170</v>
      </c>
      <c r="C1211" s="10"/>
      <c r="D1211" s="10" t="s">
        <v>286</v>
      </c>
      <c r="E1211" s="10">
        <v>35703</v>
      </c>
      <c r="F1211" s="10" t="s">
        <v>115</v>
      </c>
      <c r="G1211" s="4" t="s">
        <v>114</v>
      </c>
      <c r="H1211" s="4"/>
      <c r="I1211" s="4">
        <f t="shared" si="58"/>
        <v>53870</v>
      </c>
      <c r="J1211" s="4">
        <v>53870</v>
      </c>
      <c r="K1211" s="4">
        <f t="shared" si="56"/>
        <v>0</v>
      </c>
      <c r="L1211" s="1">
        <v>53870</v>
      </c>
      <c r="M1211" s="93">
        <f t="shared" si="57"/>
        <v>0</v>
      </c>
      <c r="N1211" s="12"/>
      <c r="O1211" s="98"/>
      <c r="P1211" s="53"/>
    </row>
    <row r="1212" spans="1:16" ht="40.950000000000003" customHeight="1" x14ac:dyDescent="0.3">
      <c r="A1212" s="4">
        <v>34</v>
      </c>
      <c r="B1212" s="10" t="s">
        <v>170</v>
      </c>
      <c r="C1212" s="10"/>
      <c r="D1212" s="10" t="s">
        <v>286</v>
      </c>
      <c r="E1212" s="10">
        <v>35703</v>
      </c>
      <c r="F1212" s="10" t="s">
        <v>115</v>
      </c>
      <c r="G1212" s="4" t="s">
        <v>128</v>
      </c>
      <c r="H1212" s="4"/>
      <c r="I1212" s="4">
        <f t="shared" si="58"/>
        <v>27360</v>
      </c>
      <c r="J1212" s="4">
        <v>27360</v>
      </c>
      <c r="K1212" s="4">
        <f t="shared" si="56"/>
        <v>0</v>
      </c>
      <c r="L1212" s="1">
        <v>27360</v>
      </c>
      <c r="M1212" s="93">
        <f t="shared" si="57"/>
        <v>0</v>
      </c>
      <c r="N1212" s="12"/>
      <c r="O1212" s="98"/>
      <c r="P1212" s="53"/>
    </row>
    <row r="1213" spans="1:16" ht="40.950000000000003" customHeight="1" x14ac:dyDescent="0.3">
      <c r="A1213" s="4">
        <v>34</v>
      </c>
      <c r="B1213" s="10" t="s">
        <v>170</v>
      </c>
      <c r="C1213" s="10"/>
      <c r="D1213" s="10" t="s">
        <v>286</v>
      </c>
      <c r="E1213" s="10">
        <v>35703</v>
      </c>
      <c r="F1213" s="10" t="s">
        <v>115</v>
      </c>
      <c r="G1213" s="4" t="s">
        <v>122</v>
      </c>
      <c r="H1213" s="4"/>
      <c r="I1213" s="4">
        <f t="shared" si="58"/>
        <v>74475</v>
      </c>
      <c r="J1213" s="4">
        <v>74475</v>
      </c>
      <c r="K1213" s="4">
        <f t="shared" si="56"/>
        <v>0</v>
      </c>
      <c r="L1213" s="1">
        <v>74475</v>
      </c>
      <c r="M1213" s="93">
        <f t="shared" si="57"/>
        <v>0</v>
      </c>
      <c r="N1213" s="12"/>
      <c r="O1213" s="98"/>
      <c r="P1213" s="53"/>
    </row>
    <row r="1214" spans="1:16" ht="40.950000000000003" customHeight="1" x14ac:dyDescent="0.3">
      <c r="A1214" s="4">
        <v>34</v>
      </c>
      <c r="B1214" s="10" t="s">
        <v>170</v>
      </c>
      <c r="C1214" s="10"/>
      <c r="D1214" s="10" t="s">
        <v>286</v>
      </c>
      <c r="E1214" s="10">
        <v>35703</v>
      </c>
      <c r="F1214" s="10" t="s">
        <v>115</v>
      </c>
      <c r="G1214" s="4" t="s">
        <v>143</v>
      </c>
      <c r="H1214" s="4"/>
      <c r="I1214" s="4">
        <f t="shared" si="58"/>
        <v>18315</v>
      </c>
      <c r="J1214" s="4">
        <v>18315</v>
      </c>
      <c r="K1214" s="4">
        <f t="shared" si="56"/>
        <v>0</v>
      </c>
      <c r="L1214" s="1">
        <v>18315</v>
      </c>
      <c r="M1214" s="93">
        <f t="shared" si="57"/>
        <v>0</v>
      </c>
      <c r="N1214" s="12"/>
      <c r="O1214" s="98"/>
      <c r="P1214" s="53"/>
    </row>
    <row r="1215" spans="1:16" ht="40.950000000000003" customHeight="1" x14ac:dyDescent="0.3">
      <c r="A1215" s="4">
        <v>34</v>
      </c>
      <c r="B1215" s="10" t="s">
        <v>170</v>
      </c>
      <c r="C1215" s="10"/>
      <c r="D1215" s="10" t="s">
        <v>286</v>
      </c>
      <c r="E1215" s="10">
        <v>35703</v>
      </c>
      <c r="F1215" s="10" t="s">
        <v>115</v>
      </c>
      <c r="G1215" s="4" t="s">
        <v>64</v>
      </c>
      <c r="H1215" s="4"/>
      <c r="I1215" s="4">
        <f t="shared" si="58"/>
        <v>57740</v>
      </c>
      <c r="J1215" s="4">
        <v>57740</v>
      </c>
      <c r="K1215" s="4">
        <f t="shared" si="56"/>
        <v>0</v>
      </c>
      <c r="L1215" s="1">
        <v>57740</v>
      </c>
      <c r="M1215" s="93">
        <f t="shared" si="57"/>
        <v>0</v>
      </c>
      <c r="N1215" s="12"/>
      <c r="O1215" s="98"/>
      <c r="P1215" s="53"/>
    </row>
    <row r="1216" spans="1:16" ht="40.950000000000003" customHeight="1" x14ac:dyDescent="0.3">
      <c r="A1216" s="4">
        <v>35</v>
      </c>
      <c r="B1216" s="10" t="s">
        <v>183</v>
      </c>
      <c r="C1216" s="10"/>
      <c r="D1216" s="10"/>
      <c r="E1216" s="10"/>
      <c r="F1216" s="10" t="s">
        <v>115</v>
      </c>
      <c r="G1216" s="4" t="s">
        <v>7</v>
      </c>
      <c r="H1216" s="4"/>
      <c r="I1216" s="4">
        <f t="shared" si="58"/>
        <v>49605</v>
      </c>
      <c r="J1216" s="4">
        <v>49605</v>
      </c>
      <c r="K1216" s="4">
        <f t="shared" si="56"/>
        <v>0</v>
      </c>
      <c r="L1216" s="1">
        <v>49605</v>
      </c>
      <c r="M1216" s="93">
        <f t="shared" si="57"/>
        <v>0</v>
      </c>
      <c r="N1216" s="12"/>
      <c r="O1216" s="98"/>
      <c r="P1216" s="53"/>
    </row>
    <row r="1217" spans="1:16" ht="40.950000000000003" customHeight="1" x14ac:dyDescent="0.3">
      <c r="A1217" s="4">
        <v>35</v>
      </c>
      <c r="B1217" s="10" t="s">
        <v>183</v>
      </c>
      <c r="C1217" s="10"/>
      <c r="D1217" s="10"/>
      <c r="E1217" s="10"/>
      <c r="F1217" s="10" t="s">
        <v>115</v>
      </c>
      <c r="G1217" s="4" t="s">
        <v>9</v>
      </c>
      <c r="H1217" s="4"/>
      <c r="I1217" s="4">
        <f t="shared" si="58"/>
        <v>74685</v>
      </c>
      <c r="J1217" s="4">
        <v>74685</v>
      </c>
      <c r="K1217" s="4">
        <f t="shared" si="56"/>
        <v>0</v>
      </c>
      <c r="L1217" s="1">
        <v>74685</v>
      </c>
      <c r="M1217" s="93">
        <f t="shared" si="57"/>
        <v>0</v>
      </c>
      <c r="N1217" s="12"/>
      <c r="O1217" s="98"/>
      <c r="P1217" s="53"/>
    </row>
    <row r="1218" spans="1:16" ht="40.950000000000003" customHeight="1" x14ac:dyDescent="0.3">
      <c r="A1218" s="4">
        <v>35</v>
      </c>
      <c r="B1218" s="10" t="s">
        <v>183</v>
      </c>
      <c r="C1218" s="10"/>
      <c r="D1218" s="10"/>
      <c r="E1218" s="10"/>
      <c r="F1218" s="10" t="s">
        <v>115</v>
      </c>
      <c r="G1218" s="4" t="s">
        <v>22</v>
      </c>
      <c r="H1218" s="4"/>
      <c r="I1218" s="4">
        <f t="shared" si="58"/>
        <v>25080</v>
      </c>
      <c r="J1218" s="4">
        <v>25080</v>
      </c>
      <c r="K1218" s="4">
        <f t="shared" si="56"/>
        <v>0</v>
      </c>
      <c r="L1218" s="1">
        <v>25080</v>
      </c>
      <c r="M1218" s="93">
        <f t="shared" si="57"/>
        <v>0</v>
      </c>
      <c r="N1218" s="12"/>
      <c r="O1218" s="98"/>
      <c r="P1218" s="53"/>
    </row>
    <row r="1219" spans="1:16" ht="40.950000000000003" customHeight="1" x14ac:dyDescent="0.3">
      <c r="A1219" s="4">
        <v>35</v>
      </c>
      <c r="B1219" s="10" t="s">
        <v>183</v>
      </c>
      <c r="C1219" s="10"/>
      <c r="D1219" s="10"/>
      <c r="E1219" s="10"/>
      <c r="F1219" s="10" t="s">
        <v>115</v>
      </c>
      <c r="G1219" s="4" t="s">
        <v>70</v>
      </c>
      <c r="H1219" s="4"/>
      <c r="I1219" s="4">
        <f t="shared" si="58"/>
        <v>22800</v>
      </c>
      <c r="J1219" s="4">
        <v>22800</v>
      </c>
      <c r="K1219" s="4">
        <f t="shared" si="56"/>
        <v>0</v>
      </c>
      <c r="L1219" s="1">
        <v>22800</v>
      </c>
      <c r="M1219" s="93">
        <f t="shared" si="57"/>
        <v>0</v>
      </c>
      <c r="N1219" s="12"/>
      <c r="O1219" s="98"/>
      <c r="P1219" s="53"/>
    </row>
    <row r="1220" spans="1:16" ht="40.950000000000003" customHeight="1" x14ac:dyDescent="0.3">
      <c r="A1220" s="4">
        <v>35</v>
      </c>
      <c r="B1220" s="10" t="s">
        <v>183</v>
      </c>
      <c r="C1220" s="10"/>
      <c r="D1220" s="10"/>
      <c r="E1220" s="10"/>
      <c r="F1220" s="10" t="s">
        <v>115</v>
      </c>
      <c r="G1220" s="4" t="s">
        <v>90</v>
      </c>
      <c r="H1220" s="4"/>
      <c r="I1220" s="4">
        <f t="shared" si="58"/>
        <v>34770</v>
      </c>
      <c r="J1220" s="4">
        <v>34770</v>
      </c>
      <c r="K1220" s="4">
        <f t="shared" si="56"/>
        <v>0</v>
      </c>
      <c r="L1220" s="1">
        <v>34770</v>
      </c>
      <c r="M1220" s="93">
        <f t="shared" si="57"/>
        <v>0</v>
      </c>
      <c r="N1220" s="12"/>
      <c r="O1220" s="98"/>
      <c r="P1220" s="53"/>
    </row>
    <row r="1221" spans="1:16" ht="40.950000000000003" customHeight="1" x14ac:dyDescent="0.3">
      <c r="A1221" s="4">
        <v>35</v>
      </c>
      <c r="B1221" s="10" t="s">
        <v>183</v>
      </c>
      <c r="C1221" s="10"/>
      <c r="D1221" s="10"/>
      <c r="E1221" s="10"/>
      <c r="F1221" s="10" t="s">
        <v>115</v>
      </c>
      <c r="G1221" s="4" t="s">
        <v>48</v>
      </c>
      <c r="H1221" s="4"/>
      <c r="I1221" s="4">
        <f t="shared" si="58"/>
        <v>50160</v>
      </c>
      <c r="J1221" s="4">
        <v>50160</v>
      </c>
      <c r="K1221" s="4">
        <f t="shared" si="56"/>
        <v>0</v>
      </c>
      <c r="L1221" s="1">
        <v>50160</v>
      </c>
      <c r="M1221" s="93">
        <f t="shared" si="57"/>
        <v>0</v>
      </c>
      <c r="N1221" s="12"/>
      <c r="O1221" s="98"/>
      <c r="P1221" s="53"/>
    </row>
    <row r="1222" spans="1:16" ht="40.950000000000003" customHeight="1" x14ac:dyDescent="0.3">
      <c r="A1222" s="4">
        <v>35</v>
      </c>
      <c r="B1222" s="10" t="s">
        <v>183</v>
      </c>
      <c r="C1222" s="10"/>
      <c r="D1222" s="10"/>
      <c r="E1222" s="10"/>
      <c r="F1222" s="10" t="s">
        <v>115</v>
      </c>
      <c r="G1222" s="4" t="s">
        <v>49</v>
      </c>
      <c r="H1222" s="4"/>
      <c r="I1222" s="4">
        <f t="shared" si="58"/>
        <v>105925</v>
      </c>
      <c r="J1222" s="4">
        <v>105925</v>
      </c>
      <c r="K1222" s="4">
        <f t="shared" si="56"/>
        <v>0</v>
      </c>
      <c r="L1222" s="1">
        <v>105925</v>
      </c>
      <c r="M1222" s="93">
        <f t="shared" si="57"/>
        <v>0</v>
      </c>
      <c r="N1222" s="12"/>
      <c r="O1222" s="98"/>
      <c r="P1222" s="53"/>
    </row>
    <row r="1223" spans="1:16" ht="40.950000000000003" customHeight="1" x14ac:dyDescent="0.3">
      <c r="A1223" s="4">
        <v>35</v>
      </c>
      <c r="B1223" s="10" t="s">
        <v>183</v>
      </c>
      <c r="C1223" s="10"/>
      <c r="D1223" s="10"/>
      <c r="E1223" s="10"/>
      <c r="F1223" s="10" t="s">
        <v>115</v>
      </c>
      <c r="G1223" s="4" t="s">
        <v>50</v>
      </c>
      <c r="H1223" s="4"/>
      <c r="I1223" s="4">
        <f t="shared" si="58"/>
        <v>78090</v>
      </c>
      <c r="J1223" s="4">
        <v>78090</v>
      </c>
      <c r="K1223" s="4">
        <f t="shared" si="56"/>
        <v>0</v>
      </c>
      <c r="L1223" s="1">
        <v>78090</v>
      </c>
      <c r="M1223" s="93">
        <f t="shared" si="57"/>
        <v>0</v>
      </c>
      <c r="N1223" s="12"/>
      <c r="O1223" s="98"/>
      <c r="P1223" s="53"/>
    </row>
    <row r="1224" spans="1:16" ht="40.950000000000003" customHeight="1" x14ac:dyDescent="0.3">
      <c r="A1224" s="4">
        <v>35</v>
      </c>
      <c r="B1224" s="10" t="s">
        <v>183</v>
      </c>
      <c r="C1224" s="10"/>
      <c r="D1224" s="10"/>
      <c r="E1224" s="10"/>
      <c r="F1224" s="10" t="s">
        <v>115</v>
      </c>
      <c r="G1224" s="4" t="s">
        <v>51</v>
      </c>
      <c r="H1224" s="4"/>
      <c r="I1224" s="4">
        <f t="shared" si="58"/>
        <v>141360</v>
      </c>
      <c r="J1224" s="4">
        <v>141360</v>
      </c>
      <c r="K1224" s="4">
        <f t="shared" si="56"/>
        <v>0</v>
      </c>
      <c r="L1224" s="1">
        <v>141360</v>
      </c>
      <c r="M1224" s="93">
        <f t="shared" si="57"/>
        <v>0</v>
      </c>
      <c r="N1224" s="12"/>
      <c r="O1224" s="98"/>
      <c r="P1224" s="53"/>
    </row>
    <row r="1225" spans="1:16" ht="40.950000000000003" customHeight="1" x14ac:dyDescent="0.3">
      <c r="A1225" s="4">
        <v>35</v>
      </c>
      <c r="B1225" s="10" t="s">
        <v>183</v>
      </c>
      <c r="C1225" s="10"/>
      <c r="D1225" s="10"/>
      <c r="E1225" s="10"/>
      <c r="F1225" s="10" t="s">
        <v>115</v>
      </c>
      <c r="G1225" s="4" t="s">
        <v>114</v>
      </c>
      <c r="H1225" s="4"/>
      <c r="I1225" s="4">
        <f t="shared" si="58"/>
        <v>92910</v>
      </c>
      <c r="J1225" s="4">
        <v>92910</v>
      </c>
      <c r="K1225" s="4">
        <f t="shared" si="56"/>
        <v>0</v>
      </c>
      <c r="L1225" s="1">
        <v>92910</v>
      </c>
      <c r="M1225" s="93">
        <f t="shared" si="57"/>
        <v>0</v>
      </c>
      <c r="N1225" s="12"/>
      <c r="O1225" s="98"/>
      <c r="P1225" s="53"/>
    </row>
    <row r="1226" spans="1:16" ht="40.950000000000003" customHeight="1" x14ac:dyDescent="0.3">
      <c r="A1226" s="4">
        <v>35</v>
      </c>
      <c r="B1226" s="10" t="s">
        <v>183</v>
      </c>
      <c r="C1226" s="10"/>
      <c r="D1226" s="10"/>
      <c r="E1226" s="10"/>
      <c r="F1226" s="10" t="s">
        <v>115</v>
      </c>
      <c r="G1226" s="4" t="s">
        <v>85</v>
      </c>
      <c r="H1226" s="4"/>
      <c r="I1226" s="4">
        <f t="shared" si="58"/>
        <v>122550</v>
      </c>
      <c r="J1226" s="4">
        <v>122550</v>
      </c>
      <c r="K1226" s="4">
        <f t="shared" si="56"/>
        <v>0</v>
      </c>
      <c r="L1226" s="1">
        <v>122550</v>
      </c>
      <c r="M1226" s="93">
        <f t="shared" si="57"/>
        <v>0</v>
      </c>
      <c r="N1226" s="12"/>
      <c r="O1226" s="98"/>
      <c r="P1226" s="53"/>
    </row>
    <row r="1227" spans="1:16" ht="40.950000000000003" customHeight="1" x14ac:dyDescent="0.3">
      <c r="A1227" s="4">
        <v>35</v>
      </c>
      <c r="B1227" s="10" t="s">
        <v>183</v>
      </c>
      <c r="C1227" s="10"/>
      <c r="D1227" s="10"/>
      <c r="E1227" s="10"/>
      <c r="F1227" s="10" t="s">
        <v>115</v>
      </c>
      <c r="G1227" s="4" t="s">
        <v>128</v>
      </c>
      <c r="H1227" s="4"/>
      <c r="I1227" s="4">
        <f t="shared" si="58"/>
        <v>22800</v>
      </c>
      <c r="J1227" s="4">
        <v>22800</v>
      </c>
      <c r="K1227" s="4">
        <f t="shared" si="56"/>
        <v>0</v>
      </c>
      <c r="L1227" s="1">
        <v>22800</v>
      </c>
      <c r="M1227" s="93">
        <f t="shared" si="57"/>
        <v>0</v>
      </c>
      <c r="N1227" s="12"/>
      <c r="O1227" s="98"/>
      <c r="P1227" s="53"/>
    </row>
    <row r="1228" spans="1:16" ht="40.950000000000003" customHeight="1" x14ac:dyDescent="0.3">
      <c r="A1228" s="4">
        <v>35</v>
      </c>
      <c r="B1228" s="10" t="s">
        <v>183</v>
      </c>
      <c r="C1228" s="10"/>
      <c r="D1228" s="10"/>
      <c r="E1228" s="10"/>
      <c r="F1228" s="10" t="s">
        <v>115</v>
      </c>
      <c r="G1228" s="4" t="s">
        <v>64</v>
      </c>
      <c r="H1228" s="4"/>
      <c r="I1228" s="4">
        <f t="shared" si="58"/>
        <v>33630</v>
      </c>
      <c r="J1228" s="4">
        <v>33630</v>
      </c>
      <c r="K1228" s="4">
        <f t="shared" si="56"/>
        <v>0</v>
      </c>
      <c r="L1228" s="1">
        <v>33630</v>
      </c>
      <c r="M1228" s="93">
        <f t="shared" si="57"/>
        <v>0</v>
      </c>
      <c r="N1228" s="12"/>
      <c r="O1228" s="98"/>
      <c r="P1228" s="53"/>
    </row>
    <row r="1229" spans="1:16" ht="40.950000000000003" customHeight="1" x14ac:dyDescent="0.3">
      <c r="A1229" s="4">
        <v>35</v>
      </c>
      <c r="B1229" s="10" t="s">
        <v>183</v>
      </c>
      <c r="C1229" s="10"/>
      <c r="D1229" s="10"/>
      <c r="E1229" s="10"/>
      <c r="F1229" s="10" t="s">
        <v>115</v>
      </c>
      <c r="G1229" s="4" t="s">
        <v>122</v>
      </c>
      <c r="H1229" s="4"/>
      <c r="I1229" s="4">
        <f t="shared" si="58"/>
        <v>74670</v>
      </c>
      <c r="J1229" s="4">
        <v>74670</v>
      </c>
      <c r="K1229" s="4">
        <f t="shared" si="56"/>
        <v>0</v>
      </c>
      <c r="L1229" s="1">
        <v>74670</v>
      </c>
      <c r="M1229" s="93">
        <f t="shared" si="57"/>
        <v>0</v>
      </c>
      <c r="N1229" s="12"/>
      <c r="O1229" s="98"/>
      <c r="P1229" s="53"/>
    </row>
    <row r="1230" spans="1:16" ht="40.950000000000003" customHeight="1" x14ac:dyDescent="0.3">
      <c r="A1230" s="4">
        <v>35</v>
      </c>
      <c r="B1230" s="10" t="s">
        <v>183</v>
      </c>
      <c r="C1230" s="10"/>
      <c r="D1230" s="10"/>
      <c r="E1230" s="10"/>
      <c r="F1230" s="10" t="s">
        <v>115</v>
      </c>
      <c r="G1230" s="4" t="s">
        <v>143</v>
      </c>
      <c r="H1230" s="4"/>
      <c r="I1230" s="4">
        <f t="shared" si="58"/>
        <v>97605</v>
      </c>
      <c r="J1230" s="4">
        <v>97605</v>
      </c>
      <c r="K1230" s="4">
        <f t="shared" si="56"/>
        <v>0</v>
      </c>
      <c r="L1230" s="1">
        <v>97605</v>
      </c>
      <c r="M1230" s="93">
        <f t="shared" si="57"/>
        <v>0</v>
      </c>
      <c r="N1230" s="12"/>
      <c r="O1230" s="98"/>
      <c r="P1230" s="53"/>
    </row>
    <row r="1231" spans="1:16" ht="40.950000000000003" customHeight="1" x14ac:dyDescent="0.3">
      <c r="A1231" s="4">
        <v>36</v>
      </c>
      <c r="B1231" s="10" t="s">
        <v>136</v>
      </c>
      <c r="C1231" s="10" t="s">
        <v>326</v>
      </c>
      <c r="D1231" s="10" t="s">
        <v>304</v>
      </c>
      <c r="E1231" s="10">
        <v>6667</v>
      </c>
      <c r="F1231" s="10" t="s">
        <v>115</v>
      </c>
      <c r="G1231" s="4" t="s">
        <v>7</v>
      </c>
      <c r="H1231" s="4"/>
      <c r="I1231" s="4">
        <f t="shared" si="58"/>
        <v>74372</v>
      </c>
      <c r="J1231" s="4">
        <v>74372</v>
      </c>
      <c r="K1231" s="4">
        <f t="shared" si="56"/>
        <v>0</v>
      </c>
      <c r="L1231" s="1">
        <v>74372</v>
      </c>
      <c r="M1231" s="93">
        <f t="shared" si="57"/>
        <v>0</v>
      </c>
      <c r="N1231" s="2"/>
      <c r="O1231" s="97"/>
      <c r="P1231" s="52"/>
    </row>
    <row r="1232" spans="1:16" ht="40.950000000000003" customHeight="1" x14ac:dyDescent="0.3">
      <c r="A1232" s="4">
        <v>36</v>
      </c>
      <c r="B1232" s="10" t="s">
        <v>136</v>
      </c>
      <c r="C1232" s="10" t="s">
        <v>326</v>
      </c>
      <c r="D1232" s="10" t="s">
        <v>304</v>
      </c>
      <c r="E1232" s="10">
        <v>6667</v>
      </c>
      <c r="F1232" s="10" t="s">
        <v>115</v>
      </c>
      <c r="G1232" s="4" t="s">
        <v>8</v>
      </c>
      <c r="H1232" s="4"/>
      <c r="I1232" s="4">
        <f t="shared" si="58"/>
        <v>121830</v>
      </c>
      <c r="J1232" s="4">
        <v>121830</v>
      </c>
      <c r="K1232" s="4">
        <f t="shared" ref="K1232:K1295" si="59">L1232-J1232</f>
        <v>0</v>
      </c>
      <c r="L1232" s="1">
        <v>121830</v>
      </c>
      <c r="M1232" s="93">
        <f t="shared" si="57"/>
        <v>0</v>
      </c>
      <c r="N1232" s="2"/>
      <c r="O1232" s="97"/>
      <c r="P1232" s="52"/>
    </row>
    <row r="1233" spans="1:16" ht="40.950000000000003" customHeight="1" x14ac:dyDescent="0.3">
      <c r="A1233" s="4">
        <v>36</v>
      </c>
      <c r="B1233" s="10" t="s">
        <v>136</v>
      </c>
      <c r="C1233" s="10" t="s">
        <v>326</v>
      </c>
      <c r="D1233" s="10" t="s">
        <v>304</v>
      </c>
      <c r="E1233" s="10">
        <v>6667</v>
      </c>
      <c r="F1233" s="10" t="s">
        <v>115</v>
      </c>
      <c r="G1233" s="4" t="s">
        <v>9</v>
      </c>
      <c r="H1233" s="4"/>
      <c r="I1233" s="4">
        <f t="shared" si="58"/>
        <v>87210</v>
      </c>
      <c r="J1233" s="4">
        <v>87210</v>
      </c>
      <c r="K1233" s="4">
        <f t="shared" si="59"/>
        <v>0</v>
      </c>
      <c r="L1233" s="1">
        <v>87210</v>
      </c>
      <c r="M1233" s="93">
        <f t="shared" si="57"/>
        <v>0</v>
      </c>
      <c r="N1233" s="2"/>
      <c r="O1233" s="97"/>
      <c r="P1233" s="52"/>
    </row>
    <row r="1234" spans="1:16" ht="40.950000000000003" customHeight="1" x14ac:dyDescent="0.3">
      <c r="A1234" s="4">
        <v>36</v>
      </c>
      <c r="B1234" s="10" t="s">
        <v>136</v>
      </c>
      <c r="C1234" s="10" t="s">
        <v>326</v>
      </c>
      <c r="D1234" s="10" t="s">
        <v>304</v>
      </c>
      <c r="E1234" s="10">
        <v>6667</v>
      </c>
      <c r="F1234" s="10" t="s">
        <v>115</v>
      </c>
      <c r="G1234" s="4" t="s">
        <v>11</v>
      </c>
      <c r="H1234" s="4"/>
      <c r="I1234" s="4">
        <f t="shared" si="58"/>
        <v>144458</v>
      </c>
      <c r="J1234" s="4">
        <v>144458</v>
      </c>
      <c r="K1234" s="4">
        <f t="shared" si="59"/>
        <v>0</v>
      </c>
      <c r="L1234" s="1">
        <v>144458</v>
      </c>
      <c r="M1234" s="93">
        <f t="shared" si="57"/>
        <v>0</v>
      </c>
      <c r="N1234" s="2"/>
      <c r="O1234" s="97"/>
      <c r="P1234" s="52"/>
    </row>
    <row r="1235" spans="1:16" ht="40.950000000000003" customHeight="1" x14ac:dyDescent="0.3">
      <c r="A1235" s="4">
        <v>36</v>
      </c>
      <c r="B1235" s="10" t="s">
        <v>136</v>
      </c>
      <c r="C1235" s="10" t="s">
        <v>326</v>
      </c>
      <c r="D1235" s="10" t="s">
        <v>304</v>
      </c>
      <c r="E1235" s="10">
        <v>6667</v>
      </c>
      <c r="F1235" s="10" t="s">
        <v>115</v>
      </c>
      <c r="G1235" s="4" t="s">
        <v>22</v>
      </c>
      <c r="H1235" s="4"/>
      <c r="I1235" s="4">
        <f t="shared" si="58"/>
        <v>145480</v>
      </c>
      <c r="J1235" s="4">
        <v>145480</v>
      </c>
      <c r="K1235" s="4">
        <f t="shared" si="59"/>
        <v>0</v>
      </c>
      <c r="L1235" s="1">
        <v>145480</v>
      </c>
      <c r="M1235" s="93">
        <f t="shared" si="57"/>
        <v>0</v>
      </c>
      <c r="N1235" s="2"/>
      <c r="O1235" s="97"/>
      <c r="P1235" s="52"/>
    </row>
    <row r="1236" spans="1:16" ht="40.950000000000003" customHeight="1" x14ac:dyDescent="0.3">
      <c r="A1236" s="4">
        <v>36</v>
      </c>
      <c r="B1236" s="10" t="s">
        <v>136</v>
      </c>
      <c r="C1236" s="10" t="s">
        <v>326</v>
      </c>
      <c r="D1236" s="10" t="s">
        <v>304</v>
      </c>
      <c r="E1236" s="10">
        <v>6667</v>
      </c>
      <c r="F1236" s="10" t="s">
        <v>115</v>
      </c>
      <c r="G1236" s="4" t="s">
        <v>70</v>
      </c>
      <c r="H1236" s="4"/>
      <c r="I1236" s="4">
        <f t="shared" si="58"/>
        <v>103800</v>
      </c>
      <c r="J1236" s="4">
        <v>103800</v>
      </c>
      <c r="K1236" s="4">
        <f t="shared" si="59"/>
        <v>0</v>
      </c>
      <c r="L1236" s="1">
        <v>103800</v>
      </c>
      <c r="M1236" s="93">
        <f t="shared" si="57"/>
        <v>0</v>
      </c>
      <c r="N1236" s="2"/>
      <c r="O1236" s="97"/>
      <c r="P1236" s="52"/>
    </row>
    <row r="1237" spans="1:16" ht="40.950000000000003" customHeight="1" x14ac:dyDescent="0.3">
      <c r="A1237" s="4">
        <v>36</v>
      </c>
      <c r="B1237" s="10" t="s">
        <v>136</v>
      </c>
      <c r="C1237" s="10" t="s">
        <v>326</v>
      </c>
      <c r="D1237" s="10" t="s">
        <v>304</v>
      </c>
      <c r="E1237" s="10">
        <v>6667</v>
      </c>
      <c r="F1237" s="10" t="s">
        <v>115</v>
      </c>
      <c r="G1237" s="4" t="s">
        <v>39</v>
      </c>
      <c r="H1237" s="4"/>
      <c r="I1237" s="4">
        <f t="shared" si="58"/>
        <v>33470</v>
      </c>
      <c r="J1237" s="4">
        <v>33470</v>
      </c>
      <c r="K1237" s="4">
        <f t="shared" si="59"/>
        <v>0</v>
      </c>
      <c r="L1237" s="1">
        <v>33470</v>
      </c>
      <c r="M1237" s="93">
        <f t="shared" si="57"/>
        <v>0</v>
      </c>
      <c r="N1237" s="2"/>
      <c r="O1237" s="97"/>
      <c r="P1237" s="52"/>
    </row>
    <row r="1238" spans="1:16" ht="40.950000000000003" customHeight="1" x14ac:dyDescent="0.3">
      <c r="A1238" s="4">
        <v>36</v>
      </c>
      <c r="B1238" s="10" t="s">
        <v>136</v>
      </c>
      <c r="C1238" s="10" t="s">
        <v>326</v>
      </c>
      <c r="D1238" s="10" t="s">
        <v>304</v>
      </c>
      <c r="E1238" s="10">
        <v>6667</v>
      </c>
      <c r="F1238" s="10" t="s">
        <v>115</v>
      </c>
      <c r="G1238" s="4" t="s">
        <v>90</v>
      </c>
      <c r="H1238" s="4"/>
      <c r="I1238" s="4">
        <f t="shared" si="58"/>
        <v>109105</v>
      </c>
      <c r="J1238" s="4">
        <v>109105</v>
      </c>
      <c r="K1238" s="4">
        <f t="shared" si="59"/>
        <v>0</v>
      </c>
      <c r="L1238" s="1">
        <v>109105</v>
      </c>
      <c r="M1238" s="93">
        <f t="shared" si="57"/>
        <v>0</v>
      </c>
      <c r="N1238" s="2"/>
      <c r="O1238" s="97"/>
      <c r="P1238" s="52"/>
    </row>
    <row r="1239" spans="1:16" ht="40.950000000000003" customHeight="1" x14ac:dyDescent="0.3">
      <c r="A1239" s="4">
        <v>36</v>
      </c>
      <c r="B1239" s="10" t="s">
        <v>136</v>
      </c>
      <c r="C1239" s="10" t="s">
        <v>326</v>
      </c>
      <c r="D1239" s="10" t="s">
        <v>304</v>
      </c>
      <c r="E1239" s="10">
        <v>6667</v>
      </c>
      <c r="F1239" s="10" t="s">
        <v>115</v>
      </c>
      <c r="G1239" s="4" t="s">
        <v>49</v>
      </c>
      <c r="H1239" s="4"/>
      <c r="I1239" s="4">
        <f t="shared" si="58"/>
        <v>50700</v>
      </c>
      <c r="J1239" s="4">
        <v>50700</v>
      </c>
      <c r="K1239" s="4">
        <f t="shared" si="59"/>
        <v>0</v>
      </c>
      <c r="L1239" s="1">
        <v>50700</v>
      </c>
      <c r="M1239" s="93">
        <f t="shared" si="57"/>
        <v>0</v>
      </c>
      <c r="N1239" s="2"/>
      <c r="O1239" s="97"/>
      <c r="P1239" s="52"/>
    </row>
    <row r="1240" spans="1:16" ht="40.950000000000003" customHeight="1" x14ac:dyDescent="0.3">
      <c r="A1240" s="4">
        <v>36</v>
      </c>
      <c r="B1240" s="10" t="s">
        <v>136</v>
      </c>
      <c r="C1240" s="10" t="s">
        <v>326</v>
      </c>
      <c r="D1240" s="10" t="s">
        <v>304</v>
      </c>
      <c r="E1240" s="10">
        <v>6667</v>
      </c>
      <c r="F1240" s="10" t="s">
        <v>115</v>
      </c>
      <c r="G1240" s="4" t="s">
        <v>50</v>
      </c>
      <c r="H1240" s="4"/>
      <c r="I1240" s="4">
        <f t="shared" si="58"/>
        <v>25650</v>
      </c>
      <c r="J1240" s="4">
        <v>25650</v>
      </c>
      <c r="K1240" s="4">
        <f t="shared" si="59"/>
        <v>0</v>
      </c>
      <c r="L1240" s="1">
        <v>25650</v>
      </c>
      <c r="M1240" s="93">
        <f t="shared" si="57"/>
        <v>0</v>
      </c>
      <c r="N1240" s="2"/>
      <c r="O1240" s="97"/>
      <c r="P1240" s="52"/>
    </row>
    <row r="1241" spans="1:16" ht="40.950000000000003" customHeight="1" x14ac:dyDescent="0.3">
      <c r="A1241" s="4">
        <v>36</v>
      </c>
      <c r="B1241" s="10" t="s">
        <v>136</v>
      </c>
      <c r="C1241" s="10" t="s">
        <v>326</v>
      </c>
      <c r="D1241" s="10" t="s">
        <v>304</v>
      </c>
      <c r="E1241" s="10">
        <v>6667</v>
      </c>
      <c r="F1241" s="10" t="s">
        <v>115</v>
      </c>
      <c r="G1241" s="4" t="s">
        <v>51</v>
      </c>
      <c r="H1241" s="4"/>
      <c r="I1241" s="4">
        <f t="shared" si="58"/>
        <v>127110</v>
      </c>
      <c r="J1241" s="4">
        <v>127110</v>
      </c>
      <c r="K1241" s="4">
        <f t="shared" si="59"/>
        <v>0</v>
      </c>
      <c r="L1241" s="1">
        <v>127110</v>
      </c>
      <c r="M1241" s="93">
        <f t="shared" si="57"/>
        <v>0</v>
      </c>
      <c r="N1241" s="2"/>
      <c r="O1241" s="97"/>
      <c r="P1241" s="52"/>
    </row>
    <row r="1242" spans="1:16" ht="40.950000000000003" customHeight="1" x14ac:dyDescent="0.3">
      <c r="A1242" s="4">
        <v>36</v>
      </c>
      <c r="B1242" s="10" t="s">
        <v>136</v>
      </c>
      <c r="C1242" s="10" t="s">
        <v>326</v>
      </c>
      <c r="D1242" s="10" t="s">
        <v>304</v>
      </c>
      <c r="E1242" s="10">
        <v>6667</v>
      </c>
      <c r="F1242" s="10" t="s">
        <v>115</v>
      </c>
      <c r="G1242" s="4" t="s">
        <v>114</v>
      </c>
      <c r="H1242" s="4"/>
      <c r="I1242" s="4">
        <f t="shared" si="58"/>
        <v>30495</v>
      </c>
      <c r="J1242" s="4">
        <v>30495</v>
      </c>
      <c r="K1242" s="4">
        <f t="shared" si="59"/>
        <v>0</v>
      </c>
      <c r="L1242" s="1">
        <v>30495</v>
      </c>
      <c r="M1242" s="93">
        <f t="shared" si="57"/>
        <v>0</v>
      </c>
      <c r="N1242" s="2"/>
      <c r="O1242" s="97"/>
      <c r="P1242" s="52"/>
    </row>
    <row r="1243" spans="1:16" ht="40.950000000000003" customHeight="1" x14ac:dyDescent="0.3">
      <c r="A1243" s="4">
        <v>36</v>
      </c>
      <c r="B1243" s="10" t="s">
        <v>136</v>
      </c>
      <c r="C1243" s="10" t="s">
        <v>326</v>
      </c>
      <c r="D1243" s="10" t="s">
        <v>304</v>
      </c>
      <c r="E1243" s="10">
        <v>6667</v>
      </c>
      <c r="F1243" s="10" t="s">
        <v>115</v>
      </c>
      <c r="G1243" s="4" t="s">
        <v>128</v>
      </c>
      <c r="H1243" s="4"/>
      <c r="I1243" s="4">
        <f t="shared" si="58"/>
        <v>43320</v>
      </c>
      <c r="J1243" s="4">
        <v>43320</v>
      </c>
      <c r="K1243" s="4">
        <f t="shared" si="59"/>
        <v>0</v>
      </c>
      <c r="L1243" s="1">
        <v>43320</v>
      </c>
      <c r="M1243" s="93">
        <f t="shared" si="57"/>
        <v>0</v>
      </c>
      <c r="N1243" s="2"/>
      <c r="O1243" s="97"/>
      <c r="P1243" s="52"/>
    </row>
    <row r="1244" spans="1:16" ht="40.950000000000003" customHeight="1" x14ac:dyDescent="0.3">
      <c r="A1244" s="4">
        <v>36</v>
      </c>
      <c r="B1244" s="10" t="s">
        <v>136</v>
      </c>
      <c r="C1244" s="10" t="s">
        <v>326</v>
      </c>
      <c r="D1244" s="10" t="s">
        <v>304</v>
      </c>
      <c r="E1244" s="10">
        <v>6667</v>
      </c>
      <c r="F1244" s="10" t="s">
        <v>115</v>
      </c>
      <c r="G1244" s="4" t="s">
        <v>64</v>
      </c>
      <c r="H1244" s="4"/>
      <c r="I1244" s="4">
        <f t="shared" si="58"/>
        <v>52440</v>
      </c>
      <c r="J1244" s="4">
        <v>52440</v>
      </c>
      <c r="K1244" s="4">
        <f t="shared" si="59"/>
        <v>0</v>
      </c>
      <c r="L1244" s="1">
        <v>52440</v>
      </c>
      <c r="M1244" s="93">
        <f t="shared" si="57"/>
        <v>0</v>
      </c>
      <c r="N1244" s="2"/>
      <c r="O1244" s="97"/>
      <c r="P1244" s="52"/>
    </row>
    <row r="1245" spans="1:16" ht="40.950000000000003" customHeight="1" x14ac:dyDescent="0.3">
      <c r="A1245" s="4">
        <v>36</v>
      </c>
      <c r="B1245" s="10" t="s">
        <v>136</v>
      </c>
      <c r="C1245" s="10" t="s">
        <v>326</v>
      </c>
      <c r="D1245" s="10" t="s">
        <v>304</v>
      </c>
      <c r="E1245" s="10">
        <v>6667</v>
      </c>
      <c r="F1245" s="10" t="s">
        <v>115</v>
      </c>
      <c r="G1245" s="4" t="s">
        <v>122</v>
      </c>
      <c r="H1245" s="4"/>
      <c r="I1245" s="4">
        <f t="shared" si="58"/>
        <v>55485</v>
      </c>
      <c r="J1245" s="4">
        <v>55485</v>
      </c>
      <c r="K1245" s="4">
        <f t="shared" si="59"/>
        <v>0</v>
      </c>
      <c r="L1245" s="1">
        <v>55485</v>
      </c>
      <c r="M1245" s="93">
        <f t="shared" si="57"/>
        <v>0</v>
      </c>
      <c r="N1245" s="2"/>
      <c r="O1245" s="97"/>
      <c r="P1245" s="52"/>
    </row>
    <row r="1246" spans="1:16" ht="40.950000000000003" customHeight="1" x14ac:dyDescent="0.3">
      <c r="A1246" s="4">
        <v>36</v>
      </c>
      <c r="B1246" s="10" t="s">
        <v>136</v>
      </c>
      <c r="C1246" s="10" t="s">
        <v>326</v>
      </c>
      <c r="D1246" s="10" t="s">
        <v>304</v>
      </c>
      <c r="E1246" s="10">
        <v>6667</v>
      </c>
      <c r="F1246" s="10" t="s">
        <v>115</v>
      </c>
      <c r="G1246" s="4" t="s">
        <v>143</v>
      </c>
      <c r="H1246" s="4"/>
      <c r="I1246" s="4">
        <f t="shared" si="58"/>
        <v>79800</v>
      </c>
      <c r="J1246" s="4">
        <v>79800</v>
      </c>
      <c r="K1246" s="4">
        <f t="shared" si="59"/>
        <v>0</v>
      </c>
      <c r="L1246" s="1">
        <v>79800</v>
      </c>
      <c r="M1246" s="93">
        <f t="shared" si="57"/>
        <v>0</v>
      </c>
      <c r="N1246" s="2"/>
      <c r="O1246" s="97"/>
      <c r="P1246" s="52"/>
    </row>
    <row r="1247" spans="1:16" ht="40.950000000000003" customHeight="1" x14ac:dyDescent="0.3">
      <c r="A1247" s="4">
        <v>36</v>
      </c>
      <c r="B1247" s="10" t="s">
        <v>136</v>
      </c>
      <c r="C1247" s="10" t="s">
        <v>326</v>
      </c>
      <c r="D1247" s="10" t="s">
        <v>304</v>
      </c>
      <c r="E1247" s="10">
        <v>6667</v>
      </c>
      <c r="F1247" s="10" t="s">
        <v>115</v>
      </c>
      <c r="G1247" s="4" t="s">
        <v>181</v>
      </c>
      <c r="H1247" s="4"/>
      <c r="I1247" s="4">
        <f t="shared" si="58"/>
        <v>25650</v>
      </c>
      <c r="J1247" s="4">
        <v>25650</v>
      </c>
      <c r="K1247" s="4">
        <f t="shared" si="59"/>
        <v>0</v>
      </c>
      <c r="L1247" s="1">
        <v>25650</v>
      </c>
      <c r="M1247" s="93">
        <f t="shared" si="57"/>
        <v>0</v>
      </c>
      <c r="N1247" s="2"/>
      <c r="O1247" s="97"/>
      <c r="P1247" s="52"/>
    </row>
    <row r="1248" spans="1:16" ht="40.950000000000003" customHeight="1" x14ac:dyDescent="0.3">
      <c r="A1248" s="4">
        <v>36</v>
      </c>
      <c r="B1248" s="10" t="s">
        <v>136</v>
      </c>
      <c r="C1248" s="10" t="s">
        <v>326</v>
      </c>
      <c r="D1248" s="10" t="s">
        <v>304</v>
      </c>
      <c r="E1248" s="10">
        <v>6667</v>
      </c>
      <c r="F1248" s="10" t="s">
        <v>115</v>
      </c>
      <c r="G1248" s="4" t="s">
        <v>48</v>
      </c>
      <c r="H1248" s="4"/>
      <c r="I1248" s="4">
        <f t="shared" si="58"/>
        <v>55200</v>
      </c>
      <c r="J1248" s="4">
        <v>55200</v>
      </c>
      <c r="K1248" s="4">
        <f t="shared" si="59"/>
        <v>0</v>
      </c>
      <c r="L1248" s="1">
        <v>55200</v>
      </c>
      <c r="M1248" s="93">
        <f t="shared" si="57"/>
        <v>0</v>
      </c>
      <c r="N1248" s="2"/>
      <c r="O1248" s="97"/>
      <c r="P1248" s="52"/>
    </row>
    <row r="1249" spans="1:16" ht="40.950000000000003" customHeight="1" x14ac:dyDescent="0.3">
      <c r="A1249" s="4">
        <v>37</v>
      </c>
      <c r="B1249" s="10" t="s">
        <v>62</v>
      </c>
      <c r="C1249" s="10"/>
      <c r="D1249" s="10"/>
      <c r="E1249" s="10"/>
      <c r="F1249" s="10" t="s">
        <v>115</v>
      </c>
      <c r="G1249" s="4" t="s">
        <v>70</v>
      </c>
      <c r="H1249" s="4"/>
      <c r="I1249" s="4">
        <f t="shared" si="58"/>
        <v>52080</v>
      </c>
      <c r="J1249" s="4">
        <v>52080</v>
      </c>
      <c r="K1249" s="4">
        <f t="shared" si="59"/>
        <v>0</v>
      </c>
      <c r="L1249" s="1">
        <v>52080</v>
      </c>
      <c r="M1249" s="93">
        <f t="shared" si="57"/>
        <v>0</v>
      </c>
      <c r="N1249" s="2"/>
      <c r="O1249" s="97"/>
      <c r="P1249" s="52"/>
    </row>
    <row r="1250" spans="1:16" ht="40.950000000000003" customHeight="1" x14ac:dyDescent="0.3">
      <c r="A1250" s="4">
        <v>37</v>
      </c>
      <c r="B1250" s="10" t="s">
        <v>62</v>
      </c>
      <c r="C1250" s="10"/>
      <c r="D1250" s="10"/>
      <c r="E1250" s="10"/>
      <c r="F1250" s="10" t="s">
        <v>115</v>
      </c>
      <c r="G1250" s="4" t="s">
        <v>90</v>
      </c>
      <c r="H1250" s="4"/>
      <c r="I1250" s="4">
        <f t="shared" si="58"/>
        <v>24990</v>
      </c>
      <c r="J1250" s="4">
        <v>24990</v>
      </c>
      <c r="K1250" s="4">
        <f t="shared" si="59"/>
        <v>0</v>
      </c>
      <c r="L1250" s="1">
        <v>24990</v>
      </c>
      <c r="M1250" s="93">
        <f t="shared" si="57"/>
        <v>0</v>
      </c>
      <c r="N1250" s="2"/>
      <c r="O1250" s="97"/>
      <c r="P1250" s="52"/>
    </row>
    <row r="1251" spans="1:16" ht="40.950000000000003" customHeight="1" x14ac:dyDescent="0.3">
      <c r="A1251" s="4">
        <v>37</v>
      </c>
      <c r="B1251" s="10" t="s">
        <v>62</v>
      </c>
      <c r="C1251" s="10"/>
      <c r="D1251" s="10"/>
      <c r="E1251" s="10"/>
      <c r="F1251" s="10" t="s">
        <v>115</v>
      </c>
      <c r="G1251" s="4" t="s">
        <v>48</v>
      </c>
      <c r="H1251" s="4"/>
      <c r="I1251" s="4">
        <f t="shared" si="58"/>
        <v>8400</v>
      </c>
      <c r="J1251" s="4">
        <v>8400</v>
      </c>
      <c r="K1251" s="4">
        <f t="shared" si="59"/>
        <v>0</v>
      </c>
      <c r="L1251" s="1">
        <v>8400</v>
      </c>
      <c r="M1251" s="93">
        <f t="shared" si="57"/>
        <v>0</v>
      </c>
      <c r="N1251" s="2"/>
      <c r="O1251" s="97"/>
      <c r="P1251" s="52"/>
    </row>
    <row r="1252" spans="1:16" ht="40.950000000000003" customHeight="1" x14ac:dyDescent="0.3">
      <c r="A1252" s="4">
        <v>37</v>
      </c>
      <c r="B1252" s="10" t="s">
        <v>62</v>
      </c>
      <c r="C1252" s="10"/>
      <c r="D1252" s="10"/>
      <c r="E1252" s="10"/>
      <c r="F1252" s="10" t="s">
        <v>115</v>
      </c>
      <c r="G1252" s="4" t="s">
        <v>22</v>
      </c>
      <c r="H1252" s="4"/>
      <c r="I1252" s="4">
        <f t="shared" si="58"/>
        <v>58800</v>
      </c>
      <c r="J1252" s="4">
        <v>58800</v>
      </c>
      <c r="K1252" s="4">
        <f t="shared" si="59"/>
        <v>0</v>
      </c>
      <c r="L1252" s="1">
        <v>58800</v>
      </c>
      <c r="M1252" s="93">
        <f t="shared" si="57"/>
        <v>0</v>
      </c>
      <c r="N1252" s="2"/>
      <c r="O1252" s="97"/>
      <c r="P1252" s="52"/>
    </row>
    <row r="1253" spans="1:16" ht="40.950000000000003" customHeight="1" x14ac:dyDescent="0.3">
      <c r="A1253" s="4">
        <v>37</v>
      </c>
      <c r="B1253" s="10" t="s">
        <v>62</v>
      </c>
      <c r="C1253" s="10"/>
      <c r="D1253" s="10"/>
      <c r="E1253" s="10"/>
      <c r="F1253" s="10" t="s">
        <v>115</v>
      </c>
      <c r="G1253" s="4" t="s">
        <v>51</v>
      </c>
      <c r="H1253" s="4"/>
      <c r="I1253" s="4">
        <f t="shared" si="58"/>
        <v>16800</v>
      </c>
      <c r="J1253" s="4">
        <v>16800</v>
      </c>
      <c r="K1253" s="4">
        <f t="shared" si="59"/>
        <v>0</v>
      </c>
      <c r="L1253" s="1">
        <v>16800</v>
      </c>
      <c r="M1253" s="93">
        <f t="shared" si="57"/>
        <v>0</v>
      </c>
      <c r="N1253" s="2"/>
      <c r="O1253" s="97"/>
      <c r="P1253" s="52"/>
    </row>
    <row r="1254" spans="1:16" ht="40.950000000000003" customHeight="1" x14ac:dyDescent="0.3">
      <c r="A1254" s="4">
        <v>37</v>
      </c>
      <c r="B1254" s="10" t="s">
        <v>62</v>
      </c>
      <c r="C1254" s="10"/>
      <c r="D1254" s="10"/>
      <c r="E1254" s="10"/>
      <c r="F1254" s="10" t="s">
        <v>115</v>
      </c>
      <c r="G1254" s="4" t="s">
        <v>11</v>
      </c>
      <c r="H1254" s="4"/>
      <c r="I1254" s="4">
        <f t="shared" si="58"/>
        <v>84140</v>
      </c>
      <c r="J1254" s="4">
        <v>84140</v>
      </c>
      <c r="K1254" s="4">
        <f t="shared" si="59"/>
        <v>0</v>
      </c>
      <c r="L1254" s="1">
        <v>84140</v>
      </c>
      <c r="M1254" s="93">
        <f t="shared" si="57"/>
        <v>0</v>
      </c>
      <c r="N1254" s="2"/>
      <c r="O1254" s="97"/>
      <c r="P1254" s="52"/>
    </row>
    <row r="1255" spans="1:16" ht="40.950000000000003" customHeight="1" x14ac:dyDescent="0.3">
      <c r="A1255" s="4">
        <v>37</v>
      </c>
      <c r="B1255" s="10" t="s">
        <v>62</v>
      </c>
      <c r="C1255" s="10"/>
      <c r="D1255" s="10"/>
      <c r="E1255" s="10"/>
      <c r="F1255" s="10" t="s">
        <v>115</v>
      </c>
      <c r="G1255" s="4" t="s">
        <v>7</v>
      </c>
      <c r="H1255" s="4"/>
      <c r="I1255" s="4">
        <f t="shared" si="58"/>
        <v>96880</v>
      </c>
      <c r="J1255" s="4">
        <v>96880</v>
      </c>
      <c r="K1255" s="4">
        <f t="shared" si="59"/>
        <v>0</v>
      </c>
      <c r="L1255" s="1">
        <v>96880</v>
      </c>
      <c r="M1255" s="93">
        <f t="shared" si="57"/>
        <v>0</v>
      </c>
      <c r="N1255" s="2"/>
      <c r="O1255" s="97"/>
      <c r="P1255" s="52"/>
    </row>
    <row r="1256" spans="1:16" ht="40.950000000000003" customHeight="1" x14ac:dyDescent="0.3">
      <c r="A1256" s="4">
        <v>37</v>
      </c>
      <c r="B1256" s="10" t="s">
        <v>62</v>
      </c>
      <c r="C1256" s="10"/>
      <c r="D1256" s="10"/>
      <c r="E1256" s="10"/>
      <c r="F1256" s="10" t="s">
        <v>115</v>
      </c>
      <c r="G1256" s="4" t="s">
        <v>8</v>
      </c>
      <c r="H1256" s="4"/>
      <c r="I1256" s="4">
        <f t="shared" si="58"/>
        <v>39350</v>
      </c>
      <c r="J1256" s="4">
        <v>39350</v>
      </c>
      <c r="K1256" s="4">
        <f t="shared" si="59"/>
        <v>0</v>
      </c>
      <c r="L1256" s="1">
        <v>39350</v>
      </c>
      <c r="M1256" s="93">
        <f t="shared" si="57"/>
        <v>0</v>
      </c>
      <c r="N1256" s="2"/>
      <c r="O1256" s="97"/>
      <c r="P1256" s="52"/>
    </row>
    <row r="1257" spans="1:16" ht="40.950000000000003" customHeight="1" x14ac:dyDescent="0.3">
      <c r="A1257" s="4">
        <v>37</v>
      </c>
      <c r="B1257" s="10" t="s">
        <v>62</v>
      </c>
      <c r="C1257" s="10"/>
      <c r="D1257" s="10"/>
      <c r="E1257" s="10"/>
      <c r="F1257" s="10" t="s">
        <v>115</v>
      </c>
      <c r="G1257" s="4" t="s">
        <v>9</v>
      </c>
      <c r="H1257" s="4"/>
      <c r="I1257" s="4">
        <f t="shared" si="58"/>
        <v>109135</v>
      </c>
      <c r="J1257" s="4">
        <v>109135</v>
      </c>
      <c r="K1257" s="4">
        <f t="shared" si="59"/>
        <v>0</v>
      </c>
      <c r="L1257" s="1">
        <v>109135</v>
      </c>
      <c r="M1257" s="93">
        <f t="shared" si="57"/>
        <v>0</v>
      </c>
      <c r="N1257" s="2"/>
      <c r="O1257" s="97"/>
      <c r="P1257" s="52"/>
    </row>
    <row r="1258" spans="1:16" ht="40.950000000000003" customHeight="1" x14ac:dyDescent="0.3">
      <c r="A1258" s="4">
        <v>37</v>
      </c>
      <c r="B1258" s="10" t="s">
        <v>62</v>
      </c>
      <c r="C1258" s="10"/>
      <c r="D1258" s="10"/>
      <c r="E1258" s="10"/>
      <c r="F1258" s="10" t="s">
        <v>115</v>
      </c>
      <c r="G1258" s="4" t="s">
        <v>39</v>
      </c>
      <c r="H1258" s="4"/>
      <c r="I1258" s="4">
        <f t="shared" si="58"/>
        <v>44800</v>
      </c>
      <c r="J1258" s="4">
        <v>44800</v>
      </c>
      <c r="K1258" s="4">
        <f t="shared" si="59"/>
        <v>0</v>
      </c>
      <c r="L1258" s="1">
        <v>44800</v>
      </c>
      <c r="M1258" s="93">
        <f t="shared" si="57"/>
        <v>0</v>
      </c>
      <c r="N1258" s="2"/>
      <c r="O1258" s="97"/>
      <c r="P1258" s="52"/>
    </row>
    <row r="1259" spans="1:16" ht="40.950000000000003" customHeight="1" x14ac:dyDescent="0.3">
      <c r="A1259" s="4">
        <v>37</v>
      </c>
      <c r="B1259" s="10" t="s">
        <v>62</v>
      </c>
      <c r="C1259" s="10"/>
      <c r="D1259" s="10"/>
      <c r="E1259" s="10"/>
      <c r="F1259" s="10" t="s">
        <v>115</v>
      </c>
      <c r="G1259" s="4" t="s">
        <v>14</v>
      </c>
      <c r="H1259" s="4"/>
      <c r="I1259" s="4">
        <f t="shared" si="58"/>
        <v>49950</v>
      </c>
      <c r="J1259" s="4">
        <v>49950</v>
      </c>
      <c r="K1259" s="4">
        <f t="shared" si="59"/>
        <v>0</v>
      </c>
      <c r="L1259" s="1">
        <v>49950</v>
      </c>
      <c r="M1259" s="93">
        <f t="shared" si="57"/>
        <v>0</v>
      </c>
      <c r="N1259" s="2"/>
      <c r="O1259" s="97"/>
      <c r="P1259" s="52"/>
    </row>
    <row r="1260" spans="1:16" ht="40.950000000000003" customHeight="1" x14ac:dyDescent="0.3">
      <c r="A1260" s="4">
        <v>38</v>
      </c>
      <c r="B1260" s="10" t="s">
        <v>137</v>
      </c>
      <c r="C1260" s="10"/>
      <c r="D1260" s="10"/>
      <c r="E1260" s="10"/>
      <c r="F1260" s="10" t="s">
        <v>115</v>
      </c>
      <c r="G1260" s="4" t="s">
        <v>90</v>
      </c>
      <c r="H1260" s="4"/>
      <c r="I1260" s="4">
        <f t="shared" si="58"/>
        <v>25760</v>
      </c>
      <c r="J1260" s="4">
        <v>25760</v>
      </c>
      <c r="K1260" s="4">
        <f t="shared" si="59"/>
        <v>0</v>
      </c>
      <c r="L1260" s="1">
        <v>25760</v>
      </c>
      <c r="M1260" s="93">
        <f t="shared" si="57"/>
        <v>0</v>
      </c>
      <c r="N1260" s="2"/>
      <c r="O1260" s="97"/>
      <c r="P1260" s="52"/>
    </row>
    <row r="1261" spans="1:16" ht="40.950000000000003" customHeight="1" x14ac:dyDescent="0.3">
      <c r="A1261" s="4">
        <v>39</v>
      </c>
      <c r="B1261" s="10" t="s">
        <v>175</v>
      </c>
      <c r="C1261" s="10" t="s">
        <v>322</v>
      </c>
      <c r="D1261" s="10" t="s">
        <v>288</v>
      </c>
      <c r="E1261" s="10">
        <v>38006</v>
      </c>
      <c r="F1261" s="10" t="s">
        <v>115</v>
      </c>
      <c r="G1261" s="4" t="s">
        <v>7</v>
      </c>
      <c r="H1261" s="4"/>
      <c r="I1261" s="4">
        <f t="shared" si="58"/>
        <v>9690</v>
      </c>
      <c r="J1261" s="4">
        <v>9690</v>
      </c>
      <c r="K1261" s="4">
        <f t="shared" si="59"/>
        <v>0</v>
      </c>
      <c r="L1261" s="1">
        <v>9690</v>
      </c>
      <c r="M1261" s="93">
        <f t="shared" si="57"/>
        <v>0</v>
      </c>
      <c r="N1261" s="2"/>
      <c r="O1261" s="97"/>
      <c r="P1261" s="52"/>
    </row>
    <row r="1262" spans="1:16" ht="40.950000000000003" customHeight="1" x14ac:dyDescent="0.3">
      <c r="A1262" s="4">
        <v>39</v>
      </c>
      <c r="B1262" s="10" t="s">
        <v>175</v>
      </c>
      <c r="C1262" s="10" t="s">
        <v>322</v>
      </c>
      <c r="D1262" s="10" t="s">
        <v>288</v>
      </c>
      <c r="E1262" s="10">
        <v>38006</v>
      </c>
      <c r="F1262" s="10" t="s">
        <v>115</v>
      </c>
      <c r="G1262" s="4" t="s">
        <v>9</v>
      </c>
      <c r="H1262" s="4"/>
      <c r="I1262" s="4">
        <f t="shared" si="58"/>
        <v>18810</v>
      </c>
      <c r="J1262" s="4">
        <v>18810</v>
      </c>
      <c r="K1262" s="4">
        <f t="shared" si="59"/>
        <v>0</v>
      </c>
      <c r="L1262" s="1">
        <v>18810</v>
      </c>
      <c r="M1262" s="93">
        <f t="shared" si="57"/>
        <v>0</v>
      </c>
      <c r="N1262" s="2"/>
      <c r="O1262" s="97"/>
      <c r="P1262" s="52"/>
    </row>
    <row r="1263" spans="1:16" ht="40.950000000000003" customHeight="1" x14ac:dyDescent="0.3">
      <c r="A1263" s="4">
        <v>39</v>
      </c>
      <c r="B1263" s="10" t="s">
        <v>175</v>
      </c>
      <c r="C1263" s="10" t="s">
        <v>322</v>
      </c>
      <c r="D1263" s="10" t="s">
        <v>288</v>
      </c>
      <c r="E1263" s="10">
        <v>38006</v>
      </c>
      <c r="F1263" s="10" t="s">
        <v>115</v>
      </c>
      <c r="G1263" s="4" t="s">
        <v>11</v>
      </c>
      <c r="H1263" s="4"/>
      <c r="I1263" s="4">
        <f t="shared" si="58"/>
        <v>43730</v>
      </c>
      <c r="J1263" s="4">
        <v>43730</v>
      </c>
      <c r="K1263" s="4">
        <f t="shared" si="59"/>
        <v>0</v>
      </c>
      <c r="L1263" s="1">
        <v>43730</v>
      </c>
      <c r="M1263" s="93">
        <f t="shared" si="57"/>
        <v>0</v>
      </c>
      <c r="N1263" s="2"/>
      <c r="O1263" s="97"/>
      <c r="P1263" s="52"/>
    </row>
    <row r="1264" spans="1:16" ht="40.950000000000003" customHeight="1" x14ac:dyDescent="0.3">
      <c r="A1264" s="4">
        <v>39</v>
      </c>
      <c r="B1264" s="10" t="s">
        <v>175</v>
      </c>
      <c r="C1264" s="10" t="s">
        <v>322</v>
      </c>
      <c r="D1264" s="10" t="s">
        <v>288</v>
      </c>
      <c r="E1264" s="10">
        <v>38006</v>
      </c>
      <c r="F1264" s="10" t="s">
        <v>115</v>
      </c>
      <c r="G1264" s="4" t="s">
        <v>70</v>
      </c>
      <c r="H1264" s="4"/>
      <c r="I1264" s="4">
        <f t="shared" si="58"/>
        <v>8720</v>
      </c>
      <c r="J1264" s="4">
        <v>8720</v>
      </c>
      <c r="K1264" s="4">
        <f t="shared" si="59"/>
        <v>0</v>
      </c>
      <c r="L1264" s="1">
        <v>8720</v>
      </c>
      <c r="M1264" s="93">
        <f t="shared" ref="M1264:M1327" si="60">O1264-N1264</f>
        <v>0</v>
      </c>
      <c r="N1264" s="2"/>
      <c r="O1264" s="97"/>
      <c r="P1264" s="52"/>
    </row>
    <row r="1265" spans="1:16" ht="40.950000000000003" customHeight="1" x14ac:dyDescent="0.3">
      <c r="A1265" s="4">
        <v>39</v>
      </c>
      <c r="B1265" s="10" t="s">
        <v>175</v>
      </c>
      <c r="C1265" s="10" t="s">
        <v>322</v>
      </c>
      <c r="D1265" s="10" t="s">
        <v>288</v>
      </c>
      <c r="E1265" s="10">
        <v>38006</v>
      </c>
      <c r="F1265" s="10" t="s">
        <v>115</v>
      </c>
      <c r="G1265" s="4" t="s">
        <v>50</v>
      </c>
      <c r="H1265" s="4"/>
      <c r="I1265" s="4">
        <f t="shared" si="58"/>
        <v>9690</v>
      </c>
      <c r="J1265" s="4">
        <v>9690</v>
      </c>
      <c r="K1265" s="4">
        <f t="shared" si="59"/>
        <v>0</v>
      </c>
      <c r="L1265" s="1">
        <v>9690</v>
      </c>
      <c r="M1265" s="93">
        <f t="shared" si="60"/>
        <v>0</v>
      </c>
      <c r="N1265" s="2"/>
      <c r="O1265" s="97"/>
      <c r="P1265" s="52"/>
    </row>
    <row r="1266" spans="1:16" ht="40.950000000000003" customHeight="1" x14ac:dyDescent="0.3">
      <c r="A1266" s="4">
        <v>39</v>
      </c>
      <c r="B1266" s="10" t="s">
        <v>175</v>
      </c>
      <c r="C1266" s="10" t="s">
        <v>322</v>
      </c>
      <c r="D1266" s="10" t="s">
        <v>288</v>
      </c>
      <c r="E1266" s="10">
        <v>38006</v>
      </c>
      <c r="F1266" s="10" t="s">
        <v>115</v>
      </c>
      <c r="G1266" s="4" t="s">
        <v>39</v>
      </c>
      <c r="H1266" s="4"/>
      <c r="I1266" s="4">
        <f t="shared" si="58"/>
        <v>28500</v>
      </c>
      <c r="J1266" s="4">
        <v>28500</v>
      </c>
      <c r="K1266" s="4">
        <f t="shared" si="59"/>
        <v>0</v>
      </c>
      <c r="L1266" s="1">
        <v>28500</v>
      </c>
      <c r="M1266" s="93">
        <f t="shared" si="60"/>
        <v>0</v>
      </c>
      <c r="N1266" s="2"/>
      <c r="O1266" s="97"/>
      <c r="P1266" s="52"/>
    </row>
    <row r="1267" spans="1:16" ht="40.950000000000003" customHeight="1" x14ac:dyDescent="0.3">
      <c r="A1267" s="4">
        <v>39</v>
      </c>
      <c r="B1267" s="10" t="s">
        <v>175</v>
      </c>
      <c r="C1267" s="10" t="s">
        <v>322</v>
      </c>
      <c r="D1267" s="10" t="s">
        <v>288</v>
      </c>
      <c r="E1267" s="10">
        <v>38006</v>
      </c>
      <c r="F1267" s="10" t="s">
        <v>115</v>
      </c>
      <c r="G1267" s="4" t="s">
        <v>128</v>
      </c>
      <c r="H1267" s="4"/>
      <c r="I1267" s="4">
        <f t="shared" si="58"/>
        <v>36480</v>
      </c>
      <c r="J1267" s="4">
        <v>36480</v>
      </c>
      <c r="K1267" s="4">
        <f t="shared" si="59"/>
        <v>0</v>
      </c>
      <c r="L1267" s="1">
        <v>36480</v>
      </c>
      <c r="M1267" s="93">
        <f t="shared" si="60"/>
        <v>0</v>
      </c>
      <c r="N1267" s="2"/>
      <c r="O1267" s="97"/>
      <c r="P1267" s="52"/>
    </row>
    <row r="1268" spans="1:16" ht="40.950000000000003" customHeight="1" x14ac:dyDescent="0.3">
      <c r="A1268" s="4">
        <v>39</v>
      </c>
      <c r="B1268" s="10" t="s">
        <v>175</v>
      </c>
      <c r="C1268" s="10" t="s">
        <v>322</v>
      </c>
      <c r="D1268" s="10" t="s">
        <v>288</v>
      </c>
      <c r="E1268" s="10">
        <v>38006</v>
      </c>
      <c r="F1268" s="10" t="s">
        <v>115</v>
      </c>
      <c r="G1268" s="4" t="s">
        <v>143</v>
      </c>
      <c r="H1268" s="4"/>
      <c r="I1268" s="4">
        <f t="shared" si="58"/>
        <v>18810</v>
      </c>
      <c r="J1268" s="4">
        <v>18810</v>
      </c>
      <c r="K1268" s="4">
        <f t="shared" si="59"/>
        <v>0</v>
      </c>
      <c r="L1268" s="1">
        <v>18810</v>
      </c>
      <c r="M1268" s="93">
        <f t="shared" si="60"/>
        <v>0</v>
      </c>
      <c r="N1268" s="2"/>
      <c r="O1268" s="97"/>
      <c r="P1268" s="52"/>
    </row>
    <row r="1269" spans="1:16" ht="40.950000000000003" customHeight="1" x14ac:dyDescent="0.3">
      <c r="A1269" s="4">
        <v>39</v>
      </c>
      <c r="B1269" s="10" t="s">
        <v>175</v>
      </c>
      <c r="C1269" s="10" t="s">
        <v>322</v>
      </c>
      <c r="D1269" s="10" t="s">
        <v>288</v>
      </c>
      <c r="E1269" s="10">
        <v>38006</v>
      </c>
      <c r="F1269" s="10" t="s">
        <v>115</v>
      </c>
      <c r="G1269" s="4" t="s">
        <v>64</v>
      </c>
      <c r="H1269" s="4"/>
      <c r="I1269" s="4">
        <f t="shared" si="58"/>
        <v>18810</v>
      </c>
      <c r="J1269" s="4">
        <v>18810</v>
      </c>
      <c r="K1269" s="4">
        <f t="shared" si="59"/>
        <v>0</v>
      </c>
      <c r="L1269" s="1">
        <v>18810</v>
      </c>
      <c r="M1269" s="93">
        <f t="shared" si="60"/>
        <v>0</v>
      </c>
      <c r="N1269" s="2"/>
      <c r="O1269" s="97"/>
      <c r="P1269" s="52"/>
    </row>
    <row r="1270" spans="1:16" ht="40.950000000000003" customHeight="1" x14ac:dyDescent="0.3">
      <c r="A1270" s="4">
        <v>40</v>
      </c>
      <c r="B1270" s="10" t="s">
        <v>132</v>
      </c>
      <c r="C1270" s="10" t="s">
        <v>311</v>
      </c>
      <c r="D1270" s="10" t="s">
        <v>312</v>
      </c>
      <c r="E1270" s="10">
        <v>14089</v>
      </c>
      <c r="F1270" s="10" t="s">
        <v>115</v>
      </c>
      <c r="G1270" s="4" t="s">
        <v>48</v>
      </c>
      <c r="H1270" s="4"/>
      <c r="I1270" s="4">
        <f t="shared" ref="I1270:I1333" si="61">J1270-O1270</f>
        <v>65100</v>
      </c>
      <c r="J1270" s="4">
        <v>65100</v>
      </c>
      <c r="K1270" s="4">
        <f t="shared" si="59"/>
        <v>0</v>
      </c>
      <c r="L1270" s="1">
        <v>65100</v>
      </c>
      <c r="M1270" s="93">
        <f t="shared" si="60"/>
        <v>0</v>
      </c>
      <c r="N1270" s="2"/>
      <c r="O1270" s="97"/>
      <c r="P1270" s="52"/>
    </row>
    <row r="1271" spans="1:16" ht="40.950000000000003" customHeight="1" x14ac:dyDescent="0.3">
      <c r="A1271" s="4">
        <v>40</v>
      </c>
      <c r="B1271" s="10" t="s">
        <v>132</v>
      </c>
      <c r="C1271" s="10" t="s">
        <v>311</v>
      </c>
      <c r="D1271" s="10" t="s">
        <v>312</v>
      </c>
      <c r="E1271" s="10">
        <v>14089</v>
      </c>
      <c r="F1271" s="10" t="s">
        <v>115</v>
      </c>
      <c r="G1271" s="4" t="s">
        <v>7</v>
      </c>
      <c r="H1271" s="4"/>
      <c r="I1271" s="4">
        <f t="shared" si="61"/>
        <v>22800</v>
      </c>
      <c r="J1271" s="4">
        <v>22800</v>
      </c>
      <c r="K1271" s="4">
        <f t="shared" si="59"/>
        <v>0</v>
      </c>
      <c r="L1271" s="1">
        <v>22800</v>
      </c>
      <c r="M1271" s="93">
        <f t="shared" si="60"/>
        <v>0</v>
      </c>
      <c r="N1271" s="2"/>
      <c r="O1271" s="97"/>
      <c r="P1271" s="52"/>
    </row>
    <row r="1272" spans="1:16" ht="40.950000000000003" customHeight="1" x14ac:dyDescent="0.3">
      <c r="A1272" s="4">
        <v>40</v>
      </c>
      <c r="B1272" s="10" t="s">
        <v>132</v>
      </c>
      <c r="C1272" s="10" t="s">
        <v>311</v>
      </c>
      <c r="D1272" s="10" t="s">
        <v>312</v>
      </c>
      <c r="E1272" s="10">
        <v>14089</v>
      </c>
      <c r="F1272" s="10" t="s">
        <v>115</v>
      </c>
      <c r="G1272" s="4" t="s">
        <v>70</v>
      </c>
      <c r="H1272" s="4"/>
      <c r="I1272" s="4">
        <f t="shared" si="61"/>
        <v>67780</v>
      </c>
      <c r="J1272" s="4">
        <v>67780</v>
      </c>
      <c r="K1272" s="4">
        <f t="shared" si="59"/>
        <v>0</v>
      </c>
      <c r="L1272" s="1">
        <v>67780</v>
      </c>
      <c r="M1272" s="93">
        <f t="shared" si="60"/>
        <v>0</v>
      </c>
      <c r="N1272" s="2"/>
      <c r="O1272" s="97"/>
      <c r="P1272" s="52"/>
    </row>
    <row r="1273" spans="1:16" ht="40.950000000000003" customHeight="1" x14ac:dyDescent="0.3">
      <c r="A1273" s="4">
        <v>40</v>
      </c>
      <c r="B1273" s="10" t="s">
        <v>132</v>
      </c>
      <c r="C1273" s="10" t="s">
        <v>311</v>
      </c>
      <c r="D1273" s="10" t="s">
        <v>312</v>
      </c>
      <c r="E1273" s="10">
        <v>14089</v>
      </c>
      <c r="F1273" s="10" t="s">
        <v>115</v>
      </c>
      <c r="G1273" s="4" t="s">
        <v>11</v>
      </c>
      <c r="H1273" s="4"/>
      <c r="I1273" s="4">
        <f t="shared" si="61"/>
        <v>41440</v>
      </c>
      <c r="J1273" s="4">
        <v>41440</v>
      </c>
      <c r="K1273" s="4">
        <f t="shared" si="59"/>
        <v>0</v>
      </c>
      <c r="L1273" s="1">
        <v>41440</v>
      </c>
      <c r="M1273" s="93">
        <f t="shared" si="60"/>
        <v>0</v>
      </c>
      <c r="N1273" s="2"/>
      <c r="O1273" s="97"/>
      <c r="P1273" s="52"/>
    </row>
    <row r="1274" spans="1:16" ht="40.950000000000003" customHeight="1" x14ac:dyDescent="0.3">
      <c r="A1274" s="4">
        <v>40</v>
      </c>
      <c r="B1274" s="10" t="s">
        <v>132</v>
      </c>
      <c r="C1274" s="10" t="s">
        <v>311</v>
      </c>
      <c r="D1274" s="10" t="s">
        <v>312</v>
      </c>
      <c r="E1274" s="10">
        <v>14089</v>
      </c>
      <c r="F1274" s="10" t="s">
        <v>115</v>
      </c>
      <c r="G1274" s="4" t="s">
        <v>22</v>
      </c>
      <c r="H1274" s="4"/>
      <c r="I1274" s="4">
        <f t="shared" si="61"/>
        <v>8400</v>
      </c>
      <c r="J1274" s="4">
        <v>8400</v>
      </c>
      <c r="K1274" s="4">
        <f t="shared" si="59"/>
        <v>0</v>
      </c>
      <c r="L1274" s="1">
        <v>8400</v>
      </c>
      <c r="M1274" s="93">
        <f t="shared" si="60"/>
        <v>0</v>
      </c>
      <c r="N1274" s="2"/>
      <c r="O1274" s="97"/>
      <c r="P1274" s="52"/>
    </row>
    <row r="1275" spans="1:16" ht="40.950000000000003" customHeight="1" x14ac:dyDescent="0.3">
      <c r="A1275" s="4">
        <v>40</v>
      </c>
      <c r="B1275" s="10" t="s">
        <v>132</v>
      </c>
      <c r="C1275" s="10" t="s">
        <v>311</v>
      </c>
      <c r="D1275" s="10" t="s">
        <v>312</v>
      </c>
      <c r="E1275" s="10">
        <v>14089</v>
      </c>
      <c r="F1275" s="10" t="s">
        <v>115</v>
      </c>
      <c r="G1275" s="4" t="s">
        <v>90</v>
      </c>
      <c r="H1275" s="4"/>
      <c r="I1275" s="4">
        <f t="shared" si="61"/>
        <v>25910</v>
      </c>
      <c r="J1275" s="4">
        <v>25910</v>
      </c>
      <c r="K1275" s="4">
        <f t="shared" si="59"/>
        <v>0</v>
      </c>
      <c r="L1275" s="1">
        <v>25910</v>
      </c>
      <c r="M1275" s="93">
        <f t="shared" si="60"/>
        <v>0</v>
      </c>
      <c r="N1275" s="2"/>
      <c r="O1275" s="97"/>
      <c r="P1275" s="52"/>
    </row>
    <row r="1276" spans="1:16" ht="40.950000000000003" customHeight="1" x14ac:dyDescent="0.3">
      <c r="A1276" s="4">
        <v>40</v>
      </c>
      <c r="B1276" s="10" t="s">
        <v>132</v>
      </c>
      <c r="C1276" s="10" t="s">
        <v>311</v>
      </c>
      <c r="D1276" s="10" t="s">
        <v>312</v>
      </c>
      <c r="E1276" s="10">
        <v>14089</v>
      </c>
      <c r="F1276" s="10" t="s">
        <v>115</v>
      </c>
      <c r="G1276" s="4" t="s">
        <v>9</v>
      </c>
      <c r="H1276" s="4"/>
      <c r="I1276" s="4">
        <f t="shared" si="61"/>
        <v>42300</v>
      </c>
      <c r="J1276" s="4">
        <v>42300</v>
      </c>
      <c r="K1276" s="4">
        <f t="shared" si="59"/>
        <v>0</v>
      </c>
      <c r="L1276" s="1">
        <v>42300</v>
      </c>
      <c r="M1276" s="93">
        <f t="shared" si="60"/>
        <v>0</v>
      </c>
      <c r="N1276" s="2"/>
      <c r="O1276" s="97"/>
      <c r="P1276" s="52"/>
    </row>
    <row r="1277" spans="1:16" ht="40.950000000000003" customHeight="1" x14ac:dyDescent="0.3">
      <c r="A1277" s="4">
        <v>40</v>
      </c>
      <c r="B1277" s="10" t="s">
        <v>132</v>
      </c>
      <c r="C1277" s="10" t="s">
        <v>311</v>
      </c>
      <c r="D1277" s="10" t="s">
        <v>312</v>
      </c>
      <c r="E1277" s="10">
        <v>14089</v>
      </c>
      <c r="F1277" s="10" t="s">
        <v>115</v>
      </c>
      <c r="G1277" s="4" t="s">
        <v>49</v>
      </c>
      <c r="H1277" s="4"/>
      <c r="I1277" s="4">
        <f t="shared" si="61"/>
        <v>17100</v>
      </c>
      <c r="J1277" s="4">
        <v>17100</v>
      </c>
      <c r="K1277" s="4">
        <f t="shared" si="59"/>
        <v>0</v>
      </c>
      <c r="L1277" s="1">
        <v>17100</v>
      </c>
      <c r="M1277" s="93">
        <f t="shared" si="60"/>
        <v>0</v>
      </c>
      <c r="N1277" s="2"/>
      <c r="O1277" s="97"/>
      <c r="P1277" s="52"/>
    </row>
    <row r="1278" spans="1:16" ht="40.950000000000003" customHeight="1" x14ac:dyDescent="0.3">
      <c r="A1278" s="4">
        <v>40</v>
      </c>
      <c r="B1278" s="10" t="s">
        <v>132</v>
      </c>
      <c r="C1278" s="10" t="s">
        <v>311</v>
      </c>
      <c r="D1278" s="10" t="s">
        <v>312</v>
      </c>
      <c r="E1278" s="10">
        <v>14089</v>
      </c>
      <c r="F1278" s="10" t="s">
        <v>115</v>
      </c>
      <c r="G1278" s="4" t="s">
        <v>50</v>
      </c>
      <c r="H1278" s="4"/>
      <c r="I1278" s="4">
        <f t="shared" si="61"/>
        <v>26790</v>
      </c>
      <c r="J1278" s="4">
        <v>26790</v>
      </c>
      <c r="K1278" s="4">
        <f t="shared" si="59"/>
        <v>0</v>
      </c>
      <c r="L1278" s="1">
        <v>26790</v>
      </c>
      <c r="M1278" s="93">
        <f t="shared" si="60"/>
        <v>0</v>
      </c>
      <c r="N1278" s="2"/>
      <c r="O1278" s="97"/>
      <c r="P1278" s="52"/>
    </row>
    <row r="1279" spans="1:16" ht="40.950000000000003" customHeight="1" x14ac:dyDescent="0.3">
      <c r="A1279" s="4">
        <v>40</v>
      </c>
      <c r="B1279" s="10" t="s">
        <v>132</v>
      </c>
      <c r="C1279" s="10" t="s">
        <v>311</v>
      </c>
      <c r="D1279" s="10" t="s">
        <v>312</v>
      </c>
      <c r="E1279" s="10">
        <v>14089</v>
      </c>
      <c r="F1279" s="10" t="s">
        <v>115</v>
      </c>
      <c r="G1279" s="4" t="s">
        <v>51</v>
      </c>
      <c r="H1279" s="4"/>
      <c r="I1279" s="4">
        <f t="shared" si="61"/>
        <v>38190</v>
      </c>
      <c r="J1279" s="4">
        <v>38190</v>
      </c>
      <c r="K1279" s="4">
        <f t="shared" si="59"/>
        <v>0</v>
      </c>
      <c r="L1279" s="1">
        <v>38190</v>
      </c>
      <c r="M1279" s="93">
        <f t="shared" si="60"/>
        <v>0</v>
      </c>
      <c r="N1279" s="2"/>
      <c r="O1279" s="97"/>
      <c r="P1279" s="52"/>
    </row>
    <row r="1280" spans="1:16" ht="40.950000000000003" customHeight="1" x14ac:dyDescent="0.3">
      <c r="A1280" s="4">
        <v>40</v>
      </c>
      <c r="B1280" s="10" t="s">
        <v>132</v>
      </c>
      <c r="C1280" s="10" t="s">
        <v>311</v>
      </c>
      <c r="D1280" s="10" t="s">
        <v>312</v>
      </c>
      <c r="E1280" s="10">
        <v>14089</v>
      </c>
      <c r="F1280" s="10" t="s">
        <v>115</v>
      </c>
      <c r="G1280" s="4" t="s">
        <v>39</v>
      </c>
      <c r="H1280" s="4"/>
      <c r="I1280" s="4">
        <f t="shared" si="61"/>
        <v>21090</v>
      </c>
      <c r="J1280" s="4">
        <v>21090</v>
      </c>
      <c r="K1280" s="4">
        <f t="shared" si="59"/>
        <v>0</v>
      </c>
      <c r="L1280" s="1">
        <v>21090</v>
      </c>
      <c r="M1280" s="93">
        <f t="shared" si="60"/>
        <v>0</v>
      </c>
      <c r="N1280" s="2"/>
      <c r="O1280" s="97"/>
      <c r="P1280" s="52"/>
    </row>
    <row r="1281" spans="1:16" ht="40.950000000000003" customHeight="1" x14ac:dyDescent="0.3">
      <c r="A1281" s="4">
        <v>40</v>
      </c>
      <c r="B1281" s="10" t="s">
        <v>132</v>
      </c>
      <c r="C1281" s="10" t="s">
        <v>311</v>
      </c>
      <c r="D1281" s="10" t="s">
        <v>312</v>
      </c>
      <c r="E1281" s="10">
        <v>14089</v>
      </c>
      <c r="F1281" s="10" t="s">
        <v>115</v>
      </c>
      <c r="G1281" s="4" t="s">
        <v>85</v>
      </c>
      <c r="H1281" s="4"/>
      <c r="I1281" s="4">
        <f t="shared" si="61"/>
        <v>20805</v>
      </c>
      <c r="J1281" s="4">
        <v>20805</v>
      </c>
      <c r="K1281" s="4">
        <f t="shared" si="59"/>
        <v>0</v>
      </c>
      <c r="L1281" s="1">
        <v>20805</v>
      </c>
      <c r="M1281" s="93">
        <f t="shared" si="60"/>
        <v>0</v>
      </c>
      <c r="N1281" s="2"/>
      <c r="O1281" s="97"/>
      <c r="P1281" s="52"/>
    </row>
    <row r="1282" spans="1:16" ht="40.950000000000003" customHeight="1" x14ac:dyDescent="0.3">
      <c r="A1282" s="4">
        <v>40</v>
      </c>
      <c r="B1282" s="10" t="s">
        <v>132</v>
      </c>
      <c r="C1282" s="10" t="s">
        <v>311</v>
      </c>
      <c r="D1282" s="10" t="s">
        <v>312</v>
      </c>
      <c r="E1282" s="10">
        <v>14089</v>
      </c>
      <c r="F1282" s="10" t="s">
        <v>115</v>
      </c>
      <c r="G1282" s="4" t="s">
        <v>128</v>
      </c>
      <c r="H1282" s="4"/>
      <c r="I1282" s="4">
        <f t="shared" si="61"/>
        <v>24510</v>
      </c>
      <c r="J1282" s="4">
        <v>24510</v>
      </c>
      <c r="K1282" s="4">
        <f t="shared" si="59"/>
        <v>0</v>
      </c>
      <c r="L1282" s="1">
        <v>24510</v>
      </c>
      <c r="M1282" s="93">
        <f t="shared" si="60"/>
        <v>0</v>
      </c>
      <c r="N1282" s="2"/>
      <c r="O1282" s="97"/>
      <c r="P1282" s="52"/>
    </row>
    <row r="1283" spans="1:16" ht="40.950000000000003" customHeight="1" x14ac:dyDescent="0.3">
      <c r="A1283" s="4">
        <v>40</v>
      </c>
      <c r="B1283" s="10" t="s">
        <v>132</v>
      </c>
      <c r="C1283" s="10" t="s">
        <v>311</v>
      </c>
      <c r="D1283" s="10" t="s">
        <v>312</v>
      </c>
      <c r="E1283" s="10">
        <v>14089</v>
      </c>
      <c r="F1283" s="10" t="s">
        <v>115</v>
      </c>
      <c r="G1283" s="4" t="s">
        <v>64</v>
      </c>
      <c r="H1283" s="4"/>
      <c r="I1283" s="4">
        <f t="shared" si="61"/>
        <v>8550</v>
      </c>
      <c r="J1283" s="4">
        <v>8550</v>
      </c>
      <c r="K1283" s="4">
        <f t="shared" si="59"/>
        <v>0</v>
      </c>
      <c r="L1283" s="1">
        <v>8550</v>
      </c>
      <c r="M1283" s="93">
        <f t="shared" si="60"/>
        <v>0</v>
      </c>
      <c r="N1283" s="2"/>
      <c r="O1283" s="97"/>
      <c r="P1283" s="52"/>
    </row>
    <row r="1284" spans="1:16" ht="40.950000000000003" customHeight="1" x14ac:dyDescent="0.3">
      <c r="A1284" s="4">
        <v>40</v>
      </c>
      <c r="B1284" s="10" t="s">
        <v>132</v>
      </c>
      <c r="C1284" s="10" t="s">
        <v>311</v>
      </c>
      <c r="D1284" s="10" t="s">
        <v>312</v>
      </c>
      <c r="E1284" s="10">
        <v>14089</v>
      </c>
      <c r="F1284" s="10" t="s">
        <v>115</v>
      </c>
      <c r="G1284" s="4" t="s">
        <v>122</v>
      </c>
      <c r="H1284" s="4"/>
      <c r="I1284" s="4">
        <f t="shared" si="61"/>
        <v>59850</v>
      </c>
      <c r="J1284" s="4">
        <v>59850</v>
      </c>
      <c r="K1284" s="4">
        <f t="shared" si="59"/>
        <v>0</v>
      </c>
      <c r="L1284" s="1">
        <v>59850</v>
      </c>
      <c r="M1284" s="93">
        <f t="shared" si="60"/>
        <v>0</v>
      </c>
      <c r="N1284" s="2"/>
      <c r="O1284" s="97"/>
      <c r="P1284" s="52"/>
    </row>
    <row r="1285" spans="1:16" ht="40.950000000000003" customHeight="1" x14ac:dyDescent="0.3">
      <c r="A1285" s="4">
        <v>40</v>
      </c>
      <c r="B1285" s="10" t="s">
        <v>132</v>
      </c>
      <c r="C1285" s="10" t="s">
        <v>311</v>
      </c>
      <c r="D1285" s="10" t="s">
        <v>312</v>
      </c>
      <c r="E1285" s="10">
        <v>14089</v>
      </c>
      <c r="F1285" s="10" t="s">
        <v>115</v>
      </c>
      <c r="G1285" s="4" t="s">
        <v>143</v>
      </c>
      <c r="H1285" s="4"/>
      <c r="I1285" s="4">
        <f t="shared" si="61"/>
        <v>23085</v>
      </c>
      <c r="J1285" s="4">
        <v>23085</v>
      </c>
      <c r="K1285" s="4">
        <f t="shared" si="59"/>
        <v>0</v>
      </c>
      <c r="L1285" s="1">
        <v>23085</v>
      </c>
      <c r="M1285" s="93">
        <f t="shared" si="60"/>
        <v>0</v>
      </c>
      <c r="N1285" s="2"/>
      <c r="O1285" s="97"/>
      <c r="P1285" s="52"/>
    </row>
    <row r="1286" spans="1:16" ht="40.950000000000003" customHeight="1" x14ac:dyDescent="0.3">
      <c r="A1286" s="4">
        <v>40</v>
      </c>
      <c r="B1286" s="10" t="s">
        <v>132</v>
      </c>
      <c r="C1286" s="10" t="s">
        <v>311</v>
      </c>
      <c r="D1286" s="10" t="s">
        <v>312</v>
      </c>
      <c r="E1286" s="10">
        <v>14089</v>
      </c>
      <c r="F1286" s="10" t="s">
        <v>115</v>
      </c>
      <c r="G1286" s="4" t="s">
        <v>8</v>
      </c>
      <c r="H1286" s="4"/>
      <c r="I1286" s="4">
        <f t="shared" si="61"/>
        <v>16950</v>
      </c>
      <c r="J1286" s="4">
        <v>16950</v>
      </c>
      <c r="K1286" s="4">
        <f t="shared" si="59"/>
        <v>0</v>
      </c>
      <c r="L1286" s="1">
        <v>16950</v>
      </c>
      <c r="M1286" s="93">
        <f t="shared" si="60"/>
        <v>0</v>
      </c>
      <c r="N1286" s="2"/>
      <c r="O1286" s="97"/>
      <c r="P1286" s="52"/>
    </row>
    <row r="1287" spans="1:16" ht="40.950000000000003" customHeight="1" x14ac:dyDescent="0.3">
      <c r="A1287" s="4">
        <v>40</v>
      </c>
      <c r="B1287" s="10" t="s">
        <v>132</v>
      </c>
      <c r="C1287" s="10" t="s">
        <v>311</v>
      </c>
      <c r="D1287" s="10" t="s">
        <v>312</v>
      </c>
      <c r="E1287" s="10">
        <v>14089</v>
      </c>
      <c r="F1287" s="10" t="s">
        <v>115</v>
      </c>
      <c r="G1287" s="4" t="s">
        <v>402</v>
      </c>
      <c r="H1287" s="4"/>
      <c r="I1287" s="4">
        <f t="shared" si="61"/>
        <v>27360</v>
      </c>
      <c r="J1287" s="4">
        <v>27360</v>
      </c>
      <c r="K1287" s="4">
        <f t="shared" si="59"/>
        <v>0</v>
      </c>
      <c r="L1287" s="1">
        <v>27360</v>
      </c>
      <c r="M1287" s="93">
        <f t="shared" si="60"/>
        <v>0</v>
      </c>
      <c r="N1287" s="2"/>
      <c r="O1287" s="97"/>
      <c r="P1287" s="52"/>
    </row>
    <row r="1288" spans="1:16" ht="40.950000000000003" customHeight="1" x14ac:dyDescent="0.3">
      <c r="A1288" s="4">
        <v>40</v>
      </c>
      <c r="B1288" s="10" t="s">
        <v>132</v>
      </c>
      <c r="C1288" s="10" t="s">
        <v>311</v>
      </c>
      <c r="D1288" s="10" t="s">
        <v>312</v>
      </c>
      <c r="E1288" s="10">
        <v>14089</v>
      </c>
      <c r="F1288" s="10" t="s">
        <v>115</v>
      </c>
      <c r="G1288" s="4" t="s">
        <v>200</v>
      </c>
      <c r="H1288" s="4"/>
      <c r="I1288" s="4">
        <f t="shared" si="61"/>
        <v>8550</v>
      </c>
      <c r="J1288" s="4">
        <v>8550</v>
      </c>
      <c r="K1288" s="4">
        <f t="shared" si="59"/>
        <v>0</v>
      </c>
      <c r="L1288" s="1">
        <v>8550</v>
      </c>
      <c r="M1288" s="93">
        <f t="shared" si="60"/>
        <v>0</v>
      </c>
      <c r="N1288" s="2"/>
      <c r="O1288" s="97"/>
      <c r="P1288" s="52"/>
    </row>
    <row r="1289" spans="1:16" ht="40.950000000000003" customHeight="1" x14ac:dyDescent="0.3">
      <c r="A1289" s="4">
        <v>41</v>
      </c>
      <c r="B1289" s="10" t="s">
        <v>133</v>
      </c>
      <c r="C1289" s="10"/>
      <c r="D1289" s="10"/>
      <c r="E1289" s="10"/>
      <c r="F1289" s="10" t="s">
        <v>115</v>
      </c>
      <c r="G1289" s="4" t="s">
        <v>7</v>
      </c>
      <c r="H1289" s="4"/>
      <c r="I1289" s="4">
        <f t="shared" si="61"/>
        <v>39500</v>
      </c>
      <c r="J1289" s="4">
        <v>39500</v>
      </c>
      <c r="K1289" s="4">
        <f t="shared" si="59"/>
        <v>0</v>
      </c>
      <c r="L1289" s="1">
        <v>39500</v>
      </c>
      <c r="M1289" s="93">
        <f t="shared" si="60"/>
        <v>0</v>
      </c>
      <c r="N1289" s="2"/>
      <c r="O1289" s="97"/>
      <c r="P1289" s="52"/>
    </row>
    <row r="1290" spans="1:16" ht="40.950000000000003" customHeight="1" x14ac:dyDescent="0.3">
      <c r="A1290" s="4">
        <v>41</v>
      </c>
      <c r="B1290" s="10" t="s">
        <v>133</v>
      </c>
      <c r="C1290" s="10"/>
      <c r="D1290" s="10"/>
      <c r="E1290" s="10"/>
      <c r="F1290" s="10" t="s">
        <v>115</v>
      </c>
      <c r="G1290" s="4" t="s">
        <v>9</v>
      </c>
      <c r="H1290" s="4"/>
      <c r="I1290" s="4">
        <f t="shared" si="61"/>
        <v>27720</v>
      </c>
      <c r="J1290" s="4">
        <v>27720</v>
      </c>
      <c r="K1290" s="4">
        <f t="shared" si="59"/>
        <v>0</v>
      </c>
      <c r="L1290" s="1">
        <v>27720</v>
      </c>
      <c r="M1290" s="93">
        <f t="shared" si="60"/>
        <v>0</v>
      </c>
      <c r="N1290" s="2"/>
      <c r="O1290" s="97"/>
      <c r="P1290" s="52"/>
    </row>
    <row r="1291" spans="1:16" ht="40.950000000000003" customHeight="1" x14ac:dyDescent="0.3">
      <c r="A1291" s="4">
        <v>41</v>
      </c>
      <c r="B1291" s="10" t="s">
        <v>133</v>
      </c>
      <c r="C1291" s="10"/>
      <c r="D1291" s="10"/>
      <c r="E1291" s="10"/>
      <c r="F1291" s="10" t="s">
        <v>115</v>
      </c>
      <c r="G1291" s="4" t="s">
        <v>70</v>
      </c>
      <c r="H1291" s="4"/>
      <c r="I1291" s="4">
        <f t="shared" si="61"/>
        <v>8400</v>
      </c>
      <c r="J1291" s="4">
        <v>8400</v>
      </c>
      <c r="K1291" s="4">
        <f t="shared" si="59"/>
        <v>0</v>
      </c>
      <c r="L1291" s="1">
        <v>8400</v>
      </c>
      <c r="M1291" s="93">
        <f t="shared" si="60"/>
        <v>0</v>
      </c>
      <c r="N1291" s="2"/>
      <c r="O1291" s="97"/>
      <c r="P1291" s="52"/>
    </row>
    <row r="1292" spans="1:16" ht="40.950000000000003" customHeight="1" x14ac:dyDescent="0.3">
      <c r="A1292" s="4">
        <v>41</v>
      </c>
      <c r="B1292" s="10" t="s">
        <v>133</v>
      </c>
      <c r="C1292" s="10"/>
      <c r="D1292" s="10"/>
      <c r="E1292" s="10"/>
      <c r="F1292" s="10" t="s">
        <v>115</v>
      </c>
      <c r="G1292" s="4" t="s">
        <v>22</v>
      </c>
      <c r="H1292" s="4"/>
      <c r="I1292" s="4">
        <f t="shared" si="61"/>
        <v>59230</v>
      </c>
      <c r="J1292" s="4">
        <v>59230</v>
      </c>
      <c r="K1292" s="4">
        <f t="shared" si="59"/>
        <v>0</v>
      </c>
      <c r="L1292" s="1">
        <v>59230</v>
      </c>
      <c r="M1292" s="93">
        <f t="shared" si="60"/>
        <v>0</v>
      </c>
      <c r="N1292" s="2"/>
      <c r="O1292" s="97"/>
      <c r="P1292" s="52"/>
    </row>
    <row r="1293" spans="1:16" ht="40.950000000000003" customHeight="1" x14ac:dyDescent="0.3">
      <c r="A1293" s="4">
        <v>41</v>
      </c>
      <c r="B1293" s="10" t="s">
        <v>133</v>
      </c>
      <c r="C1293" s="10"/>
      <c r="D1293" s="10"/>
      <c r="E1293" s="10"/>
      <c r="F1293" s="10" t="s">
        <v>115</v>
      </c>
      <c r="G1293" s="4" t="s">
        <v>11</v>
      </c>
      <c r="H1293" s="4"/>
      <c r="I1293" s="4">
        <f t="shared" si="61"/>
        <v>61880</v>
      </c>
      <c r="J1293" s="4">
        <v>61880</v>
      </c>
      <c r="K1293" s="4">
        <f t="shared" si="59"/>
        <v>0</v>
      </c>
      <c r="L1293" s="1">
        <v>61880</v>
      </c>
      <c r="M1293" s="93">
        <f t="shared" si="60"/>
        <v>0</v>
      </c>
      <c r="N1293" s="2"/>
      <c r="O1293" s="97"/>
      <c r="P1293" s="52"/>
    </row>
    <row r="1294" spans="1:16" ht="40.950000000000003" customHeight="1" x14ac:dyDescent="0.3">
      <c r="A1294" s="4">
        <v>41</v>
      </c>
      <c r="B1294" s="10" t="s">
        <v>133</v>
      </c>
      <c r="C1294" s="10"/>
      <c r="D1294" s="10"/>
      <c r="E1294" s="10"/>
      <c r="F1294" s="10" t="s">
        <v>115</v>
      </c>
      <c r="G1294" s="4" t="s">
        <v>48</v>
      </c>
      <c r="H1294" s="4"/>
      <c r="I1294" s="4">
        <f t="shared" si="61"/>
        <v>28500</v>
      </c>
      <c r="J1294" s="4">
        <v>28500</v>
      </c>
      <c r="K1294" s="4">
        <f t="shared" si="59"/>
        <v>0</v>
      </c>
      <c r="L1294" s="1">
        <v>28500</v>
      </c>
      <c r="M1294" s="93">
        <f t="shared" si="60"/>
        <v>0</v>
      </c>
      <c r="N1294" s="2"/>
      <c r="O1294" s="97"/>
      <c r="P1294" s="52"/>
    </row>
    <row r="1295" spans="1:16" ht="40.950000000000003" customHeight="1" x14ac:dyDescent="0.3">
      <c r="A1295" s="4">
        <v>41</v>
      </c>
      <c r="B1295" s="10" t="s">
        <v>133</v>
      </c>
      <c r="C1295" s="10"/>
      <c r="D1295" s="10"/>
      <c r="E1295" s="10"/>
      <c r="F1295" s="10" t="s">
        <v>115</v>
      </c>
      <c r="G1295" s="4" t="s">
        <v>50</v>
      </c>
      <c r="H1295" s="4"/>
      <c r="I1295" s="4">
        <f t="shared" si="61"/>
        <v>17100</v>
      </c>
      <c r="J1295" s="4">
        <v>17100</v>
      </c>
      <c r="K1295" s="4">
        <f t="shared" si="59"/>
        <v>0</v>
      </c>
      <c r="L1295" s="1">
        <v>17100</v>
      </c>
      <c r="M1295" s="93">
        <f t="shared" si="60"/>
        <v>0</v>
      </c>
      <c r="N1295" s="2"/>
      <c r="O1295" s="97"/>
      <c r="P1295" s="52"/>
    </row>
    <row r="1296" spans="1:16" ht="40.950000000000003" customHeight="1" x14ac:dyDescent="0.3">
      <c r="A1296" s="4">
        <v>41</v>
      </c>
      <c r="B1296" s="10" t="s">
        <v>133</v>
      </c>
      <c r="C1296" s="10"/>
      <c r="D1296" s="10"/>
      <c r="E1296" s="10"/>
      <c r="F1296" s="10" t="s">
        <v>115</v>
      </c>
      <c r="G1296" s="4" t="s">
        <v>51</v>
      </c>
      <c r="H1296" s="4"/>
      <c r="I1296" s="4">
        <f t="shared" si="61"/>
        <v>8550</v>
      </c>
      <c r="J1296" s="4">
        <v>8550</v>
      </c>
      <c r="K1296" s="4">
        <f t="shared" ref="K1296:K1359" si="62">L1296-J1296</f>
        <v>0</v>
      </c>
      <c r="L1296" s="1">
        <v>8550</v>
      </c>
      <c r="M1296" s="93">
        <f t="shared" si="60"/>
        <v>0</v>
      </c>
      <c r="N1296" s="2"/>
      <c r="O1296" s="97"/>
      <c r="P1296" s="52"/>
    </row>
    <row r="1297" spans="1:16" ht="40.950000000000003" customHeight="1" x14ac:dyDescent="0.3">
      <c r="A1297" s="4">
        <v>41</v>
      </c>
      <c r="B1297" s="10" t="s">
        <v>133</v>
      </c>
      <c r="C1297" s="10"/>
      <c r="D1297" s="10"/>
      <c r="E1297" s="10"/>
      <c r="F1297" s="10" t="s">
        <v>115</v>
      </c>
      <c r="G1297" s="4" t="s">
        <v>114</v>
      </c>
      <c r="H1297" s="4"/>
      <c r="I1297" s="4">
        <f t="shared" si="61"/>
        <v>17100</v>
      </c>
      <c r="J1297" s="4">
        <v>17100</v>
      </c>
      <c r="K1297" s="4">
        <f t="shared" si="62"/>
        <v>0</v>
      </c>
      <c r="L1297" s="1">
        <v>17100</v>
      </c>
      <c r="M1297" s="93">
        <f t="shared" si="60"/>
        <v>0</v>
      </c>
      <c r="N1297" s="2"/>
      <c r="O1297" s="97"/>
      <c r="P1297" s="52"/>
    </row>
    <row r="1298" spans="1:16" ht="40.950000000000003" customHeight="1" x14ac:dyDescent="0.3">
      <c r="A1298" s="4">
        <v>41</v>
      </c>
      <c r="B1298" s="10" t="s">
        <v>133</v>
      </c>
      <c r="C1298" s="10"/>
      <c r="D1298" s="10"/>
      <c r="E1298" s="10"/>
      <c r="F1298" s="10" t="s">
        <v>115</v>
      </c>
      <c r="G1298" s="4" t="s">
        <v>128</v>
      </c>
      <c r="H1298" s="4"/>
      <c r="I1298" s="4">
        <f t="shared" si="61"/>
        <v>25650</v>
      </c>
      <c r="J1298" s="4">
        <v>25650</v>
      </c>
      <c r="K1298" s="4">
        <f t="shared" si="62"/>
        <v>0</v>
      </c>
      <c r="L1298" s="1">
        <v>25650</v>
      </c>
      <c r="M1298" s="93">
        <f t="shared" si="60"/>
        <v>0</v>
      </c>
      <c r="N1298" s="2"/>
      <c r="O1298" s="97"/>
      <c r="P1298" s="52"/>
    </row>
    <row r="1299" spans="1:16" ht="40.950000000000003" customHeight="1" x14ac:dyDescent="0.3">
      <c r="A1299" s="4">
        <v>41</v>
      </c>
      <c r="B1299" s="10" t="s">
        <v>133</v>
      </c>
      <c r="C1299" s="10"/>
      <c r="D1299" s="10"/>
      <c r="E1299" s="10"/>
      <c r="F1299" s="10" t="s">
        <v>115</v>
      </c>
      <c r="G1299" s="4" t="s">
        <v>64</v>
      </c>
      <c r="H1299" s="4"/>
      <c r="I1299" s="4">
        <f t="shared" si="61"/>
        <v>8550</v>
      </c>
      <c r="J1299" s="4">
        <v>8550</v>
      </c>
      <c r="K1299" s="4">
        <f t="shared" si="62"/>
        <v>0</v>
      </c>
      <c r="L1299" s="1">
        <v>8550</v>
      </c>
      <c r="M1299" s="93">
        <f t="shared" si="60"/>
        <v>0</v>
      </c>
      <c r="N1299" s="2"/>
      <c r="O1299" s="97"/>
      <c r="P1299" s="52"/>
    </row>
    <row r="1300" spans="1:16" ht="40.950000000000003" customHeight="1" x14ac:dyDescent="0.3">
      <c r="A1300" s="4">
        <v>41</v>
      </c>
      <c r="B1300" s="10" t="s">
        <v>133</v>
      </c>
      <c r="C1300" s="10"/>
      <c r="D1300" s="10"/>
      <c r="E1300" s="10"/>
      <c r="F1300" s="10" t="s">
        <v>115</v>
      </c>
      <c r="G1300" s="4" t="s">
        <v>8</v>
      </c>
      <c r="H1300" s="4"/>
      <c r="I1300" s="4">
        <f t="shared" si="61"/>
        <v>45920</v>
      </c>
      <c r="J1300" s="4">
        <v>45920</v>
      </c>
      <c r="K1300" s="4">
        <f t="shared" si="62"/>
        <v>0</v>
      </c>
      <c r="L1300" s="1">
        <v>45920</v>
      </c>
      <c r="M1300" s="93">
        <f t="shared" si="60"/>
        <v>0</v>
      </c>
      <c r="N1300" s="2"/>
      <c r="O1300" s="97"/>
      <c r="P1300" s="52"/>
    </row>
    <row r="1301" spans="1:16" ht="40.950000000000003" customHeight="1" x14ac:dyDescent="0.3">
      <c r="A1301" s="4">
        <v>42</v>
      </c>
      <c r="B1301" s="10" t="s">
        <v>141</v>
      </c>
      <c r="C1301" s="10"/>
      <c r="D1301" s="10"/>
      <c r="E1301" s="10"/>
      <c r="F1301" s="10" t="s">
        <v>115</v>
      </c>
      <c r="G1301" s="4" t="s">
        <v>7</v>
      </c>
      <c r="H1301" s="4"/>
      <c r="I1301" s="4">
        <f t="shared" si="61"/>
        <v>68520</v>
      </c>
      <c r="J1301" s="4">
        <v>68520</v>
      </c>
      <c r="K1301" s="4">
        <f t="shared" si="62"/>
        <v>0</v>
      </c>
      <c r="L1301" s="1">
        <v>68520</v>
      </c>
      <c r="M1301" s="93">
        <f t="shared" si="60"/>
        <v>0</v>
      </c>
      <c r="N1301" s="2"/>
      <c r="O1301" s="97"/>
      <c r="P1301" s="52"/>
    </row>
    <row r="1302" spans="1:16" ht="40.950000000000003" customHeight="1" x14ac:dyDescent="0.3">
      <c r="A1302" s="4">
        <v>42</v>
      </c>
      <c r="B1302" s="10" t="s">
        <v>141</v>
      </c>
      <c r="C1302" s="10"/>
      <c r="D1302" s="10"/>
      <c r="E1302" s="10"/>
      <c r="F1302" s="10" t="s">
        <v>115</v>
      </c>
      <c r="G1302" s="4" t="s">
        <v>8</v>
      </c>
      <c r="H1302" s="4"/>
      <c r="I1302" s="4">
        <f t="shared" si="61"/>
        <v>84930</v>
      </c>
      <c r="J1302" s="4">
        <v>84930</v>
      </c>
      <c r="K1302" s="4">
        <f t="shared" si="62"/>
        <v>0</v>
      </c>
      <c r="L1302" s="1">
        <v>84930</v>
      </c>
      <c r="M1302" s="93">
        <f t="shared" si="60"/>
        <v>0</v>
      </c>
      <c r="N1302" s="2"/>
      <c r="O1302" s="97"/>
      <c r="P1302" s="52"/>
    </row>
    <row r="1303" spans="1:16" ht="40.950000000000003" customHeight="1" x14ac:dyDescent="0.3">
      <c r="A1303" s="4">
        <v>42</v>
      </c>
      <c r="B1303" s="10" t="s">
        <v>141</v>
      </c>
      <c r="C1303" s="10"/>
      <c r="D1303" s="10"/>
      <c r="E1303" s="10"/>
      <c r="F1303" s="10" t="s">
        <v>115</v>
      </c>
      <c r="G1303" s="4" t="s">
        <v>9</v>
      </c>
      <c r="H1303" s="4"/>
      <c r="I1303" s="4">
        <f t="shared" si="61"/>
        <v>109860</v>
      </c>
      <c r="J1303" s="4">
        <v>109860</v>
      </c>
      <c r="K1303" s="4">
        <f t="shared" si="62"/>
        <v>0</v>
      </c>
      <c r="L1303" s="1">
        <v>109860</v>
      </c>
      <c r="M1303" s="93">
        <f t="shared" si="60"/>
        <v>0</v>
      </c>
      <c r="N1303" s="2"/>
      <c r="O1303" s="97"/>
      <c r="P1303" s="52"/>
    </row>
    <row r="1304" spans="1:16" ht="40.950000000000003" customHeight="1" x14ac:dyDescent="0.3">
      <c r="A1304" s="4">
        <v>42</v>
      </c>
      <c r="B1304" s="10" t="s">
        <v>141</v>
      </c>
      <c r="C1304" s="10"/>
      <c r="D1304" s="10"/>
      <c r="E1304" s="10"/>
      <c r="F1304" s="10" t="s">
        <v>115</v>
      </c>
      <c r="G1304" s="4" t="s">
        <v>11</v>
      </c>
      <c r="H1304" s="4"/>
      <c r="I1304" s="4">
        <f t="shared" si="61"/>
        <v>67960</v>
      </c>
      <c r="J1304" s="4">
        <v>67960</v>
      </c>
      <c r="K1304" s="4">
        <f t="shared" si="62"/>
        <v>0</v>
      </c>
      <c r="L1304" s="1">
        <v>67960</v>
      </c>
      <c r="M1304" s="93">
        <f t="shared" si="60"/>
        <v>0</v>
      </c>
      <c r="N1304" s="2"/>
      <c r="O1304" s="97"/>
      <c r="P1304" s="52"/>
    </row>
    <row r="1305" spans="1:16" ht="40.950000000000003" customHeight="1" x14ac:dyDescent="0.3">
      <c r="A1305" s="4">
        <v>42</v>
      </c>
      <c r="B1305" s="10" t="s">
        <v>141</v>
      </c>
      <c r="C1305" s="10"/>
      <c r="D1305" s="10"/>
      <c r="E1305" s="10"/>
      <c r="F1305" s="10" t="s">
        <v>115</v>
      </c>
      <c r="G1305" s="4" t="s">
        <v>22</v>
      </c>
      <c r="H1305" s="4"/>
      <c r="I1305" s="4">
        <f t="shared" si="61"/>
        <v>98290</v>
      </c>
      <c r="J1305" s="4">
        <v>98290</v>
      </c>
      <c r="K1305" s="4">
        <f t="shared" si="62"/>
        <v>0</v>
      </c>
      <c r="L1305" s="1">
        <v>98290</v>
      </c>
      <c r="M1305" s="93">
        <f t="shared" si="60"/>
        <v>0</v>
      </c>
      <c r="N1305" s="2"/>
      <c r="O1305" s="97"/>
      <c r="P1305" s="52"/>
    </row>
    <row r="1306" spans="1:16" ht="40.950000000000003" customHeight="1" x14ac:dyDescent="0.3">
      <c r="A1306" s="4">
        <v>42</v>
      </c>
      <c r="B1306" s="10" t="s">
        <v>141</v>
      </c>
      <c r="C1306" s="10"/>
      <c r="D1306" s="10"/>
      <c r="E1306" s="10"/>
      <c r="F1306" s="10" t="s">
        <v>115</v>
      </c>
      <c r="G1306" s="4" t="s">
        <v>70</v>
      </c>
      <c r="H1306" s="4"/>
      <c r="I1306" s="4">
        <f t="shared" si="61"/>
        <v>58140</v>
      </c>
      <c r="J1306" s="4">
        <v>58140</v>
      </c>
      <c r="K1306" s="4">
        <f t="shared" si="62"/>
        <v>0</v>
      </c>
      <c r="L1306" s="1">
        <v>58140</v>
      </c>
      <c r="M1306" s="93">
        <f t="shared" si="60"/>
        <v>0</v>
      </c>
      <c r="N1306" s="2"/>
      <c r="O1306" s="97"/>
      <c r="P1306" s="52"/>
    </row>
    <row r="1307" spans="1:16" ht="40.950000000000003" customHeight="1" x14ac:dyDescent="0.3">
      <c r="A1307" s="4">
        <v>42</v>
      </c>
      <c r="B1307" s="10" t="s">
        <v>141</v>
      </c>
      <c r="C1307" s="10"/>
      <c r="D1307" s="10"/>
      <c r="E1307" s="10"/>
      <c r="F1307" s="10" t="s">
        <v>115</v>
      </c>
      <c r="G1307" s="4" t="s">
        <v>48</v>
      </c>
      <c r="H1307" s="4"/>
      <c r="I1307" s="4">
        <f t="shared" si="61"/>
        <v>8550</v>
      </c>
      <c r="J1307" s="4">
        <v>8550</v>
      </c>
      <c r="K1307" s="4">
        <f t="shared" si="62"/>
        <v>0</v>
      </c>
      <c r="L1307" s="1">
        <v>8550</v>
      </c>
      <c r="M1307" s="93">
        <f t="shared" si="60"/>
        <v>0</v>
      </c>
      <c r="N1307" s="2"/>
      <c r="O1307" s="97"/>
      <c r="P1307" s="52"/>
    </row>
    <row r="1308" spans="1:16" ht="40.950000000000003" customHeight="1" x14ac:dyDescent="0.3">
      <c r="A1308" s="4">
        <v>42</v>
      </c>
      <c r="B1308" s="10" t="s">
        <v>141</v>
      </c>
      <c r="C1308" s="10"/>
      <c r="D1308" s="10"/>
      <c r="E1308" s="10"/>
      <c r="F1308" s="10" t="s">
        <v>115</v>
      </c>
      <c r="G1308" s="4" t="s">
        <v>114</v>
      </c>
      <c r="H1308" s="4"/>
      <c r="I1308" s="4">
        <f t="shared" si="61"/>
        <v>8550</v>
      </c>
      <c r="J1308" s="4">
        <v>8550</v>
      </c>
      <c r="K1308" s="4">
        <f t="shared" si="62"/>
        <v>0</v>
      </c>
      <c r="L1308" s="1">
        <v>8550</v>
      </c>
      <c r="M1308" s="93">
        <f t="shared" si="60"/>
        <v>0</v>
      </c>
      <c r="N1308" s="2"/>
      <c r="O1308" s="97"/>
      <c r="P1308" s="52"/>
    </row>
    <row r="1309" spans="1:16" ht="40.950000000000003" customHeight="1" x14ac:dyDescent="0.3">
      <c r="A1309" s="4">
        <v>42</v>
      </c>
      <c r="B1309" s="10" t="s">
        <v>141</v>
      </c>
      <c r="C1309" s="10"/>
      <c r="D1309" s="10"/>
      <c r="E1309" s="10"/>
      <c r="F1309" s="10" t="s">
        <v>115</v>
      </c>
      <c r="G1309" s="4" t="s">
        <v>64</v>
      </c>
      <c r="H1309" s="4"/>
      <c r="I1309" s="4">
        <f t="shared" si="61"/>
        <v>39900</v>
      </c>
      <c r="J1309" s="4">
        <v>39900</v>
      </c>
      <c r="K1309" s="4">
        <f t="shared" si="62"/>
        <v>0</v>
      </c>
      <c r="L1309" s="1">
        <v>39900</v>
      </c>
      <c r="M1309" s="93">
        <f t="shared" si="60"/>
        <v>0</v>
      </c>
      <c r="N1309" s="2"/>
      <c r="O1309" s="97"/>
      <c r="P1309" s="52"/>
    </row>
    <row r="1310" spans="1:16" ht="40.950000000000003" customHeight="1" x14ac:dyDescent="0.3">
      <c r="A1310" s="4">
        <v>42</v>
      </c>
      <c r="B1310" s="10" t="s">
        <v>141</v>
      </c>
      <c r="C1310" s="10"/>
      <c r="D1310" s="10"/>
      <c r="E1310" s="10"/>
      <c r="F1310" s="10" t="s">
        <v>115</v>
      </c>
      <c r="G1310" s="4" t="s">
        <v>122</v>
      </c>
      <c r="H1310" s="4"/>
      <c r="I1310" s="4">
        <f t="shared" si="61"/>
        <v>59850</v>
      </c>
      <c r="J1310" s="4">
        <v>59850</v>
      </c>
      <c r="K1310" s="4">
        <f t="shared" si="62"/>
        <v>0</v>
      </c>
      <c r="L1310" s="1">
        <v>59850</v>
      </c>
      <c r="M1310" s="93">
        <f t="shared" si="60"/>
        <v>0</v>
      </c>
      <c r="N1310" s="2"/>
      <c r="O1310" s="97"/>
      <c r="P1310" s="52"/>
    </row>
    <row r="1311" spans="1:16" ht="40.950000000000003" customHeight="1" x14ac:dyDescent="0.3">
      <c r="A1311" s="4">
        <v>42</v>
      </c>
      <c r="B1311" s="10" t="s">
        <v>141</v>
      </c>
      <c r="C1311" s="10"/>
      <c r="D1311" s="10"/>
      <c r="E1311" s="10"/>
      <c r="F1311" s="10" t="s">
        <v>115</v>
      </c>
      <c r="G1311" s="4" t="s">
        <v>143</v>
      </c>
      <c r="H1311" s="4"/>
      <c r="I1311" s="4">
        <f t="shared" si="61"/>
        <v>42750</v>
      </c>
      <c r="J1311" s="4">
        <v>42750</v>
      </c>
      <c r="K1311" s="4">
        <f t="shared" si="62"/>
        <v>0</v>
      </c>
      <c r="L1311" s="1">
        <v>42750</v>
      </c>
      <c r="M1311" s="93">
        <f t="shared" si="60"/>
        <v>0</v>
      </c>
      <c r="N1311" s="2"/>
      <c r="O1311" s="97"/>
      <c r="P1311" s="52"/>
    </row>
    <row r="1312" spans="1:16" ht="40.950000000000003" customHeight="1" x14ac:dyDescent="0.3">
      <c r="A1312" s="4">
        <v>42</v>
      </c>
      <c r="B1312" s="10" t="s">
        <v>141</v>
      </c>
      <c r="C1312" s="10"/>
      <c r="D1312" s="10"/>
      <c r="E1312" s="10"/>
      <c r="F1312" s="10" t="s">
        <v>115</v>
      </c>
      <c r="G1312" s="4" t="s">
        <v>49</v>
      </c>
      <c r="H1312" s="4"/>
      <c r="I1312" s="4">
        <f t="shared" si="61"/>
        <v>170430</v>
      </c>
      <c r="J1312" s="4">
        <v>170430</v>
      </c>
      <c r="K1312" s="4">
        <f t="shared" si="62"/>
        <v>0</v>
      </c>
      <c r="L1312" s="1">
        <v>170430</v>
      </c>
      <c r="M1312" s="93">
        <f t="shared" si="60"/>
        <v>0</v>
      </c>
      <c r="N1312" s="2"/>
      <c r="O1312" s="97"/>
      <c r="P1312" s="52"/>
    </row>
    <row r="1313" spans="1:16" ht="40.950000000000003" customHeight="1" x14ac:dyDescent="0.3">
      <c r="A1313" s="4">
        <v>42</v>
      </c>
      <c r="B1313" s="10" t="s">
        <v>141</v>
      </c>
      <c r="C1313" s="10"/>
      <c r="D1313" s="10"/>
      <c r="E1313" s="10"/>
      <c r="F1313" s="10" t="s">
        <v>115</v>
      </c>
      <c r="G1313" s="4" t="s">
        <v>50</v>
      </c>
      <c r="H1313" s="4"/>
      <c r="I1313" s="4">
        <f t="shared" si="61"/>
        <v>51870</v>
      </c>
      <c r="J1313" s="4">
        <v>51870</v>
      </c>
      <c r="K1313" s="4">
        <f t="shared" si="62"/>
        <v>0</v>
      </c>
      <c r="L1313" s="1">
        <v>51870</v>
      </c>
      <c r="M1313" s="93">
        <f t="shared" si="60"/>
        <v>0</v>
      </c>
      <c r="N1313" s="2"/>
      <c r="O1313" s="97"/>
      <c r="P1313" s="52"/>
    </row>
    <row r="1314" spans="1:16" ht="40.950000000000003" customHeight="1" x14ac:dyDescent="0.3">
      <c r="A1314" s="4">
        <v>42</v>
      </c>
      <c r="B1314" s="10" t="s">
        <v>141</v>
      </c>
      <c r="C1314" s="10"/>
      <c r="D1314" s="10"/>
      <c r="E1314" s="10"/>
      <c r="F1314" s="10" t="s">
        <v>115</v>
      </c>
      <c r="G1314" s="4" t="s">
        <v>85</v>
      </c>
      <c r="H1314" s="4"/>
      <c r="I1314" s="4">
        <f t="shared" si="61"/>
        <v>34200</v>
      </c>
      <c r="J1314" s="4">
        <v>34200</v>
      </c>
      <c r="K1314" s="4">
        <f t="shared" si="62"/>
        <v>0</v>
      </c>
      <c r="L1314" s="1">
        <v>34200</v>
      </c>
      <c r="M1314" s="93">
        <f t="shared" si="60"/>
        <v>0</v>
      </c>
      <c r="N1314" s="2"/>
      <c r="O1314" s="97"/>
      <c r="P1314" s="52"/>
    </row>
    <row r="1315" spans="1:16" ht="40.950000000000003" customHeight="1" x14ac:dyDescent="0.3">
      <c r="A1315" s="4">
        <v>42</v>
      </c>
      <c r="B1315" s="10" t="s">
        <v>141</v>
      </c>
      <c r="C1315" s="10"/>
      <c r="D1315" s="10"/>
      <c r="E1315" s="10"/>
      <c r="F1315" s="10" t="s">
        <v>115</v>
      </c>
      <c r="G1315" s="4" t="s">
        <v>128</v>
      </c>
      <c r="H1315" s="4"/>
      <c r="I1315" s="4">
        <f t="shared" si="61"/>
        <v>76380</v>
      </c>
      <c r="J1315" s="4">
        <v>76380</v>
      </c>
      <c r="K1315" s="4">
        <f t="shared" si="62"/>
        <v>0</v>
      </c>
      <c r="L1315" s="1">
        <v>76380</v>
      </c>
      <c r="M1315" s="93">
        <f t="shared" si="60"/>
        <v>0</v>
      </c>
      <c r="N1315" s="2"/>
      <c r="O1315" s="97"/>
      <c r="P1315" s="52"/>
    </row>
    <row r="1316" spans="1:16" ht="40.950000000000003" customHeight="1" x14ac:dyDescent="0.3">
      <c r="A1316" s="4">
        <v>42</v>
      </c>
      <c r="B1316" s="10" t="s">
        <v>141</v>
      </c>
      <c r="C1316" s="10"/>
      <c r="D1316" s="10"/>
      <c r="E1316" s="10"/>
      <c r="F1316" s="10" t="s">
        <v>115</v>
      </c>
      <c r="G1316" s="4" t="s">
        <v>51</v>
      </c>
      <c r="H1316" s="4"/>
      <c r="I1316" s="4">
        <f t="shared" si="61"/>
        <v>49590</v>
      </c>
      <c r="J1316" s="4">
        <v>49590</v>
      </c>
      <c r="K1316" s="4">
        <f t="shared" si="62"/>
        <v>0</v>
      </c>
      <c r="L1316" s="1">
        <v>49590</v>
      </c>
      <c r="M1316" s="93">
        <f t="shared" si="60"/>
        <v>0</v>
      </c>
      <c r="N1316" s="2"/>
      <c r="O1316" s="97"/>
      <c r="P1316" s="52"/>
    </row>
    <row r="1317" spans="1:16" ht="40.950000000000003" customHeight="1" x14ac:dyDescent="0.3">
      <c r="A1317" s="4">
        <v>42</v>
      </c>
      <c r="B1317" s="10" t="s">
        <v>141</v>
      </c>
      <c r="C1317" s="10"/>
      <c r="D1317" s="10"/>
      <c r="E1317" s="10"/>
      <c r="F1317" s="10" t="s">
        <v>115</v>
      </c>
      <c r="G1317" s="4" t="s">
        <v>39</v>
      </c>
      <c r="H1317" s="4"/>
      <c r="I1317" s="4">
        <f t="shared" si="61"/>
        <v>33330</v>
      </c>
      <c r="J1317" s="4">
        <v>33330</v>
      </c>
      <c r="K1317" s="4">
        <f t="shared" si="62"/>
        <v>0</v>
      </c>
      <c r="L1317" s="1">
        <v>33330</v>
      </c>
      <c r="M1317" s="93">
        <f t="shared" si="60"/>
        <v>0</v>
      </c>
      <c r="N1317" s="2"/>
      <c r="O1317" s="97"/>
      <c r="P1317" s="52"/>
    </row>
    <row r="1318" spans="1:16" ht="40.950000000000003" customHeight="1" x14ac:dyDescent="0.3">
      <c r="A1318" s="4">
        <v>43</v>
      </c>
      <c r="B1318" s="10" t="s">
        <v>135</v>
      </c>
      <c r="C1318" s="10"/>
      <c r="D1318" s="10"/>
      <c r="E1318" s="10"/>
      <c r="F1318" s="10" t="s">
        <v>115</v>
      </c>
      <c r="G1318" s="4" t="s">
        <v>181</v>
      </c>
      <c r="H1318" s="4"/>
      <c r="I1318" s="4">
        <f t="shared" si="61"/>
        <v>17100</v>
      </c>
      <c r="J1318" s="4">
        <v>17100</v>
      </c>
      <c r="K1318" s="4">
        <f t="shared" si="62"/>
        <v>0</v>
      </c>
      <c r="L1318" s="1">
        <v>17100</v>
      </c>
      <c r="M1318" s="93">
        <f t="shared" si="60"/>
        <v>0</v>
      </c>
      <c r="N1318" s="2"/>
      <c r="O1318" s="97"/>
      <c r="P1318" s="52"/>
    </row>
    <row r="1319" spans="1:16" ht="40.950000000000003" customHeight="1" x14ac:dyDescent="0.3">
      <c r="A1319" s="4">
        <v>43</v>
      </c>
      <c r="B1319" s="10" t="s">
        <v>135</v>
      </c>
      <c r="C1319" s="10"/>
      <c r="D1319" s="10"/>
      <c r="E1319" s="10"/>
      <c r="F1319" s="10" t="s">
        <v>115</v>
      </c>
      <c r="G1319" s="4" t="s">
        <v>7</v>
      </c>
      <c r="H1319" s="4"/>
      <c r="I1319" s="4">
        <f t="shared" si="61"/>
        <v>43020</v>
      </c>
      <c r="J1319" s="4">
        <v>43020</v>
      </c>
      <c r="K1319" s="4">
        <f t="shared" si="62"/>
        <v>0</v>
      </c>
      <c r="L1319" s="1">
        <v>43020</v>
      </c>
      <c r="M1319" s="93">
        <f t="shared" si="60"/>
        <v>0</v>
      </c>
      <c r="N1319" s="2"/>
      <c r="O1319" s="97"/>
      <c r="P1319" s="52"/>
    </row>
    <row r="1320" spans="1:16" ht="40.950000000000003" customHeight="1" x14ac:dyDescent="0.3">
      <c r="A1320" s="4">
        <v>43</v>
      </c>
      <c r="B1320" s="10" t="s">
        <v>135</v>
      </c>
      <c r="C1320" s="10"/>
      <c r="D1320" s="10"/>
      <c r="E1320" s="10"/>
      <c r="F1320" s="10" t="s">
        <v>115</v>
      </c>
      <c r="G1320" s="4" t="s">
        <v>8</v>
      </c>
      <c r="H1320" s="4"/>
      <c r="I1320" s="4">
        <f t="shared" si="61"/>
        <v>78200</v>
      </c>
      <c r="J1320" s="4">
        <v>78200</v>
      </c>
      <c r="K1320" s="4">
        <f t="shared" si="62"/>
        <v>0</v>
      </c>
      <c r="L1320" s="1">
        <v>78200</v>
      </c>
      <c r="M1320" s="93">
        <f t="shared" si="60"/>
        <v>0</v>
      </c>
      <c r="N1320" s="2"/>
      <c r="O1320" s="97"/>
      <c r="P1320" s="52"/>
    </row>
    <row r="1321" spans="1:16" ht="40.950000000000003" customHeight="1" x14ac:dyDescent="0.3">
      <c r="A1321" s="4">
        <v>43</v>
      </c>
      <c r="B1321" s="10" t="s">
        <v>135</v>
      </c>
      <c r="C1321" s="10"/>
      <c r="D1321" s="10"/>
      <c r="E1321" s="10"/>
      <c r="F1321" s="10" t="s">
        <v>115</v>
      </c>
      <c r="G1321" s="4" t="s">
        <v>90</v>
      </c>
      <c r="H1321" s="4"/>
      <c r="I1321" s="4">
        <f t="shared" si="61"/>
        <v>77740</v>
      </c>
      <c r="J1321" s="4">
        <v>77740</v>
      </c>
      <c r="K1321" s="4">
        <f t="shared" si="62"/>
        <v>0</v>
      </c>
      <c r="L1321" s="1">
        <v>77740</v>
      </c>
      <c r="M1321" s="93">
        <f t="shared" si="60"/>
        <v>0</v>
      </c>
      <c r="N1321" s="2"/>
      <c r="O1321" s="97"/>
      <c r="P1321" s="52"/>
    </row>
    <row r="1322" spans="1:16" ht="40.950000000000003" customHeight="1" x14ac:dyDescent="0.3">
      <c r="A1322" s="4">
        <v>43</v>
      </c>
      <c r="B1322" s="10" t="s">
        <v>135</v>
      </c>
      <c r="C1322" s="10"/>
      <c r="D1322" s="10"/>
      <c r="E1322" s="10"/>
      <c r="F1322" s="10" t="s">
        <v>115</v>
      </c>
      <c r="G1322" s="4" t="s">
        <v>48</v>
      </c>
      <c r="H1322" s="4"/>
      <c r="I1322" s="4">
        <f t="shared" si="61"/>
        <v>25650</v>
      </c>
      <c r="J1322" s="4">
        <v>25650</v>
      </c>
      <c r="K1322" s="4">
        <f t="shared" si="62"/>
        <v>0</v>
      </c>
      <c r="L1322" s="1">
        <v>25650</v>
      </c>
      <c r="M1322" s="93">
        <f t="shared" si="60"/>
        <v>0</v>
      </c>
      <c r="N1322" s="2"/>
      <c r="O1322" s="97"/>
      <c r="P1322" s="52"/>
    </row>
    <row r="1323" spans="1:16" ht="40.950000000000003" customHeight="1" x14ac:dyDescent="0.3">
      <c r="A1323" s="4">
        <v>43</v>
      </c>
      <c r="B1323" s="10" t="s">
        <v>135</v>
      </c>
      <c r="C1323" s="10"/>
      <c r="D1323" s="10"/>
      <c r="E1323" s="10"/>
      <c r="F1323" s="10" t="s">
        <v>115</v>
      </c>
      <c r="G1323" s="4" t="s">
        <v>49</v>
      </c>
      <c r="H1323" s="4"/>
      <c r="I1323" s="4">
        <f t="shared" si="61"/>
        <v>17670</v>
      </c>
      <c r="J1323" s="4">
        <v>17670</v>
      </c>
      <c r="K1323" s="4">
        <f t="shared" si="62"/>
        <v>0</v>
      </c>
      <c r="L1323" s="1">
        <v>17670</v>
      </c>
      <c r="M1323" s="93">
        <f t="shared" si="60"/>
        <v>0</v>
      </c>
      <c r="N1323" s="2"/>
      <c r="O1323" s="97"/>
      <c r="P1323" s="52"/>
    </row>
    <row r="1324" spans="1:16" ht="40.950000000000003" customHeight="1" x14ac:dyDescent="0.3">
      <c r="A1324" s="4">
        <v>43</v>
      </c>
      <c r="B1324" s="10" t="s">
        <v>135</v>
      </c>
      <c r="C1324" s="10"/>
      <c r="D1324" s="10"/>
      <c r="E1324" s="10"/>
      <c r="F1324" s="10" t="s">
        <v>115</v>
      </c>
      <c r="G1324" s="4" t="s">
        <v>11</v>
      </c>
      <c r="H1324" s="4"/>
      <c r="I1324" s="4">
        <f t="shared" si="61"/>
        <v>44140</v>
      </c>
      <c r="J1324" s="4">
        <v>44140</v>
      </c>
      <c r="K1324" s="4">
        <f t="shared" si="62"/>
        <v>0</v>
      </c>
      <c r="L1324" s="1">
        <v>44140</v>
      </c>
      <c r="M1324" s="93">
        <f t="shared" si="60"/>
        <v>0</v>
      </c>
      <c r="N1324" s="2"/>
      <c r="O1324" s="97"/>
      <c r="P1324" s="52"/>
    </row>
    <row r="1325" spans="1:16" ht="40.950000000000003" customHeight="1" x14ac:dyDescent="0.3">
      <c r="A1325" s="4">
        <v>43</v>
      </c>
      <c r="B1325" s="10" t="s">
        <v>135</v>
      </c>
      <c r="C1325" s="10"/>
      <c r="D1325" s="10"/>
      <c r="E1325" s="10"/>
      <c r="F1325" s="10" t="s">
        <v>115</v>
      </c>
      <c r="G1325" s="4" t="s">
        <v>22</v>
      </c>
      <c r="H1325" s="4"/>
      <c r="I1325" s="4">
        <f t="shared" si="61"/>
        <v>33900</v>
      </c>
      <c r="J1325" s="4">
        <v>33900</v>
      </c>
      <c r="K1325" s="4">
        <f t="shared" si="62"/>
        <v>0</v>
      </c>
      <c r="L1325" s="1">
        <v>33900</v>
      </c>
      <c r="M1325" s="93">
        <f t="shared" si="60"/>
        <v>0</v>
      </c>
      <c r="N1325" s="2"/>
      <c r="O1325" s="97"/>
      <c r="P1325" s="52"/>
    </row>
    <row r="1326" spans="1:16" ht="40.950000000000003" customHeight="1" x14ac:dyDescent="0.3">
      <c r="A1326" s="4">
        <v>43</v>
      </c>
      <c r="B1326" s="10" t="s">
        <v>135</v>
      </c>
      <c r="C1326" s="10"/>
      <c r="D1326" s="10"/>
      <c r="E1326" s="10"/>
      <c r="F1326" s="10" t="s">
        <v>115</v>
      </c>
      <c r="G1326" s="4" t="s">
        <v>9</v>
      </c>
      <c r="H1326" s="4"/>
      <c r="I1326" s="4">
        <f t="shared" si="61"/>
        <v>25200</v>
      </c>
      <c r="J1326" s="4">
        <v>25200</v>
      </c>
      <c r="K1326" s="4">
        <f t="shared" si="62"/>
        <v>0</v>
      </c>
      <c r="L1326" s="1">
        <v>25200</v>
      </c>
      <c r="M1326" s="93">
        <f t="shared" si="60"/>
        <v>0</v>
      </c>
      <c r="N1326" s="2"/>
      <c r="O1326" s="97"/>
      <c r="P1326" s="52"/>
    </row>
    <row r="1327" spans="1:16" ht="40.950000000000003" customHeight="1" x14ac:dyDescent="0.3">
      <c r="A1327" s="4">
        <v>43</v>
      </c>
      <c r="B1327" s="10" t="s">
        <v>135</v>
      </c>
      <c r="C1327" s="10"/>
      <c r="D1327" s="10"/>
      <c r="E1327" s="10"/>
      <c r="F1327" s="10" t="s">
        <v>115</v>
      </c>
      <c r="G1327" s="4" t="s">
        <v>70</v>
      </c>
      <c r="H1327" s="4"/>
      <c r="I1327" s="4">
        <f t="shared" si="61"/>
        <v>18240</v>
      </c>
      <c r="J1327" s="4">
        <v>18240</v>
      </c>
      <c r="K1327" s="4">
        <f t="shared" si="62"/>
        <v>0</v>
      </c>
      <c r="L1327" s="1">
        <v>18240</v>
      </c>
      <c r="M1327" s="93">
        <f t="shared" si="60"/>
        <v>0</v>
      </c>
      <c r="N1327" s="2"/>
      <c r="O1327" s="97"/>
      <c r="P1327" s="52"/>
    </row>
    <row r="1328" spans="1:16" ht="40.950000000000003" customHeight="1" x14ac:dyDescent="0.3">
      <c r="A1328" s="4">
        <v>43</v>
      </c>
      <c r="B1328" s="10" t="s">
        <v>135</v>
      </c>
      <c r="C1328" s="10"/>
      <c r="D1328" s="10"/>
      <c r="E1328" s="10"/>
      <c r="F1328" s="10" t="s">
        <v>115</v>
      </c>
      <c r="G1328" s="4" t="s">
        <v>64</v>
      </c>
      <c r="H1328" s="4"/>
      <c r="I1328" s="4">
        <f t="shared" si="61"/>
        <v>9120</v>
      </c>
      <c r="J1328" s="4">
        <v>9120</v>
      </c>
      <c r="K1328" s="4">
        <f t="shared" si="62"/>
        <v>0</v>
      </c>
      <c r="L1328" s="1">
        <v>9120</v>
      </c>
      <c r="M1328" s="93">
        <f t="shared" ref="M1328:M1391" si="63">O1328-N1328</f>
        <v>0</v>
      </c>
      <c r="N1328" s="2"/>
      <c r="O1328" s="97"/>
      <c r="P1328" s="52"/>
    </row>
    <row r="1329" spans="1:16" ht="40.950000000000003" customHeight="1" x14ac:dyDescent="0.3">
      <c r="A1329" s="4">
        <v>43</v>
      </c>
      <c r="B1329" s="10" t="s">
        <v>135</v>
      </c>
      <c r="C1329" s="10"/>
      <c r="D1329" s="10"/>
      <c r="E1329" s="10"/>
      <c r="F1329" s="10" t="s">
        <v>115</v>
      </c>
      <c r="G1329" s="4" t="s">
        <v>85</v>
      </c>
      <c r="H1329" s="4"/>
      <c r="I1329" s="4">
        <f t="shared" si="61"/>
        <v>9120</v>
      </c>
      <c r="J1329" s="4">
        <v>9120</v>
      </c>
      <c r="K1329" s="4">
        <f t="shared" si="62"/>
        <v>0</v>
      </c>
      <c r="L1329" s="1">
        <v>9120</v>
      </c>
      <c r="M1329" s="93">
        <f t="shared" si="63"/>
        <v>0</v>
      </c>
      <c r="N1329" s="2"/>
      <c r="O1329" s="97"/>
      <c r="P1329" s="52"/>
    </row>
    <row r="1330" spans="1:16" ht="40.950000000000003" customHeight="1" x14ac:dyDescent="0.3">
      <c r="A1330" s="4">
        <v>43</v>
      </c>
      <c r="B1330" s="10" t="s">
        <v>135</v>
      </c>
      <c r="C1330" s="10"/>
      <c r="D1330" s="10"/>
      <c r="E1330" s="10"/>
      <c r="F1330" s="10" t="s">
        <v>115</v>
      </c>
      <c r="G1330" s="4" t="s">
        <v>39</v>
      </c>
      <c r="H1330" s="4"/>
      <c r="I1330" s="4">
        <f t="shared" si="61"/>
        <v>42860</v>
      </c>
      <c r="J1330" s="4">
        <v>42860</v>
      </c>
      <c r="K1330" s="4">
        <f t="shared" si="62"/>
        <v>0</v>
      </c>
      <c r="L1330" s="1">
        <v>42860</v>
      </c>
      <c r="M1330" s="93">
        <f t="shared" si="63"/>
        <v>0</v>
      </c>
      <c r="N1330" s="2"/>
      <c r="O1330" s="97"/>
      <c r="P1330" s="52"/>
    </row>
    <row r="1331" spans="1:16" ht="40.950000000000003" customHeight="1" x14ac:dyDescent="0.3">
      <c r="A1331" s="4">
        <v>44</v>
      </c>
      <c r="B1331" s="10" t="s">
        <v>140</v>
      </c>
      <c r="C1331" s="10"/>
      <c r="D1331" s="10"/>
      <c r="E1331" s="10"/>
      <c r="F1331" s="10" t="s">
        <v>115</v>
      </c>
      <c r="G1331" s="4" t="s">
        <v>7</v>
      </c>
      <c r="H1331" s="4"/>
      <c r="I1331" s="4">
        <f t="shared" si="61"/>
        <v>115305</v>
      </c>
      <c r="J1331" s="4">
        <v>115305</v>
      </c>
      <c r="K1331" s="4">
        <f t="shared" si="62"/>
        <v>0</v>
      </c>
      <c r="L1331" s="1">
        <v>115305</v>
      </c>
      <c r="M1331" s="93">
        <f t="shared" si="63"/>
        <v>0</v>
      </c>
      <c r="N1331" s="2"/>
      <c r="O1331" s="97"/>
      <c r="P1331" s="52"/>
    </row>
    <row r="1332" spans="1:16" ht="40.950000000000003" customHeight="1" x14ac:dyDescent="0.3">
      <c r="A1332" s="4">
        <v>44</v>
      </c>
      <c r="B1332" s="10" t="s">
        <v>140</v>
      </c>
      <c r="C1332" s="10"/>
      <c r="D1332" s="10"/>
      <c r="E1332" s="10"/>
      <c r="F1332" s="10" t="s">
        <v>115</v>
      </c>
      <c r="G1332" s="4" t="s">
        <v>8</v>
      </c>
      <c r="H1332" s="4"/>
      <c r="I1332" s="4">
        <f t="shared" si="61"/>
        <v>50210</v>
      </c>
      <c r="J1332" s="4">
        <v>50210</v>
      </c>
      <c r="K1332" s="4">
        <f t="shared" si="62"/>
        <v>0</v>
      </c>
      <c r="L1332" s="1">
        <v>50210</v>
      </c>
      <c r="M1332" s="93">
        <f t="shared" si="63"/>
        <v>0</v>
      </c>
      <c r="N1332" s="2"/>
      <c r="O1332" s="97"/>
      <c r="P1332" s="52"/>
    </row>
    <row r="1333" spans="1:16" ht="40.950000000000003" customHeight="1" x14ac:dyDescent="0.3">
      <c r="A1333" s="4">
        <v>44</v>
      </c>
      <c r="B1333" s="10" t="s">
        <v>140</v>
      </c>
      <c r="C1333" s="10"/>
      <c r="D1333" s="10"/>
      <c r="E1333" s="10"/>
      <c r="F1333" s="10" t="s">
        <v>115</v>
      </c>
      <c r="G1333" s="4" t="s">
        <v>9</v>
      </c>
      <c r="H1333" s="4"/>
      <c r="I1333" s="4">
        <f t="shared" si="61"/>
        <v>33200</v>
      </c>
      <c r="J1333" s="4">
        <v>33200</v>
      </c>
      <c r="K1333" s="4">
        <f t="shared" si="62"/>
        <v>0</v>
      </c>
      <c r="L1333" s="1">
        <v>33200</v>
      </c>
      <c r="M1333" s="93">
        <f t="shared" si="63"/>
        <v>0</v>
      </c>
      <c r="N1333" s="2"/>
      <c r="O1333" s="97"/>
      <c r="P1333" s="52"/>
    </row>
    <row r="1334" spans="1:16" ht="40.950000000000003" customHeight="1" x14ac:dyDescent="0.3">
      <c r="A1334" s="4">
        <v>44</v>
      </c>
      <c r="B1334" s="10" t="s">
        <v>140</v>
      </c>
      <c r="C1334" s="10"/>
      <c r="D1334" s="10"/>
      <c r="E1334" s="10"/>
      <c r="F1334" s="10" t="s">
        <v>115</v>
      </c>
      <c r="G1334" s="4" t="s">
        <v>70</v>
      </c>
      <c r="H1334" s="4"/>
      <c r="I1334" s="4">
        <f t="shared" ref="I1334:I1397" si="64">J1334-O1334</f>
        <v>34770</v>
      </c>
      <c r="J1334" s="4">
        <v>34770</v>
      </c>
      <c r="K1334" s="4">
        <f t="shared" si="62"/>
        <v>0</v>
      </c>
      <c r="L1334" s="1">
        <v>34770</v>
      </c>
      <c r="M1334" s="93">
        <f t="shared" si="63"/>
        <v>0</v>
      </c>
      <c r="N1334" s="2"/>
      <c r="O1334" s="97"/>
      <c r="P1334" s="52"/>
    </row>
    <row r="1335" spans="1:16" ht="40.950000000000003" customHeight="1" x14ac:dyDescent="0.3">
      <c r="A1335" s="4">
        <v>44</v>
      </c>
      <c r="B1335" s="10" t="s">
        <v>140</v>
      </c>
      <c r="C1335" s="10"/>
      <c r="D1335" s="10"/>
      <c r="E1335" s="10"/>
      <c r="F1335" s="10" t="s">
        <v>115</v>
      </c>
      <c r="G1335" s="4" t="s">
        <v>90</v>
      </c>
      <c r="H1335" s="4"/>
      <c r="I1335" s="4">
        <f t="shared" si="64"/>
        <v>77875</v>
      </c>
      <c r="J1335" s="4">
        <v>77875</v>
      </c>
      <c r="K1335" s="4">
        <f t="shared" si="62"/>
        <v>0</v>
      </c>
      <c r="L1335" s="1">
        <v>77875</v>
      </c>
      <c r="M1335" s="93">
        <f t="shared" si="63"/>
        <v>0</v>
      </c>
      <c r="N1335" s="2"/>
      <c r="O1335" s="97"/>
      <c r="P1335" s="52"/>
    </row>
    <row r="1336" spans="1:16" ht="40.950000000000003" customHeight="1" x14ac:dyDescent="0.3">
      <c r="A1336" s="4">
        <v>44</v>
      </c>
      <c r="B1336" s="10" t="s">
        <v>140</v>
      </c>
      <c r="C1336" s="10"/>
      <c r="D1336" s="10"/>
      <c r="E1336" s="10"/>
      <c r="F1336" s="10" t="s">
        <v>115</v>
      </c>
      <c r="G1336" s="4" t="s">
        <v>48</v>
      </c>
      <c r="H1336" s="4"/>
      <c r="I1336" s="4">
        <f t="shared" si="64"/>
        <v>89375</v>
      </c>
      <c r="J1336" s="4">
        <v>89375</v>
      </c>
      <c r="K1336" s="4">
        <f t="shared" si="62"/>
        <v>0</v>
      </c>
      <c r="L1336" s="1">
        <v>89375</v>
      </c>
      <c r="M1336" s="93">
        <f t="shared" si="63"/>
        <v>0</v>
      </c>
      <c r="N1336" s="2"/>
      <c r="O1336" s="97"/>
      <c r="P1336" s="52"/>
    </row>
    <row r="1337" spans="1:16" ht="40.950000000000003" customHeight="1" x14ac:dyDescent="0.3">
      <c r="A1337" s="4">
        <v>44</v>
      </c>
      <c r="B1337" s="10" t="s">
        <v>140</v>
      </c>
      <c r="C1337" s="10"/>
      <c r="D1337" s="10"/>
      <c r="E1337" s="10"/>
      <c r="F1337" s="10" t="s">
        <v>115</v>
      </c>
      <c r="G1337" s="4" t="s">
        <v>49</v>
      </c>
      <c r="H1337" s="4"/>
      <c r="I1337" s="4">
        <f t="shared" si="64"/>
        <v>61135</v>
      </c>
      <c r="J1337" s="4">
        <v>61135</v>
      </c>
      <c r="K1337" s="4">
        <f t="shared" si="62"/>
        <v>0</v>
      </c>
      <c r="L1337" s="1">
        <v>61135</v>
      </c>
      <c r="M1337" s="93">
        <f t="shared" si="63"/>
        <v>0</v>
      </c>
      <c r="N1337" s="2"/>
      <c r="O1337" s="97"/>
      <c r="P1337" s="52"/>
    </row>
    <row r="1338" spans="1:16" ht="40.950000000000003" customHeight="1" x14ac:dyDescent="0.3">
      <c r="A1338" s="4">
        <v>44</v>
      </c>
      <c r="B1338" s="10" t="s">
        <v>140</v>
      </c>
      <c r="C1338" s="10"/>
      <c r="D1338" s="10"/>
      <c r="E1338" s="10"/>
      <c r="F1338" s="10" t="s">
        <v>115</v>
      </c>
      <c r="G1338" s="4" t="s">
        <v>50</v>
      </c>
      <c r="H1338" s="4"/>
      <c r="I1338" s="4">
        <f t="shared" si="64"/>
        <v>17985</v>
      </c>
      <c r="J1338" s="4">
        <v>17985</v>
      </c>
      <c r="K1338" s="4">
        <f t="shared" si="62"/>
        <v>0</v>
      </c>
      <c r="L1338" s="1">
        <v>17985</v>
      </c>
      <c r="M1338" s="93">
        <f t="shared" si="63"/>
        <v>0</v>
      </c>
      <c r="N1338" s="2"/>
      <c r="O1338" s="97"/>
      <c r="P1338" s="52"/>
    </row>
    <row r="1339" spans="1:16" ht="40.950000000000003" customHeight="1" x14ac:dyDescent="0.3">
      <c r="A1339" s="4">
        <v>44</v>
      </c>
      <c r="B1339" s="10" t="s">
        <v>140</v>
      </c>
      <c r="C1339" s="10"/>
      <c r="D1339" s="10"/>
      <c r="E1339" s="10"/>
      <c r="F1339" s="10" t="s">
        <v>115</v>
      </c>
      <c r="G1339" s="4" t="s">
        <v>51</v>
      </c>
      <c r="H1339" s="4"/>
      <c r="I1339" s="4">
        <f t="shared" si="64"/>
        <v>55290</v>
      </c>
      <c r="J1339" s="4">
        <v>55290</v>
      </c>
      <c r="K1339" s="4">
        <f t="shared" si="62"/>
        <v>0</v>
      </c>
      <c r="L1339" s="1">
        <v>55290</v>
      </c>
      <c r="M1339" s="93">
        <f t="shared" si="63"/>
        <v>0</v>
      </c>
      <c r="N1339" s="2"/>
      <c r="O1339" s="97"/>
      <c r="P1339" s="52"/>
    </row>
    <row r="1340" spans="1:16" ht="40.950000000000003" customHeight="1" x14ac:dyDescent="0.3">
      <c r="A1340" s="4">
        <v>44</v>
      </c>
      <c r="B1340" s="10" t="s">
        <v>140</v>
      </c>
      <c r="C1340" s="10"/>
      <c r="D1340" s="10"/>
      <c r="E1340" s="10"/>
      <c r="F1340" s="10" t="s">
        <v>115</v>
      </c>
      <c r="G1340" s="4" t="s">
        <v>39</v>
      </c>
      <c r="H1340" s="4"/>
      <c r="I1340" s="4">
        <f t="shared" si="64"/>
        <v>45320</v>
      </c>
      <c r="J1340" s="4">
        <v>45320</v>
      </c>
      <c r="K1340" s="4">
        <f t="shared" si="62"/>
        <v>0</v>
      </c>
      <c r="L1340" s="1">
        <v>45320</v>
      </c>
      <c r="M1340" s="93">
        <f t="shared" si="63"/>
        <v>0</v>
      </c>
      <c r="N1340" s="2"/>
      <c r="O1340" s="97"/>
      <c r="P1340" s="52"/>
    </row>
    <row r="1341" spans="1:16" ht="40.950000000000003" customHeight="1" x14ac:dyDescent="0.3">
      <c r="A1341" s="4">
        <v>44</v>
      </c>
      <c r="B1341" s="10" t="s">
        <v>140</v>
      </c>
      <c r="C1341" s="10"/>
      <c r="D1341" s="10"/>
      <c r="E1341" s="10"/>
      <c r="F1341" s="10" t="s">
        <v>115</v>
      </c>
      <c r="G1341" s="4" t="s">
        <v>114</v>
      </c>
      <c r="H1341" s="4"/>
      <c r="I1341" s="4">
        <f t="shared" si="64"/>
        <v>34770</v>
      </c>
      <c r="J1341" s="4">
        <v>34770</v>
      </c>
      <c r="K1341" s="4">
        <f t="shared" si="62"/>
        <v>0</v>
      </c>
      <c r="L1341" s="1">
        <v>34770</v>
      </c>
      <c r="M1341" s="93">
        <f t="shared" si="63"/>
        <v>0</v>
      </c>
      <c r="N1341" s="2"/>
      <c r="O1341" s="97"/>
      <c r="P1341" s="52"/>
    </row>
    <row r="1342" spans="1:16" ht="40.950000000000003" customHeight="1" x14ac:dyDescent="0.3">
      <c r="A1342" s="4">
        <v>44</v>
      </c>
      <c r="B1342" s="10" t="s">
        <v>140</v>
      </c>
      <c r="C1342" s="10"/>
      <c r="D1342" s="10"/>
      <c r="E1342" s="10"/>
      <c r="F1342" s="10" t="s">
        <v>115</v>
      </c>
      <c r="G1342" s="4" t="s">
        <v>85</v>
      </c>
      <c r="H1342" s="4"/>
      <c r="I1342" s="4">
        <f t="shared" si="64"/>
        <v>25650</v>
      </c>
      <c r="J1342" s="4">
        <v>25650</v>
      </c>
      <c r="K1342" s="4">
        <f t="shared" si="62"/>
        <v>0</v>
      </c>
      <c r="L1342" s="1">
        <v>25650</v>
      </c>
      <c r="M1342" s="93">
        <f t="shared" si="63"/>
        <v>0</v>
      </c>
      <c r="N1342" s="2"/>
      <c r="O1342" s="97"/>
      <c r="P1342" s="52"/>
    </row>
    <row r="1343" spans="1:16" ht="40.950000000000003" customHeight="1" x14ac:dyDescent="0.3">
      <c r="A1343" s="4">
        <v>44</v>
      </c>
      <c r="B1343" s="10" t="s">
        <v>140</v>
      </c>
      <c r="C1343" s="10"/>
      <c r="D1343" s="10"/>
      <c r="E1343" s="10"/>
      <c r="F1343" s="10" t="s">
        <v>115</v>
      </c>
      <c r="G1343" s="4" t="s">
        <v>64</v>
      </c>
      <c r="H1343" s="4"/>
      <c r="I1343" s="4">
        <f t="shared" si="64"/>
        <v>38335</v>
      </c>
      <c r="J1343" s="4">
        <v>38335</v>
      </c>
      <c r="K1343" s="4">
        <f t="shared" si="62"/>
        <v>0</v>
      </c>
      <c r="L1343" s="1">
        <v>38335</v>
      </c>
      <c r="M1343" s="93">
        <f t="shared" si="63"/>
        <v>0</v>
      </c>
      <c r="N1343" s="2"/>
      <c r="O1343" s="97"/>
      <c r="P1343" s="52"/>
    </row>
    <row r="1344" spans="1:16" ht="40.950000000000003" customHeight="1" x14ac:dyDescent="0.3">
      <c r="A1344" s="4">
        <v>44</v>
      </c>
      <c r="B1344" s="10" t="s">
        <v>140</v>
      </c>
      <c r="C1344" s="10"/>
      <c r="D1344" s="10"/>
      <c r="E1344" s="10"/>
      <c r="F1344" s="10" t="s">
        <v>115</v>
      </c>
      <c r="G1344" s="4" t="s">
        <v>122</v>
      </c>
      <c r="H1344" s="4"/>
      <c r="I1344" s="4">
        <f t="shared" si="64"/>
        <v>35910</v>
      </c>
      <c r="J1344" s="4">
        <v>35910</v>
      </c>
      <c r="K1344" s="4">
        <f t="shared" si="62"/>
        <v>0</v>
      </c>
      <c r="L1344" s="1">
        <v>35910</v>
      </c>
      <c r="M1344" s="93">
        <f t="shared" si="63"/>
        <v>0</v>
      </c>
      <c r="N1344" s="2"/>
      <c r="O1344" s="97"/>
      <c r="P1344" s="52"/>
    </row>
    <row r="1345" spans="1:16" ht="40.950000000000003" customHeight="1" x14ac:dyDescent="0.3">
      <c r="A1345" s="4">
        <v>44</v>
      </c>
      <c r="B1345" s="10" t="s">
        <v>140</v>
      </c>
      <c r="C1345" s="10"/>
      <c r="D1345" s="10"/>
      <c r="E1345" s="10"/>
      <c r="F1345" s="10" t="s">
        <v>115</v>
      </c>
      <c r="G1345" s="4" t="s">
        <v>143</v>
      </c>
      <c r="H1345" s="4"/>
      <c r="I1345" s="4">
        <f t="shared" si="64"/>
        <v>75810</v>
      </c>
      <c r="J1345" s="4">
        <v>75810</v>
      </c>
      <c r="K1345" s="4">
        <f t="shared" si="62"/>
        <v>0</v>
      </c>
      <c r="L1345" s="1">
        <v>75810</v>
      </c>
      <c r="M1345" s="93">
        <f t="shared" si="63"/>
        <v>0</v>
      </c>
      <c r="N1345" s="2"/>
      <c r="O1345" s="97"/>
      <c r="P1345" s="52"/>
    </row>
    <row r="1346" spans="1:16" ht="40.950000000000003" customHeight="1" x14ac:dyDescent="0.3">
      <c r="A1346" s="4">
        <v>45</v>
      </c>
      <c r="B1346" s="10" t="s">
        <v>134</v>
      </c>
      <c r="C1346" s="10"/>
      <c r="D1346" s="10"/>
      <c r="E1346" s="10"/>
      <c r="F1346" s="10" t="s">
        <v>115</v>
      </c>
      <c r="G1346" s="4" t="s">
        <v>11</v>
      </c>
      <c r="H1346" s="4"/>
      <c r="I1346" s="4">
        <f t="shared" si="64"/>
        <v>24510</v>
      </c>
      <c r="J1346" s="4">
        <v>24510</v>
      </c>
      <c r="K1346" s="4">
        <f t="shared" si="62"/>
        <v>0</v>
      </c>
      <c r="L1346" s="1">
        <v>24510</v>
      </c>
      <c r="M1346" s="93">
        <f t="shared" si="63"/>
        <v>0</v>
      </c>
      <c r="N1346" s="2"/>
      <c r="O1346" s="97"/>
      <c r="P1346" s="52"/>
    </row>
    <row r="1347" spans="1:16" ht="40.950000000000003" customHeight="1" x14ac:dyDescent="0.3">
      <c r="A1347" s="4">
        <v>45</v>
      </c>
      <c r="B1347" s="10" t="s">
        <v>134</v>
      </c>
      <c r="C1347" s="10"/>
      <c r="D1347" s="10"/>
      <c r="E1347" s="10"/>
      <c r="F1347" s="10" t="s">
        <v>115</v>
      </c>
      <c r="G1347" s="4" t="s">
        <v>39</v>
      </c>
      <c r="H1347" s="4"/>
      <c r="I1347" s="4">
        <f t="shared" si="64"/>
        <v>24510</v>
      </c>
      <c r="J1347" s="4">
        <v>24510</v>
      </c>
      <c r="K1347" s="4">
        <f t="shared" si="62"/>
        <v>0</v>
      </c>
      <c r="L1347" s="1">
        <v>24510</v>
      </c>
      <c r="M1347" s="93">
        <f t="shared" si="63"/>
        <v>0</v>
      </c>
      <c r="N1347" s="2"/>
      <c r="O1347" s="97"/>
      <c r="P1347" s="52"/>
    </row>
    <row r="1348" spans="1:16" ht="40.950000000000003" customHeight="1" x14ac:dyDescent="0.3">
      <c r="A1348" s="4">
        <v>45</v>
      </c>
      <c r="B1348" s="10" t="s">
        <v>134</v>
      </c>
      <c r="C1348" s="10"/>
      <c r="D1348" s="10"/>
      <c r="E1348" s="10"/>
      <c r="F1348" s="10" t="s">
        <v>115</v>
      </c>
      <c r="G1348" s="4" t="s">
        <v>64</v>
      </c>
      <c r="H1348" s="4"/>
      <c r="I1348" s="4">
        <f t="shared" si="64"/>
        <v>49020</v>
      </c>
      <c r="J1348" s="4">
        <v>49020</v>
      </c>
      <c r="K1348" s="4">
        <f t="shared" si="62"/>
        <v>0</v>
      </c>
      <c r="L1348" s="1">
        <v>49020</v>
      </c>
      <c r="M1348" s="93">
        <f t="shared" si="63"/>
        <v>0</v>
      </c>
      <c r="N1348" s="2"/>
      <c r="O1348" s="97"/>
      <c r="P1348" s="52"/>
    </row>
    <row r="1349" spans="1:16" ht="40.950000000000003" customHeight="1" x14ac:dyDescent="0.3">
      <c r="A1349" s="4">
        <v>46</v>
      </c>
      <c r="B1349" s="10" t="s">
        <v>139</v>
      </c>
      <c r="C1349" s="10"/>
      <c r="D1349" s="10"/>
      <c r="E1349" s="10"/>
      <c r="F1349" s="10" t="s">
        <v>115</v>
      </c>
      <c r="G1349" s="4" t="s">
        <v>7</v>
      </c>
      <c r="H1349" s="4"/>
      <c r="I1349" s="4">
        <f t="shared" si="64"/>
        <v>72400</v>
      </c>
      <c r="J1349" s="4">
        <v>72400</v>
      </c>
      <c r="K1349" s="4">
        <f t="shared" si="62"/>
        <v>0</v>
      </c>
      <c r="L1349" s="1">
        <v>72400</v>
      </c>
      <c r="M1349" s="93">
        <f t="shared" si="63"/>
        <v>0</v>
      </c>
      <c r="N1349" s="2"/>
      <c r="O1349" s="97"/>
      <c r="P1349" s="52"/>
    </row>
    <row r="1350" spans="1:16" ht="40.950000000000003" customHeight="1" x14ac:dyDescent="0.3">
      <c r="A1350" s="4">
        <v>46</v>
      </c>
      <c r="B1350" s="10" t="s">
        <v>139</v>
      </c>
      <c r="C1350" s="10"/>
      <c r="D1350" s="10"/>
      <c r="E1350" s="10"/>
      <c r="F1350" s="10" t="s">
        <v>115</v>
      </c>
      <c r="G1350" s="4" t="s">
        <v>9</v>
      </c>
      <c r="H1350" s="4"/>
      <c r="I1350" s="4">
        <f t="shared" si="64"/>
        <v>25200</v>
      </c>
      <c r="J1350" s="4">
        <v>25200</v>
      </c>
      <c r="K1350" s="4">
        <f t="shared" si="62"/>
        <v>0</v>
      </c>
      <c r="L1350" s="1">
        <v>25200</v>
      </c>
      <c r="M1350" s="93">
        <f t="shared" si="63"/>
        <v>0</v>
      </c>
      <c r="N1350" s="2"/>
      <c r="O1350" s="97"/>
      <c r="P1350" s="52"/>
    </row>
    <row r="1351" spans="1:16" ht="40.950000000000003" customHeight="1" x14ac:dyDescent="0.3">
      <c r="A1351" s="4">
        <v>46</v>
      </c>
      <c r="B1351" s="10" t="s">
        <v>139</v>
      </c>
      <c r="C1351" s="10"/>
      <c r="D1351" s="10"/>
      <c r="E1351" s="10"/>
      <c r="F1351" s="10" t="s">
        <v>115</v>
      </c>
      <c r="G1351" s="4" t="s">
        <v>22</v>
      </c>
      <c r="H1351" s="4"/>
      <c r="I1351" s="4">
        <f t="shared" si="64"/>
        <v>89180</v>
      </c>
      <c r="J1351" s="4">
        <v>89180</v>
      </c>
      <c r="K1351" s="4">
        <f t="shared" si="62"/>
        <v>0</v>
      </c>
      <c r="L1351" s="1">
        <v>89180</v>
      </c>
      <c r="M1351" s="93">
        <f t="shared" si="63"/>
        <v>0</v>
      </c>
      <c r="N1351" s="2"/>
      <c r="O1351" s="97"/>
      <c r="P1351" s="52"/>
    </row>
    <row r="1352" spans="1:16" ht="40.950000000000003" customHeight="1" x14ac:dyDescent="0.3">
      <c r="A1352" s="4">
        <v>46</v>
      </c>
      <c r="B1352" s="10" t="s">
        <v>139</v>
      </c>
      <c r="C1352" s="10"/>
      <c r="D1352" s="10"/>
      <c r="E1352" s="10"/>
      <c r="F1352" s="10" t="s">
        <v>115</v>
      </c>
      <c r="G1352" s="4" t="s">
        <v>90</v>
      </c>
      <c r="H1352" s="4"/>
      <c r="I1352" s="4">
        <f t="shared" si="64"/>
        <v>54655</v>
      </c>
      <c r="J1352" s="4">
        <v>54655</v>
      </c>
      <c r="K1352" s="4">
        <f t="shared" si="62"/>
        <v>0</v>
      </c>
      <c r="L1352" s="1">
        <v>54655</v>
      </c>
      <c r="M1352" s="93">
        <f t="shared" si="63"/>
        <v>0</v>
      </c>
      <c r="N1352" s="2"/>
      <c r="O1352" s="97"/>
      <c r="P1352" s="52"/>
    </row>
    <row r="1353" spans="1:16" ht="40.950000000000003" customHeight="1" x14ac:dyDescent="0.3">
      <c r="A1353" s="4">
        <v>46</v>
      </c>
      <c r="B1353" s="10" t="s">
        <v>139</v>
      </c>
      <c r="C1353" s="10"/>
      <c r="D1353" s="10"/>
      <c r="E1353" s="10"/>
      <c r="F1353" s="10" t="s">
        <v>115</v>
      </c>
      <c r="G1353" s="4" t="s">
        <v>70</v>
      </c>
      <c r="H1353" s="4"/>
      <c r="I1353" s="4">
        <f t="shared" si="64"/>
        <v>27440</v>
      </c>
      <c r="J1353" s="4">
        <v>27440</v>
      </c>
      <c r="K1353" s="4">
        <f t="shared" si="62"/>
        <v>0</v>
      </c>
      <c r="L1353" s="1">
        <v>27440</v>
      </c>
      <c r="M1353" s="93">
        <f t="shared" si="63"/>
        <v>0</v>
      </c>
      <c r="N1353" s="2"/>
      <c r="O1353" s="97"/>
      <c r="P1353" s="52"/>
    </row>
    <row r="1354" spans="1:16" ht="40.950000000000003" customHeight="1" x14ac:dyDescent="0.3">
      <c r="A1354" s="4">
        <v>46</v>
      </c>
      <c r="B1354" s="10" t="s">
        <v>139</v>
      </c>
      <c r="C1354" s="10"/>
      <c r="D1354" s="10"/>
      <c r="E1354" s="10"/>
      <c r="F1354" s="10" t="s">
        <v>115</v>
      </c>
      <c r="G1354" s="4" t="s">
        <v>11</v>
      </c>
      <c r="H1354" s="4"/>
      <c r="I1354" s="4">
        <f t="shared" si="64"/>
        <v>52640</v>
      </c>
      <c r="J1354" s="4">
        <v>52640</v>
      </c>
      <c r="K1354" s="4">
        <f t="shared" si="62"/>
        <v>0</v>
      </c>
      <c r="L1354" s="1">
        <v>52640</v>
      </c>
      <c r="M1354" s="93">
        <f t="shared" si="63"/>
        <v>0</v>
      </c>
      <c r="N1354" s="2"/>
      <c r="O1354" s="97"/>
      <c r="P1354" s="52"/>
    </row>
    <row r="1355" spans="1:16" ht="40.950000000000003" customHeight="1" x14ac:dyDescent="0.3">
      <c r="A1355" s="4">
        <v>46</v>
      </c>
      <c r="B1355" s="10" t="s">
        <v>139</v>
      </c>
      <c r="C1355" s="10"/>
      <c r="D1355" s="10"/>
      <c r="E1355" s="10"/>
      <c r="F1355" s="10" t="s">
        <v>115</v>
      </c>
      <c r="G1355" s="4" t="s">
        <v>48</v>
      </c>
      <c r="H1355" s="4"/>
      <c r="I1355" s="4">
        <f t="shared" si="64"/>
        <v>16800</v>
      </c>
      <c r="J1355" s="4">
        <v>16800</v>
      </c>
      <c r="K1355" s="4">
        <f t="shared" si="62"/>
        <v>0</v>
      </c>
      <c r="L1355" s="1">
        <v>16800</v>
      </c>
      <c r="M1355" s="93">
        <f t="shared" si="63"/>
        <v>0</v>
      </c>
      <c r="N1355" s="2"/>
      <c r="O1355" s="97"/>
      <c r="P1355" s="52"/>
    </row>
    <row r="1356" spans="1:16" ht="40.950000000000003" customHeight="1" x14ac:dyDescent="0.3">
      <c r="A1356" s="4">
        <v>46</v>
      </c>
      <c r="B1356" s="10" t="s">
        <v>139</v>
      </c>
      <c r="C1356" s="10"/>
      <c r="D1356" s="10"/>
      <c r="E1356" s="10"/>
      <c r="F1356" s="10" t="s">
        <v>115</v>
      </c>
      <c r="G1356" s="4" t="s">
        <v>114</v>
      </c>
      <c r="H1356" s="4"/>
      <c r="I1356" s="4">
        <f t="shared" si="64"/>
        <v>8550</v>
      </c>
      <c r="J1356" s="4">
        <v>8550</v>
      </c>
      <c r="K1356" s="4">
        <f t="shared" si="62"/>
        <v>0</v>
      </c>
      <c r="L1356" s="1">
        <v>8550</v>
      </c>
      <c r="M1356" s="93">
        <f t="shared" si="63"/>
        <v>0</v>
      </c>
      <c r="N1356" s="2"/>
      <c r="O1356" s="97"/>
      <c r="P1356" s="52"/>
    </row>
    <row r="1357" spans="1:16" ht="40.950000000000003" customHeight="1" x14ac:dyDescent="0.3">
      <c r="A1357" s="4">
        <v>46</v>
      </c>
      <c r="B1357" s="10" t="s">
        <v>139</v>
      </c>
      <c r="C1357" s="10"/>
      <c r="D1357" s="10"/>
      <c r="E1357" s="10"/>
      <c r="F1357" s="10" t="s">
        <v>115</v>
      </c>
      <c r="G1357" s="4" t="s">
        <v>64</v>
      </c>
      <c r="H1357" s="4"/>
      <c r="I1357" s="4">
        <f t="shared" si="64"/>
        <v>14250</v>
      </c>
      <c r="J1357" s="4">
        <v>14250</v>
      </c>
      <c r="K1357" s="4">
        <f t="shared" si="62"/>
        <v>0</v>
      </c>
      <c r="L1357" s="1">
        <v>14250</v>
      </c>
      <c r="M1357" s="93">
        <f t="shared" si="63"/>
        <v>0</v>
      </c>
      <c r="N1357" s="2"/>
      <c r="O1357" s="97"/>
      <c r="P1357" s="52"/>
    </row>
    <row r="1358" spans="1:16" ht="40.950000000000003" customHeight="1" x14ac:dyDescent="0.3">
      <c r="A1358" s="4">
        <v>46</v>
      </c>
      <c r="B1358" s="10" t="s">
        <v>139</v>
      </c>
      <c r="C1358" s="10"/>
      <c r="D1358" s="10"/>
      <c r="E1358" s="10"/>
      <c r="F1358" s="10" t="s">
        <v>115</v>
      </c>
      <c r="G1358" s="4" t="s">
        <v>39</v>
      </c>
      <c r="H1358" s="4"/>
      <c r="I1358" s="4">
        <f t="shared" si="64"/>
        <v>79720</v>
      </c>
      <c r="J1358" s="4">
        <v>79720</v>
      </c>
      <c r="K1358" s="4">
        <f t="shared" si="62"/>
        <v>0</v>
      </c>
      <c r="L1358" s="1">
        <v>79720</v>
      </c>
      <c r="M1358" s="93">
        <f t="shared" si="63"/>
        <v>0</v>
      </c>
      <c r="N1358" s="2"/>
      <c r="O1358" s="97"/>
      <c r="P1358" s="52"/>
    </row>
    <row r="1359" spans="1:16" ht="40.950000000000003" customHeight="1" x14ac:dyDescent="0.3">
      <c r="A1359" s="4">
        <v>47</v>
      </c>
      <c r="B1359" s="10" t="s">
        <v>155</v>
      </c>
      <c r="C1359" s="10"/>
      <c r="D1359" s="10"/>
      <c r="E1359" s="10"/>
      <c r="F1359" s="10" t="s">
        <v>115</v>
      </c>
      <c r="G1359" s="4" t="s">
        <v>7</v>
      </c>
      <c r="H1359" s="4"/>
      <c r="I1359" s="4">
        <f t="shared" si="64"/>
        <v>17500</v>
      </c>
      <c r="J1359" s="4">
        <v>17500</v>
      </c>
      <c r="K1359" s="4">
        <f t="shared" si="62"/>
        <v>0</v>
      </c>
      <c r="L1359" s="1">
        <v>17500</v>
      </c>
      <c r="M1359" s="93">
        <f t="shared" si="63"/>
        <v>0</v>
      </c>
      <c r="N1359" s="2"/>
      <c r="O1359" s="97"/>
      <c r="P1359" s="52"/>
    </row>
    <row r="1360" spans="1:16" ht="40.950000000000003" customHeight="1" x14ac:dyDescent="0.3">
      <c r="A1360" s="4">
        <v>47</v>
      </c>
      <c r="B1360" s="10" t="s">
        <v>155</v>
      </c>
      <c r="C1360" s="10"/>
      <c r="D1360" s="10"/>
      <c r="E1360" s="10"/>
      <c r="F1360" s="10" t="s">
        <v>115</v>
      </c>
      <c r="G1360" s="4" t="s">
        <v>8</v>
      </c>
      <c r="H1360" s="4"/>
      <c r="I1360" s="4">
        <f t="shared" si="64"/>
        <v>46570</v>
      </c>
      <c r="J1360" s="4">
        <v>46570</v>
      </c>
      <c r="K1360" s="4">
        <f t="shared" ref="K1360:K1424" si="65">L1360-J1360</f>
        <v>0</v>
      </c>
      <c r="L1360" s="1">
        <v>46570</v>
      </c>
      <c r="M1360" s="93">
        <f t="shared" si="63"/>
        <v>0</v>
      </c>
      <c r="N1360" s="2"/>
      <c r="O1360" s="97"/>
      <c r="P1360" s="52"/>
    </row>
    <row r="1361" spans="1:16" ht="40.950000000000003" customHeight="1" x14ac:dyDescent="0.3">
      <c r="A1361" s="4">
        <v>47</v>
      </c>
      <c r="B1361" s="10" t="s">
        <v>155</v>
      </c>
      <c r="C1361" s="10"/>
      <c r="D1361" s="10"/>
      <c r="E1361" s="10"/>
      <c r="F1361" s="10" t="s">
        <v>115</v>
      </c>
      <c r="G1361" s="4" t="s">
        <v>9</v>
      </c>
      <c r="H1361" s="4"/>
      <c r="I1361" s="4">
        <f t="shared" si="64"/>
        <v>62440</v>
      </c>
      <c r="J1361" s="4">
        <v>62440</v>
      </c>
      <c r="K1361" s="4">
        <f t="shared" si="65"/>
        <v>0</v>
      </c>
      <c r="L1361" s="1">
        <v>62440</v>
      </c>
      <c r="M1361" s="93">
        <f t="shared" si="63"/>
        <v>0</v>
      </c>
      <c r="N1361" s="2"/>
      <c r="O1361" s="97"/>
      <c r="P1361" s="52"/>
    </row>
    <row r="1362" spans="1:16" ht="40.950000000000003" customHeight="1" x14ac:dyDescent="0.3">
      <c r="A1362" s="4">
        <v>47</v>
      </c>
      <c r="B1362" s="10" t="s">
        <v>155</v>
      </c>
      <c r="C1362" s="10"/>
      <c r="D1362" s="10"/>
      <c r="E1362" s="10"/>
      <c r="F1362" s="10" t="s">
        <v>115</v>
      </c>
      <c r="G1362" s="4" t="s">
        <v>11</v>
      </c>
      <c r="H1362" s="4"/>
      <c r="I1362" s="4">
        <f t="shared" si="64"/>
        <v>43050</v>
      </c>
      <c r="J1362" s="4">
        <v>43050</v>
      </c>
      <c r="K1362" s="4">
        <f t="shared" si="65"/>
        <v>0</v>
      </c>
      <c r="L1362" s="1">
        <v>43050</v>
      </c>
      <c r="M1362" s="93">
        <f t="shared" si="63"/>
        <v>0</v>
      </c>
      <c r="N1362" s="2"/>
      <c r="O1362" s="97"/>
      <c r="P1362" s="52"/>
    </row>
    <row r="1363" spans="1:16" ht="40.950000000000003" customHeight="1" x14ac:dyDescent="0.3">
      <c r="A1363" s="4">
        <v>47</v>
      </c>
      <c r="B1363" s="10" t="s">
        <v>155</v>
      </c>
      <c r="C1363" s="10"/>
      <c r="D1363" s="10"/>
      <c r="E1363" s="10"/>
      <c r="F1363" s="10" t="s">
        <v>115</v>
      </c>
      <c r="G1363" s="4" t="s">
        <v>22</v>
      </c>
      <c r="H1363" s="4"/>
      <c r="I1363" s="4">
        <f t="shared" si="64"/>
        <v>93715</v>
      </c>
      <c r="J1363" s="4">
        <v>93715</v>
      </c>
      <c r="K1363" s="4">
        <f t="shared" si="65"/>
        <v>0</v>
      </c>
      <c r="L1363" s="1">
        <v>93715</v>
      </c>
      <c r="M1363" s="93">
        <f t="shared" si="63"/>
        <v>0</v>
      </c>
      <c r="N1363" s="2"/>
      <c r="O1363" s="97"/>
      <c r="P1363" s="52"/>
    </row>
    <row r="1364" spans="1:16" ht="40.950000000000003" customHeight="1" x14ac:dyDescent="0.3">
      <c r="A1364" s="4">
        <v>47</v>
      </c>
      <c r="B1364" s="10" t="s">
        <v>155</v>
      </c>
      <c r="C1364" s="10"/>
      <c r="D1364" s="10"/>
      <c r="E1364" s="10"/>
      <c r="F1364" s="10" t="s">
        <v>115</v>
      </c>
      <c r="G1364" s="4" t="s">
        <v>70</v>
      </c>
      <c r="H1364" s="4"/>
      <c r="I1364" s="4">
        <f t="shared" si="64"/>
        <v>44980</v>
      </c>
      <c r="J1364" s="4">
        <v>44980</v>
      </c>
      <c r="K1364" s="4">
        <f t="shared" si="65"/>
        <v>0</v>
      </c>
      <c r="L1364" s="1">
        <v>44980</v>
      </c>
      <c r="M1364" s="93">
        <f t="shared" si="63"/>
        <v>0</v>
      </c>
      <c r="N1364" s="2"/>
      <c r="O1364" s="97"/>
      <c r="P1364" s="52"/>
    </row>
    <row r="1365" spans="1:16" ht="40.950000000000003" customHeight="1" x14ac:dyDescent="0.3">
      <c r="A1365" s="4">
        <v>47</v>
      </c>
      <c r="B1365" s="10" t="s">
        <v>155</v>
      </c>
      <c r="C1365" s="10"/>
      <c r="D1365" s="10"/>
      <c r="E1365" s="10"/>
      <c r="F1365" s="10" t="s">
        <v>115</v>
      </c>
      <c r="G1365" s="4" t="s">
        <v>90</v>
      </c>
      <c r="H1365" s="4"/>
      <c r="I1365" s="4">
        <f t="shared" si="64"/>
        <v>43890</v>
      </c>
      <c r="J1365" s="4">
        <v>43890</v>
      </c>
      <c r="K1365" s="4">
        <f t="shared" si="65"/>
        <v>0</v>
      </c>
      <c r="L1365" s="1">
        <v>43890</v>
      </c>
      <c r="M1365" s="93">
        <f t="shared" si="63"/>
        <v>0</v>
      </c>
      <c r="N1365" s="2"/>
      <c r="O1365" s="97"/>
      <c r="P1365" s="52"/>
    </row>
    <row r="1366" spans="1:16" ht="40.950000000000003" customHeight="1" x14ac:dyDescent="0.3">
      <c r="A1366" s="4">
        <v>47</v>
      </c>
      <c r="B1366" s="10" t="s">
        <v>155</v>
      </c>
      <c r="C1366" s="10"/>
      <c r="D1366" s="10"/>
      <c r="E1366" s="10"/>
      <c r="F1366" s="10" t="s">
        <v>115</v>
      </c>
      <c r="G1366" s="4" t="s">
        <v>48</v>
      </c>
      <c r="H1366" s="4"/>
      <c r="I1366" s="4">
        <f t="shared" si="64"/>
        <v>107800</v>
      </c>
      <c r="J1366" s="4">
        <v>107800</v>
      </c>
      <c r="K1366" s="4">
        <f t="shared" si="65"/>
        <v>0</v>
      </c>
      <c r="L1366" s="1">
        <v>107800</v>
      </c>
      <c r="M1366" s="93">
        <f t="shared" si="63"/>
        <v>0</v>
      </c>
      <c r="N1366" s="2"/>
      <c r="O1366" s="97"/>
      <c r="P1366" s="52"/>
    </row>
    <row r="1367" spans="1:16" ht="40.950000000000003" customHeight="1" x14ac:dyDescent="0.3">
      <c r="A1367" s="4">
        <v>47</v>
      </c>
      <c r="B1367" s="10" t="s">
        <v>155</v>
      </c>
      <c r="C1367" s="10"/>
      <c r="D1367" s="10"/>
      <c r="E1367" s="10"/>
      <c r="F1367" s="10" t="s">
        <v>115</v>
      </c>
      <c r="G1367" s="4" t="s">
        <v>49</v>
      </c>
      <c r="H1367" s="4"/>
      <c r="I1367" s="4">
        <f t="shared" si="64"/>
        <v>18880</v>
      </c>
      <c r="J1367" s="4">
        <v>18880</v>
      </c>
      <c r="K1367" s="4">
        <f t="shared" si="65"/>
        <v>0</v>
      </c>
      <c r="L1367" s="1">
        <v>18880</v>
      </c>
      <c r="M1367" s="93">
        <f t="shared" si="63"/>
        <v>0</v>
      </c>
      <c r="N1367" s="2"/>
      <c r="O1367" s="97"/>
      <c r="P1367" s="52"/>
    </row>
    <row r="1368" spans="1:16" ht="40.950000000000003" customHeight="1" x14ac:dyDescent="0.3">
      <c r="A1368" s="4">
        <v>47</v>
      </c>
      <c r="B1368" s="10" t="s">
        <v>155</v>
      </c>
      <c r="C1368" s="10"/>
      <c r="D1368" s="10"/>
      <c r="E1368" s="10"/>
      <c r="F1368" s="10" t="s">
        <v>115</v>
      </c>
      <c r="G1368" s="4" t="s">
        <v>50</v>
      </c>
      <c r="H1368" s="4"/>
      <c r="I1368" s="4">
        <f t="shared" si="64"/>
        <v>36550</v>
      </c>
      <c r="J1368" s="4">
        <v>36550</v>
      </c>
      <c r="K1368" s="4">
        <f t="shared" si="65"/>
        <v>0</v>
      </c>
      <c r="L1368" s="1">
        <v>36550</v>
      </c>
      <c r="M1368" s="93">
        <f t="shared" si="63"/>
        <v>0</v>
      </c>
      <c r="N1368" s="2"/>
      <c r="O1368" s="97"/>
      <c r="P1368" s="52"/>
    </row>
    <row r="1369" spans="1:16" ht="40.950000000000003" customHeight="1" x14ac:dyDescent="0.3">
      <c r="A1369" s="4">
        <v>47</v>
      </c>
      <c r="B1369" s="10" t="s">
        <v>155</v>
      </c>
      <c r="C1369" s="10"/>
      <c r="D1369" s="10"/>
      <c r="E1369" s="10"/>
      <c r="F1369" s="10" t="s">
        <v>115</v>
      </c>
      <c r="G1369" s="4" t="s">
        <v>128</v>
      </c>
      <c r="H1369" s="4"/>
      <c r="I1369" s="4">
        <f t="shared" si="64"/>
        <v>37620</v>
      </c>
      <c r="J1369" s="4">
        <v>37620</v>
      </c>
      <c r="K1369" s="4">
        <f t="shared" si="65"/>
        <v>0</v>
      </c>
      <c r="L1369" s="1">
        <v>37620</v>
      </c>
      <c r="M1369" s="93">
        <f t="shared" si="63"/>
        <v>0</v>
      </c>
      <c r="N1369" s="2"/>
      <c r="O1369" s="97"/>
      <c r="P1369" s="52"/>
    </row>
    <row r="1370" spans="1:16" ht="40.950000000000003" customHeight="1" x14ac:dyDescent="0.3">
      <c r="A1370" s="4">
        <v>47</v>
      </c>
      <c r="B1370" s="10" t="s">
        <v>155</v>
      </c>
      <c r="C1370" s="10"/>
      <c r="D1370" s="10"/>
      <c r="E1370" s="10"/>
      <c r="F1370" s="10" t="s">
        <v>115</v>
      </c>
      <c r="G1370" s="4" t="s">
        <v>64</v>
      </c>
      <c r="H1370" s="4"/>
      <c r="I1370" s="4">
        <f t="shared" si="64"/>
        <v>35910</v>
      </c>
      <c r="J1370" s="4">
        <v>35910</v>
      </c>
      <c r="K1370" s="4">
        <f t="shared" si="65"/>
        <v>0</v>
      </c>
      <c r="L1370" s="1">
        <v>35910</v>
      </c>
      <c r="M1370" s="93">
        <f t="shared" si="63"/>
        <v>0</v>
      </c>
      <c r="N1370" s="2"/>
      <c r="O1370" s="97"/>
      <c r="P1370" s="52"/>
    </row>
    <row r="1371" spans="1:16" ht="40.950000000000003" customHeight="1" x14ac:dyDescent="0.3">
      <c r="A1371" s="4">
        <v>47</v>
      </c>
      <c r="B1371" s="10" t="s">
        <v>155</v>
      </c>
      <c r="C1371" s="10"/>
      <c r="D1371" s="10"/>
      <c r="E1371" s="10"/>
      <c r="F1371" s="10" t="s">
        <v>115</v>
      </c>
      <c r="G1371" s="4" t="s">
        <v>122</v>
      </c>
      <c r="H1371" s="4"/>
      <c r="I1371" s="4">
        <f t="shared" si="64"/>
        <v>38760</v>
      </c>
      <c r="J1371" s="4">
        <v>38760</v>
      </c>
      <c r="K1371" s="4">
        <f t="shared" si="65"/>
        <v>0</v>
      </c>
      <c r="L1371" s="1">
        <v>38760</v>
      </c>
      <c r="M1371" s="93">
        <f t="shared" si="63"/>
        <v>0</v>
      </c>
      <c r="N1371" s="2"/>
      <c r="O1371" s="97"/>
      <c r="P1371" s="52"/>
    </row>
    <row r="1372" spans="1:16" ht="40.950000000000003" customHeight="1" x14ac:dyDescent="0.3">
      <c r="A1372" s="4">
        <v>47</v>
      </c>
      <c r="B1372" s="10" t="s">
        <v>155</v>
      </c>
      <c r="C1372" s="10"/>
      <c r="D1372" s="10"/>
      <c r="E1372" s="10"/>
      <c r="F1372" s="10" t="s">
        <v>115</v>
      </c>
      <c r="G1372" s="4" t="s">
        <v>143</v>
      </c>
      <c r="H1372" s="4"/>
      <c r="I1372" s="4">
        <f t="shared" si="64"/>
        <v>34200</v>
      </c>
      <c r="J1372" s="4">
        <v>34200</v>
      </c>
      <c r="K1372" s="4">
        <f t="shared" si="65"/>
        <v>0</v>
      </c>
      <c r="L1372" s="1">
        <v>34200</v>
      </c>
      <c r="M1372" s="93">
        <f t="shared" si="63"/>
        <v>0</v>
      </c>
      <c r="N1372" s="2"/>
      <c r="O1372" s="97"/>
      <c r="P1372" s="52"/>
    </row>
    <row r="1373" spans="1:16" ht="40.950000000000003" customHeight="1" x14ac:dyDescent="0.3">
      <c r="A1373" s="4">
        <v>47</v>
      </c>
      <c r="B1373" s="10" t="s">
        <v>155</v>
      </c>
      <c r="C1373" s="10"/>
      <c r="D1373" s="10"/>
      <c r="E1373" s="10"/>
      <c r="F1373" s="10" t="s">
        <v>115</v>
      </c>
      <c r="G1373" s="4" t="s">
        <v>39</v>
      </c>
      <c r="H1373" s="4"/>
      <c r="I1373" s="4">
        <f t="shared" si="64"/>
        <v>44280</v>
      </c>
      <c r="J1373" s="4">
        <v>44280</v>
      </c>
      <c r="K1373" s="4">
        <f t="shared" si="65"/>
        <v>0</v>
      </c>
      <c r="L1373" s="1">
        <v>44280</v>
      </c>
      <c r="M1373" s="93">
        <f t="shared" si="63"/>
        <v>0</v>
      </c>
      <c r="N1373" s="2"/>
      <c r="O1373" s="97"/>
      <c r="P1373" s="52"/>
    </row>
    <row r="1374" spans="1:16" ht="40.950000000000003" customHeight="1" x14ac:dyDescent="0.3">
      <c r="A1374" s="4">
        <v>48</v>
      </c>
      <c r="B1374" s="10" t="s">
        <v>156</v>
      </c>
      <c r="C1374" s="10"/>
      <c r="D1374" s="10"/>
      <c r="E1374" s="10"/>
      <c r="F1374" s="10" t="s">
        <v>115</v>
      </c>
      <c r="G1374" s="4" t="s">
        <v>7</v>
      </c>
      <c r="H1374" s="4"/>
      <c r="I1374" s="4">
        <f t="shared" si="64"/>
        <v>81750</v>
      </c>
      <c r="J1374" s="4">
        <v>81750</v>
      </c>
      <c r="K1374" s="4">
        <f t="shared" si="65"/>
        <v>0</v>
      </c>
      <c r="L1374" s="1">
        <v>81750</v>
      </c>
      <c r="M1374" s="93">
        <f t="shared" si="63"/>
        <v>0</v>
      </c>
      <c r="N1374" s="2"/>
      <c r="O1374" s="97"/>
      <c r="P1374" s="52"/>
    </row>
    <row r="1375" spans="1:16" ht="40.950000000000003" customHeight="1" x14ac:dyDescent="0.3">
      <c r="A1375" s="4">
        <v>48</v>
      </c>
      <c r="B1375" s="10" t="s">
        <v>156</v>
      </c>
      <c r="C1375" s="10"/>
      <c r="D1375" s="10"/>
      <c r="E1375" s="10"/>
      <c r="F1375" s="10" t="s">
        <v>115</v>
      </c>
      <c r="G1375" s="4" t="s">
        <v>8</v>
      </c>
      <c r="H1375" s="4"/>
      <c r="I1375" s="4">
        <f t="shared" si="64"/>
        <v>108075</v>
      </c>
      <c r="J1375" s="4">
        <v>108075</v>
      </c>
      <c r="K1375" s="4">
        <f t="shared" si="65"/>
        <v>0</v>
      </c>
      <c r="L1375" s="1">
        <v>108075</v>
      </c>
      <c r="M1375" s="93">
        <f t="shared" si="63"/>
        <v>0</v>
      </c>
      <c r="N1375" s="2"/>
      <c r="O1375" s="97"/>
      <c r="P1375" s="52"/>
    </row>
    <row r="1376" spans="1:16" ht="40.950000000000003" customHeight="1" x14ac:dyDescent="0.3">
      <c r="A1376" s="4">
        <v>48</v>
      </c>
      <c r="B1376" s="10" t="s">
        <v>156</v>
      </c>
      <c r="C1376" s="10"/>
      <c r="D1376" s="10"/>
      <c r="E1376" s="10"/>
      <c r="F1376" s="10" t="s">
        <v>115</v>
      </c>
      <c r="G1376" s="4" t="s">
        <v>9</v>
      </c>
      <c r="H1376" s="4"/>
      <c r="I1376" s="4">
        <f t="shared" si="64"/>
        <v>24475</v>
      </c>
      <c r="J1376" s="4">
        <v>24475</v>
      </c>
      <c r="K1376" s="4">
        <f t="shared" si="65"/>
        <v>0</v>
      </c>
      <c r="L1376" s="1">
        <v>24475</v>
      </c>
      <c r="M1376" s="93">
        <f t="shared" si="63"/>
        <v>0</v>
      </c>
      <c r="N1376" s="2"/>
      <c r="O1376" s="97"/>
      <c r="P1376" s="52"/>
    </row>
    <row r="1377" spans="1:16" ht="40.950000000000003" customHeight="1" x14ac:dyDescent="0.3">
      <c r="A1377" s="4">
        <v>48</v>
      </c>
      <c r="B1377" s="10" t="s">
        <v>156</v>
      </c>
      <c r="C1377" s="10"/>
      <c r="D1377" s="10"/>
      <c r="E1377" s="10"/>
      <c r="F1377" s="10" t="s">
        <v>115</v>
      </c>
      <c r="G1377" s="4" t="s">
        <v>11</v>
      </c>
      <c r="H1377" s="4"/>
      <c r="I1377" s="4">
        <f t="shared" si="64"/>
        <v>84480</v>
      </c>
      <c r="J1377" s="4">
        <v>84480</v>
      </c>
      <c r="K1377" s="4">
        <f t="shared" si="65"/>
        <v>0</v>
      </c>
      <c r="L1377" s="1">
        <v>84480</v>
      </c>
      <c r="M1377" s="93">
        <f t="shared" si="63"/>
        <v>0</v>
      </c>
      <c r="N1377" s="12"/>
      <c r="O1377" s="98"/>
      <c r="P1377" s="53"/>
    </row>
    <row r="1378" spans="1:16" ht="40.950000000000003" customHeight="1" x14ac:dyDescent="0.3">
      <c r="A1378" s="4">
        <v>48</v>
      </c>
      <c r="B1378" s="10" t="s">
        <v>156</v>
      </c>
      <c r="C1378" s="10"/>
      <c r="D1378" s="10"/>
      <c r="E1378" s="10"/>
      <c r="F1378" s="10" t="s">
        <v>115</v>
      </c>
      <c r="G1378" s="4" t="s">
        <v>22</v>
      </c>
      <c r="H1378" s="4"/>
      <c r="I1378" s="4">
        <f t="shared" si="64"/>
        <v>154470</v>
      </c>
      <c r="J1378" s="4">
        <v>154470</v>
      </c>
      <c r="K1378" s="4">
        <f t="shared" si="65"/>
        <v>0</v>
      </c>
      <c r="L1378" s="1">
        <v>154470</v>
      </c>
      <c r="M1378" s="93">
        <f t="shared" si="63"/>
        <v>0</v>
      </c>
      <c r="N1378" s="2"/>
      <c r="O1378" s="97"/>
      <c r="P1378" s="52"/>
    </row>
    <row r="1379" spans="1:16" ht="40.950000000000003" customHeight="1" x14ac:dyDescent="0.3">
      <c r="A1379" s="4">
        <v>48</v>
      </c>
      <c r="B1379" s="10" t="s">
        <v>156</v>
      </c>
      <c r="C1379" s="10"/>
      <c r="D1379" s="10"/>
      <c r="E1379" s="10"/>
      <c r="F1379" s="10" t="s">
        <v>115</v>
      </c>
      <c r="G1379" s="4" t="s">
        <v>70</v>
      </c>
      <c r="H1379" s="4"/>
      <c r="I1379" s="4">
        <f t="shared" si="64"/>
        <v>94050</v>
      </c>
      <c r="J1379" s="4">
        <v>94050</v>
      </c>
      <c r="K1379" s="4">
        <f t="shared" si="65"/>
        <v>0</v>
      </c>
      <c r="L1379" s="1">
        <v>94050</v>
      </c>
      <c r="M1379" s="93">
        <f t="shared" si="63"/>
        <v>0</v>
      </c>
      <c r="N1379" s="2"/>
      <c r="O1379" s="97"/>
      <c r="P1379" s="52"/>
    </row>
    <row r="1380" spans="1:16" ht="40.950000000000003" customHeight="1" x14ac:dyDescent="0.3">
      <c r="A1380" s="4">
        <v>48</v>
      </c>
      <c r="B1380" s="10" t="s">
        <v>156</v>
      </c>
      <c r="C1380" s="10"/>
      <c r="D1380" s="10"/>
      <c r="E1380" s="10"/>
      <c r="F1380" s="10" t="s">
        <v>115</v>
      </c>
      <c r="G1380" s="4" t="s">
        <v>90</v>
      </c>
      <c r="H1380" s="4"/>
      <c r="I1380" s="4">
        <f t="shared" si="64"/>
        <v>8550</v>
      </c>
      <c r="J1380" s="4">
        <v>8550</v>
      </c>
      <c r="K1380" s="4">
        <f t="shared" si="65"/>
        <v>0</v>
      </c>
      <c r="L1380" s="1">
        <v>8550</v>
      </c>
      <c r="M1380" s="93">
        <f t="shared" si="63"/>
        <v>0</v>
      </c>
      <c r="N1380" s="2"/>
      <c r="O1380" s="97"/>
      <c r="P1380" s="52"/>
    </row>
    <row r="1381" spans="1:16" ht="40.950000000000003" customHeight="1" x14ac:dyDescent="0.3">
      <c r="A1381" s="4">
        <v>48</v>
      </c>
      <c r="B1381" s="10" t="s">
        <v>156</v>
      </c>
      <c r="C1381" s="10"/>
      <c r="D1381" s="10"/>
      <c r="E1381" s="10"/>
      <c r="F1381" s="10" t="s">
        <v>115</v>
      </c>
      <c r="G1381" s="4" t="s">
        <v>48</v>
      </c>
      <c r="H1381" s="4"/>
      <c r="I1381" s="4">
        <f t="shared" si="64"/>
        <v>163605</v>
      </c>
      <c r="J1381" s="4">
        <v>163605</v>
      </c>
      <c r="K1381" s="4">
        <f t="shared" si="65"/>
        <v>0</v>
      </c>
      <c r="L1381" s="1">
        <v>163605</v>
      </c>
      <c r="M1381" s="93">
        <f t="shared" si="63"/>
        <v>0</v>
      </c>
      <c r="N1381" s="2"/>
      <c r="O1381" s="97"/>
      <c r="P1381" s="52"/>
    </row>
    <row r="1382" spans="1:16" ht="40.950000000000003" customHeight="1" x14ac:dyDescent="0.3">
      <c r="A1382" s="4">
        <v>48</v>
      </c>
      <c r="B1382" s="10" t="s">
        <v>156</v>
      </c>
      <c r="C1382" s="10"/>
      <c r="D1382" s="10"/>
      <c r="E1382" s="10"/>
      <c r="F1382" s="10" t="s">
        <v>115</v>
      </c>
      <c r="G1382" s="4" t="s">
        <v>49</v>
      </c>
      <c r="H1382" s="4"/>
      <c r="I1382" s="4">
        <f t="shared" si="64"/>
        <v>93195</v>
      </c>
      <c r="J1382" s="4">
        <v>93195</v>
      </c>
      <c r="K1382" s="4">
        <f t="shared" si="65"/>
        <v>0</v>
      </c>
      <c r="L1382" s="1">
        <v>93195</v>
      </c>
      <c r="M1382" s="93">
        <f t="shared" si="63"/>
        <v>0</v>
      </c>
      <c r="N1382" s="2"/>
      <c r="O1382" s="97"/>
      <c r="P1382" s="52"/>
    </row>
    <row r="1383" spans="1:16" ht="40.950000000000003" customHeight="1" x14ac:dyDescent="0.3">
      <c r="A1383" s="4">
        <v>48</v>
      </c>
      <c r="B1383" s="10" t="s">
        <v>156</v>
      </c>
      <c r="C1383" s="10"/>
      <c r="D1383" s="10"/>
      <c r="E1383" s="10"/>
      <c r="F1383" s="10" t="s">
        <v>115</v>
      </c>
      <c r="G1383" s="4" t="s">
        <v>50</v>
      </c>
      <c r="H1383" s="4"/>
      <c r="I1383" s="4">
        <f t="shared" si="64"/>
        <v>123135</v>
      </c>
      <c r="J1383" s="4">
        <v>123135</v>
      </c>
      <c r="K1383" s="4">
        <f t="shared" si="65"/>
        <v>0</v>
      </c>
      <c r="L1383" s="1">
        <v>123135</v>
      </c>
      <c r="M1383" s="93">
        <f t="shared" si="63"/>
        <v>0</v>
      </c>
      <c r="N1383" s="2"/>
      <c r="O1383" s="97"/>
      <c r="P1383" s="52"/>
    </row>
    <row r="1384" spans="1:16" ht="40.950000000000003" customHeight="1" x14ac:dyDescent="0.3">
      <c r="A1384" s="4">
        <v>48</v>
      </c>
      <c r="B1384" s="10" t="s">
        <v>156</v>
      </c>
      <c r="C1384" s="10"/>
      <c r="D1384" s="10"/>
      <c r="E1384" s="10"/>
      <c r="F1384" s="10" t="s">
        <v>115</v>
      </c>
      <c r="G1384" s="4" t="s">
        <v>51</v>
      </c>
      <c r="H1384" s="4"/>
      <c r="I1384" s="4">
        <f t="shared" si="64"/>
        <v>84930</v>
      </c>
      <c r="J1384" s="4">
        <v>84930</v>
      </c>
      <c r="K1384" s="4">
        <f t="shared" si="65"/>
        <v>0</v>
      </c>
      <c r="L1384" s="1">
        <v>84930</v>
      </c>
      <c r="M1384" s="93">
        <f t="shared" si="63"/>
        <v>0</v>
      </c>
      <c r="N1384" s="2"/>
      <c r="O1384" s="97"/>
      <c r="P1384" s="52"/>
    </row>
    <row r="1385" spans="1:16" ht="40.950000000000003" customHeight="1" x14ac:dyDescent="0.3">
      <c r="A1385" s="4">
        <v>48</v>
      </c>
      <c r="B1385" s="10" t="s">
        <v>156</v>
      </c>
      <c r="C1385" s="10"/>
      <c r="D1385" s="10"/>
      <c r="E1385" s="10"/>
      <c r="F1385" s="10" t="s">
        <v>115</v>
      </c>
      <c r="G1385" s="4" t="s">
        <v>114</v>
      </c>
      <c r="H1385" s="4"/>
      <c r="I1385" s="4">
        <f t="shared" si="64"/>
        <v>80370</v>
      </c>
      <c r="J1385" s="4">
        <v>80370</v>
      </c>
      <c r="K1385" s="4">
        <f t="shared" si="65"/>
        <v>0</v>
      </c>
      <c r="L1385" s="1">
        <v>80370</v>
      </c>
      <c r="M1385" s="93">
        <f t="shared" si="63"/>
        <v>0</v>
      </c>
      <c r="N1385" s="2"/>
      <c r="O1385" s="97"/>
      <c r="P1385" s="52"/>
    </row>
    <row r="1386" spans="1:16" ht="40.950000000000003" customHeight="1" x14ac:dyDescent="0.3">
      <c r="A1386" s="4">
        <v>48</v>
      </c>
      <c r="B1386" s="10" t="s">
        <v>156</v>
      </c>
      <c r="C1386" s="10"/>
      <c r="D1386" s="10"/>
      <c r="E1386" s="10"/>
      <c r="F1386" s="10" t="s">
        <v>115</v>
      </c>
      <c r="G1386" s="4" t="s">
        <v>85</v>
      </c>
      <c r="H1386" s="4"/>
      <c r="I1386" s="4">
        <f t="shared" si="64"/>
        <v>59565</v>
      </c>
      <c r="J1386" s="4">
        <v>59565</v>
      </c>
      <c r="K1386" s="4">
        <f t="shared" si="65"/>
        <v>0</v>
      </c>
      <c r="L1386" s="1">
        <v>59565</v>
      </c>
      <c r="M1386" s="93">
        <f t="shared" si="63"/>
        <v>0</v>
      </c>
      <c r="N1386" s="2"/>
      <c r="O1386" s="97"/>
      <c r="P1386" s="52"/>
    </row>
    <row r="1387" spans="1:16" ht="40.950000000000003" customHeight="1" x14ac:dyDescent="0.3">
      <c r="A1387" s="4">
        <v>48</v>
      </c>
      <c r="B1387" s="10" t="s">
        <v>156</v>
      </c>
      <c r="C1387" s="10"/>
      <c r="D1387" s="10"/>
      <c r="E1387" s="10"/>
      <c r="F1387" s="10" t="s">
        <v>115</v>
      </c>
      <c r="G1387" s="4" t="s">
        <v>128</v>
      </c>
      <c r="H1387" s="4"/>
      <c r="I1387" s="4">
        <f t="shared" si="64"/>
        <v>118560</v>
      </c>
      <c r="J1387" s="4">
        <v>118560</v>
      </c>
      <c r="K1387" s="4">
        <f t="shared" si="65"/>
        <v>0</v>
      </c>
      <c r="L1387" s="1">
        <v>118560</v>
      </c>
      <c r="M1387" s="93">
        <f t="shared" si="63"/>
        <v>0</v>
      </c>
      <c r="N1387" s="2"/>
      <c r="O1387" s="97"/>
      <c r="P1387" s="52"/>
    </row>
    <row r="1388" spans="1:16" ht="40.950000000000003" customHeight="1" x14ac:dyDescent="0.3">
      <c r="A1388" s="4">
        <v>48</v>
      </c>
      <c r="B1388" s="10" t="s">
        <v>156</v>
      </c>
      <c r="C1388" s="10"/>
      <c r="D1388" s="10"/>
      <c r="E1388" s="10"/>
      <c r="F1388" s="10" t="s">
        <v>115</v>
      </c>
      <c r="G1388" s="4" t="s">
        <v>64</v>
      </c>
      <c r="H1388" s="4"/>
      <c r="I1388" s="4">
        <f t="shared" si="64"/>
        <v>115185</v>
      </c>
      <c r="J1388" s="4">
        <v>115185</v>
      </c>
      <c r="K1388" s="4">
        <f t="shared" si="65"/>
        <v>0</v>
      </c>
      <c r="L1388" s="1">
        <v>115185</v>
      </c>
      <c r="M1388" s="93">
        <f t="shared" si="63"/>
        <v>0</v>
      </c>
      <c r="N1388" s="2"/>
      <c r="O1388" s="97"/>
      <c r="P1388" s="52"/>
    </row>
    <row r="1389" spans="1:16" ht="40.950000000000003" customHeight="1" x14ac:dyDescent="0.3">
      <c r="A1389" s="4">
        <v>48</v>
      </c>
      <c r="B1389" s="10" t="s">
        <v>156</v>
      </c>
      <c r="C1389" s="10"/>
      <c r="D1389" s="10"/>
      <c r="E1389" s="10"/>
      <c r="F1389" s="10" t="s">
        <v>115</v>
      </c>
      <c r="G1389" s="4" t="s">
        <v>122</v>
      </c>
      <c r="H1389" s="4"/>
      <c r="I1389" s="4">
        <f t="shared" si="64"/>
        <v>55860</v>
      </c>
      <c r="J1389" s="4">
        <v>55860</v>
      </c>
      <c r="K1389" s="4">
        <f t="shared" si="65"/>
        <v>0</v>
      </c>
      <c r="L1389" s="1">
        <v>55860</v>
      </c>
      <c r="M1389" s="93">
        <f t="shared" si="63"/>
        <v>0</v>
      </c>
      <c r="N1389" s="2"/>
      <c r="O1389" s="97"/>
      <c r="P1389" s="52"/>
    </row>
    <row r="1390" spans="1:16" ht="40.950000000000003" customHeight="1" x14ac:dyDescent="0.3">
      <c r="A1390" s="4">
        <v>48</v>
      </c>
      <c r="B1390" s="10" t="s">
        <v>156</v>
      </c>
      <c r="C1390" s="10"/>
      <c r="D1390" s="10"/>
      <c r="E1390" s="10"/>
      <c r="F1390" s="10" t="s">
        <v>115</v>
      </c>
      <c r="G1390" s="4" t="s">
        <v>143</v>
      </c>
      <c r="H1390" s="4"/>
      <c r="I1390" s="4">
        <f t="shared" si="64"/>
        <v>42750</v>
      </c>
      <c r="J1390" s="4">
        <v>42750</v>
      </c>
      <c r="K1390" s="4">
        <f t="shared" si="65"/>
        <v>0</v>
      </c>
      <c r="L1390" s="1">
        <v>42750</v>
      </c>
      <c r="M1390" s="93">
        <f t="shared" si="63"/>
        <v>0</v>
      </c>
      <c r="N1390" s="2"/>
      <c r="O1390" s="97"/>
      <c r="P1390" s="52"/>
    </row>
    <row r="1391" spans="1:16" ht="40.950000000000003" customHeight="1" x14ac:dyDescent="0.3">
      <c r="A1391" s="4">
        <v>48</v>
      </c>
      <c r="B1391" s="10" t="s">
        <v>156</v>
      </c>
      <c r="C1391" s="10"/>
      <c r="D1391" s="10"/>
      <c r="E1391" s="10"/>
      <c r="F1391" s="10" t="s">
        <v>115</v>
      </c>
      <c r="G1391" s="4" t="s">
        <v>39</v>
      </c>
      <c r="H1391" s="4"/>
      <c r="I1391" s="4">
        <f t="shared" si="64"/>
        <v>42150</v>
      </c>
      <c r="J1391" s="4">
        <v>42150</v>
      </c>
      <c r="K1391" s="4">
        <f t="shared" si="65"/>
        <v>0</v>
      </c>
      <c r="L1391" s="1">
        <v>42150</v>
      </c>
      <c r="M1391" s="93">
        <f t="shared" si="63"/>
        <v>0</v>
      </c>
      <c r="N1391" s="2"/>
      <c r="O1391" s="97"/>
      <c r="P1391" s="52"/>
    </row>
    <row r="1392" spans="1:16" ht="40.950000000000003" customHeight="1" x14ac:dyDescent="0.3">
      <c r="A1392" s="4">
        <v>48</v>
      </c>
      <c r="B1392" s="10" t="s">
        <v>156</v>
      </c>
      <c r="C1392" s="10"/>
      <c r="D1392" s="10"/>
      <c r="E1392" s="10"/>
      <c r="F1392" s="10" t="s">
        <v>115</v>
      </c>
      <c r="G1392" s="4" t="s">
        <v>402</v>
      </c>
      <c r="H1392" s="4"/>
      <c r="I1392" s="4">
        <f t="shared" si="64"/>
        <v>71535</v>
      </c>
      <c r="J1392" s="4">
        <v>71535</v>
      </c>
      <c r="K1392" s="4">
        <f t="shared" si="65"/>
        <v>0</v>
      </c>
      <c r="L1392" s="1">
        <v>71535</v>
      </c>
      <c r="M1392" s="93">
        <f t="shared" ref="M1392:M1451" si="66">O1392-N1392</f>
        <v>0</v>
      </c>
      <c r="N1392" s="2"/>
      <c r="O1392" s="97"/>
      <c r="P1392" s="52"/>
    </row>
    <row r="1393" spans="1:16" ht="40.950000000000003" customHeight="1" x14ac:dyDescent="0.3">
      <c r="A1393" s="4">
        <v>48</v>
      </c>
      <c r="B1393" s="10" t="s">
        <v>156</v>
      </c>
      <c r="C1393" s="10"/>
      <c r="D1393" s="10"/>
      <c r="E1393" s="10"/>
      <c r="F1393" s="10" t="s">
        <v>115</v>
      </c>
      <c r="G1393" s="10" t="s">
        <v>169</v>
      </c>
      <c r="H1393" s="10"/>
      <c r="I1393" s="4">
        <f t="shared" si="64"/>
        <v>3705</v>
      </c>
      <c r="J1393" s="4">
        <v>3705</v>
      </c>
      <c r="K1393" s="4">
        <f t="shared" si="65"/>
        <v>0</v>
      </c>
      <c r="L1393" s="1">
        <v>3705</v>
      </c>
      <c r="M1393" s="93">
        <f t="shared" si="66"/>
        <v>0</v>
      </c>
      <c r="N1393" s="2"/>
      <c r="O1393" s="97"/>
      <c r="P1393" s="52"/>
    </row>
    <row r="1394" spans="1:16" ht="40.950000000000003" customHeight="1" x14ac:dyDescent="0.3">
      <c r="A1394" s="4">
        <v>48</v>
      </c>
      <c r="B1394" s="10" t="s">
        <v>156</v>
      </c>
      <c r="C1394" s="10"/>
      <c r="D1394" s="10"/>
      <c r="E1394" s="10"/>
      <c r="F1394" s="10" t="s">
        <v>115</v>
      </c>
      <c r="G1394" s="10" t="s">
        <v>200</v>
      </c>
      <c r="H1394" s="10"/>
      <c r="I1394" s="4">
        <f t="shared" si="64"/>
        <v>9690</v>
      </c>
      <c r="J1394" s="4">
        <v>9690</v>
      </c>
      <c r="K1394" s="4">
        <f t="shared" si="65"/>
        <v>0</v>
      </c>
      <c r="L1394" s="1">
        <v>9690</v>
      </c>
      <c r="M1394" s="93">
        <f t="shared" si="66"/>
        <v>0</v>
      </c>
      <c r="N1394" s="2"/>
      <c r="O1394" s="97"/>
      <c r="P1394" s="52"/>
    </row>
    <row r="1395" spans="1:16" ht="40.950000000000003" customHeight="1" x14ac:dyDescent="0.3">
      <c r="A1395" s="4">
        <v>49</v>
      </c>
      <c r="B1395" s="10" t="s">
        <v>177</v>
      </c>
      <c r="C1395" s="10"/>
      <c r="D1395" s="10"/>
      <c r="E1395" s="10"/>
      <c r="F1395" s="10" t="s">
        <v>115</v>
      </c>
      <c r="G1395" s="4" t="s">
        <v>70</v>
      </c>
      <c r="H1395" s="4"/>
      <c r="I1395" s="4">
        <f t="shared" si="64"/>
        <v>102315</v>
      </c>
      <c r="J1395" s="4">
        <v>102315</v>
      </c>
      <c r="K1395" s="4">
        <f t="shared" si="65"/>
        <v>0</v>
      </c>
      <c r="L1395" s="1">
        <v>102315</v>
      </c>
      <c r="M1395" s="93">
        <f t="shared" si="66"/>
        <v>0</v>
      </c>
      <c r="N1395" s="2"/>
      <c r="O1395" s="97"/>
      <c r="P1395" s="52"/>
    </row>
    <row r="1396" spans="1:16" ht="40.950000000000003" customHeight="1" x14ac:dyDescent="0.3">
      <c r="A1396" s="4">
        <v>49</v>
      </c>
      <c r="B1396" s="10" t="s">
        <v>177</v>
      </c>
      <c r="C1396" s="10"/>
      <c r="D1396" s="10"/>
      <c r="E1396" s="10"/>
      <c r="F1396" s="10" t="s">
        <v>115</v>
      </c>
      <c r="G1396" s="4" t="s">
        <v>7</v>
      </c>
      <c r="H1396" s="4"/>
      <c r="I1396" s="4">
        <f t="shared" si="64"/>
        <v>22800</v>
      </c>
      <c r="J1396" s="4">
        <v>22800</v>
      </c>
      <c r="K1396" s="4">
        <f t="shared" si="65"/>
        <v>0</v>
      </c>
      <c r="L1396" s="1">
        <v>22800</v>
      </c>
      <c r="M1396" s="93">
        <f t="shared" si="66"/>
        <v>0</v>
      </c>
      <c r="N1396" s="2"/>
      <c r="O1396" s="97"/>
      <c r="P1396" s="52"/>
    </row>
    <row r="1397" spans="1:16" ht="40.950000000000003" customHeight="1" x14ac:dyDescent="0.3">
      <c r="A1397" s="4">
        <v>49</v>
      </c>
      <c r="B1397" s="10" t="s">
        <v>177</v>
      </c>
      <c r="C1397" s="10"/>
      <c r="D1397" s="10"/>
      <c r="E1397" s="10"/>
      <c r="F1397" s="10" t="s">
        <v>115</v>
      </c>
      <c r="G1397" s="4" t="s">
        <v>8</v>
      </c>
      <c r="H1397" s="4"/>
      <c r="I1397" s="4">
        <f t="shared" si="64"/>
        <v>39330</v>
      </c>
      <c r="J1397" s="4">
        <v>39330</v>
      </c>
      <c r="K1397" s="4">
        <f t="shared" si="65"/>
        <v>0</v>
      </c>
      <c r="L1397" s="1">
        <v>39330</v>
      </c>
      <c r="M1397" s="93">
        <f t="shared" si="66"/>
        <v>0</v>
      </c>
      <c r="N1397" s="2"/>
      <c r="O1397" s="97"/>
      <c r="P1397" s="52"/>
    </row>
    <row r="1398" spans="1:16" ht="40.950000000000003" customHeight="1" x14ac:dyDescent="0.3">
      <c r="A1398" s="4">
        <v>49</v>
      </c>
      <c r="B1398" s="10" t="s">
        <v>177</v>
      </c>
      <c r="C1398" s="10"/>
      <c r="D1398" s="10"/>
      <c r="E1398" s="10"/>
      <c r="F1398" s="10" t="s">
        <v>115</v>
      </c>
      <c r="G1398" s="4" t="s">
        <v>11</v>
      </c>
      <c r="H1398" s="4"/>
      <c r="I1398" s="4">
        <f t="shared" ref="I1398:I1451" si="67">J1398-O1398</f>
        <v>8550</v>
      </c>
      <c r="J1398" s="4">
        <v>8550</v>
      </c>
      <c r="K1398" s="4">
        <f t="shared" si="65"/>
        <v>0</v>
      </c>
      <c r="L1398" s="1">
        <v>8550</v>
      </c>
      <c r="M1398" s="93">
        <f t="shared" si="66"/>
        <v>0</v>
      </c>
      <c r="N1398" s="2"/>
      <c r="O1398" s="97"/>
      <c r="P1398" s="52"/>
    </row>
    <row r="1399" spans="1:16" ht="40.950000000000003" customHeight="1" x14ac:dyDescent="0.3">
      <c r="A1399" s="4">
        <v>49</v>
      </c>
      <c r="B1399" s="10" t="s">
        <v>177</v>
      </c>
      <c r="C1399" s="10"/>
      <c r="D1399" s="10"/>
      <c r="E1399" s="10"/>
      <c r="F1399" s="10" t="s">
        <v>115</v>
      </c>
      <c r="G1399" s="4" t="s">
        <v>90</v>
      </c>
      <c r="H1399" s="4"/>
      <c r="I1399" s="4">
        <f t="shared" si="67"/>
        <v>56430</v>
      </c>
      <c r="J1399" s="4">
        <v>56430</v>
      </c>
      <c r="K1399" s="4">
        <f t="shared" si="65"/>
        <v>0</v>
      </c>
      <c r="L1399" s="1">
        <v>56430</v>
      </c>
      <c r="M1399" s="93">
        <f t="shared" si="66"/>
        <v>0</v>
      </c>
      <c r="N1399" s="2"/>
      <c r="O1399" s="97"/>
      <c r="P1399" s="52"/>
    </row>
    <row r="1400" spans="1:16" ht="40.950000000000003" customHeight="1" x14ac:dyDescent="0.3">
      <c r="A1400" s="4">
        <v>49</v>
      </c>
      <c r="B1400" s="10" t="s">
        <v>177</v>
      </c>
      <c r="C1400" s="10"/>
      <c r="D1400" s="10"/>
      <c r="E1400" s="10"/>
      <c r="F1400" s="10" t="s">
        <v>115</v>
      </c>
      <c r="G1400" s="4" t="s">
        <v>48</v>
      </c>
      <c r="H1400" s="4"/>
      <c r="I1400" s="4">
        <f t="shared" si="67"/>
        <v>9120</v>
      </c>
      <c r="J1400" s="4">
        <v>9120</v>
      </c>
      <c r="K1400" s="4">
        <f t="shared" si="65"/>
        <v>0</v>
      </c>
      <c r="L1400" s="1">
        <v>9120</v>
      </c>
      <c r="M1400" s="93">
        <f t="shared" si="66"/>
        <v>0</v>
      </c>
      <c r="N1400" s="2"/>
      <c r="O1400" s="97"/>
      <c r="P1400" s="52"/>
    </row>
    <row r="1401" spans="1:16" ht="40.950000000000003" customHeight="1" x14ac:dyDescent="0.3">
      <c r="A1401" s="4">
        <v>49</v>
      </c>
      <c r="B1401" s="10" t="s">
        <v>177</v>
      </c>
      <c r="C1401" s="10"/>
      <c r="D1401" s="10"/>
      <c r="E1401" s="10"/>
      <c r="F1401" s="10" t="s">
        <v>115</v>
      </c>
      <c r="G1401" s="4" t="s">
        <v>50</v>
      </c>
      <c r="H1401" s="4"/>
      <c r="I1401" s="4">
        <f t="shared" si="67"/>
        <v>65550</v>
      </c>
      <c r="J1401" s="4">
        <v>65550</v>
      </c>
      <c r="K1401" s="4">
        <f t="shared" si="65"/>
        <v>0</v>
      </c>
      <c r="L1401" s="1">
        <v>65550</v>
      </c>
      <c r="M1401" s="93">
        <f t="shared" si="66"/>
        <v>0</v>
      </c>
      <c r="N1401" s="2"/>
      <c r="O1401" s="97"/>
      <c r="P1401" s="52"/>
    </row>
    <row r="1402" spans="1:16" ht="40.950000000000003" customHeight="1" x14ac:dyDescent="0.3">
      <c r="A1402" s="4">
        <v>49</v>
      </c>
      <c r="B1402" s="10" t="s">
        <v>177</v>
      </c>
      <c r="C1402" s="10"/>
      <c r="D1402" s="10"/>
      <c r="E1402" s="10"/>
      <c r="F1402" s="10" t="s">
        <v>115</v>
      </c>
      <c r="G1402" s="4" t="s">
        <v>51</v>
      </c>
      <c r="H1402" s="4"/>
      <c r="I1402" s="4">
        <f t="shared" si="67"/>
        <v>25650</v>
      </c>
      <c r="J1402" s="4">
        <v>25650</v>
      </c>
      <c r="K1402" s="4">
        <f t="shared" si="65"/>
        <v>0</v>
      </c>
      <c r="L1402" s="1">
        <v>25650</v>
      </c>
      <c r="M1402" s="93">
        <f t="shared" si="66"/>
        <v>0</v>
      </c>
      <c r="N1402" s="2"/>
      <c r="O1402" s="97"/>
      <c r="P1402" s="52"/>
    </row>
    <row r="1403" spans="1:16" ht="40.950000000000003" customHeight="1" x14ac:dyDescent="0.3">
      <c r="A1403" s="4">
        <v>49</v>
      </c>
      <c r="B1403" s="10" t="s">
        <v>177</v>
      </c>
      <c r="C1403" s="10"/>
      <c r="D1403" s="10"/>
      <c r="E1403" s="10"/>
      <c r="F1403" s="10" t="s">
        <v>115</v>
      </c>
      <c r="G1403" s="4" t="s">
        <v>39</v>
      </c>
      <c r="H1403" s="4"/>
      <c r="I1403" s="4">
        <f t="shared" si="67"/>
        <v>91200</v>
      </c>
      <c r="J1403" s="4">
        <v>91200</v>
      </c>
      <c r="K1403" s="4">
        <f t="shared" si="65"/>
        <v>0</v>
      </c>
      <c r="L1403" s="1">
        <v>91200</v>
      </c>
      <c r="M1403" s="93">
        <f t="shared" si="66"/>
        <v>0</v>
      </c>
      <c r="N1403" s="2"/>
      <c r="O1403" s="97"/>
      <c r="P1403" s="52"/>
    </row>
    <row r="1404" spans="1:16" ht="40.950000000000003" customHeight="1" x14ac:dyDescent="0.3">
      <c r="A1404" s="4">
        <v>49</v>
      </c>
      <c r="B1404" s="10" t="s">
        <v>177</v>
      </c>
      <c r="C1404" s="10"/>
      <c r="D1404" s="10"/>
      <c r="E1404" s="10"/>
      <c r="F1404" s="10" t="s">
        <v>115</v>
      </c>
      <c r="G1404" s="4" t="s">
        <v>114</v>
      </c>
      <c r="H1404" s="4"/>
      <c r="I1404" s="4">
        <f t="shared" si="67"/>
        <v>48450</v>
      </c>
      <c r="J1404" s="4">
        <v>48450</v>
      </c>
      <c r="K1404" s="4">
        <f t="shared" si="65"/>
        <v>0</v>
      </c>
      <c r="L1404" s="1">
        <v>48450</v>
      </c>
      <c r="M1404" s="93">
        <f t="shared" si="66"/>
        <v>0</v>
      </c>
      <c r="N1404" s="2"/>
      <c r="O1404" s="97"/>
      <c r="P1404" s="52"/>
    </row>
    <row r="1405" spans="1:16" ht="40.950000000000003" customHeight="1" x14ac:dyDescent="0.3">
      <c r="A1405" s="4">
        <v>49</v>
      </c>
      <c r="B1405" s="10" t="s">
        <v>177</v>
      </c>
      <c r="C1405" s="10"/>
      <c r="D1405" s="10"/>
      <c r="E1405" s="10"/>
      <c r="F1405" s="10" t="s">
        <v>115</v>
      </c>
      <c r="G1405" s="4" t="s">
        <v>85</v>
      </c>
      <c r="H1405" s="4"/>
      <c r="I1405" s="4">
        <f t="shared" si="67"/>
        <v>25650</v>
      </c>
      <c r="J1405" s="4">
        <v>25650</v>
      </c>
      <c r="K1405" s="4">
        <f t="shared" si="65"/>
        <v>0</v>
      </c>
      <c r="L1405" s="1">
        <v>25650</v>
      </c>
      <c r="M1405" s="93">
        <f t="shared" si="66"/>
        <v>0</v>
      </c>
      <c r="N1405" s="2"/>
      <c r="O1405" s="97"/>
      <c r="P1405" s="52"/>
    </row>
    <row r="1406" spans="1:16" ht="40.950000000000003" customHeight="1" x14ac:dyDescent="0.3">
      <c r="A1406" s="4">
        <v>49</v>
      </c>
      <c r="B1406" s="10" t="s">
        <v>177</v>
      </c>
      <c r="C1406" s="10"/>
      <c r="D1406" s="10"/>
      <c r="E1406" s="10"/>
      <c r="F1406" s="10" t="s">
        <v>115</v>
      </c>
      <c r="G1406" s="4" t="s">
        <v>128</v>
      </c>
      <c r="H1406" s="4"/>
      <c r="I1406" s="4">
        <f t="shared" si="67"/>
        <v>47880</v>
      </c>
      <c r="J1406" s="4">
        <v>47880</v>
      </c>
      <c r="K1406" s="4">
        <f t="shared" si="65"/>
        <v>0</v>
      </c>
      <c r="L1406" s="1">
        <v>47880</v>
      </c>
      <c r="M1406" s="93">
        <f t="shared" si="66"/>
        <v>0</v>
      </c>
      <c r="N1406" s="2"/>
      <c r="O1406" s="97"/>
      <c r="P1406" s="52"/>
    </row>
    <row r="1407" spans="1:16" ht="40.950000000000003" customHeight="1" x14ac:dyDescent="0.3">
      <c r="A1407" s="4">
        <v>49</v>
      </c>
      <c r="B1407" s="10" t="s">
        <v>177</v>
      </c>
      <c r="C1407" s="10"/>
      <c r="D1407" s="10"/>
      <c r="E1407" s="10"/>
      <c r="F1407" s="10" t="s">
        <v>115</v>
      </c>
      <c r="G1407" s="4" t="s">
        <v>143</v>
      </c>
      <c r="H1407" s="4"/>
      <c r="I1407" s="4">
        <f t="shared" si="67"/>
        <v>131670</v>
      </c>
      <c r="J1407" s="4">
        <v>131670</v>
      </c>
      <c r="K1407" s="4">
        <f t="shared" si="65"/>
        <v>0</v>
      </c>
      <c r="L1407" s="1">
        <v>131670</v>
      </c>
      <c r="M1407" s="93">
        <f t="shared" si="66"/>
        <v>0</v>
      </c>
      <c r="N1407" s="2"/>
      <c r="O1407" s="97"/>
      <c r="P1407" s="52"/>
    </row>
    <row r="1408" spans="1:16" ht="40.950000000000003" customHeight="1" x14ac:dyDescent="0.3">
      <c r="A1408" s="4">
        <v>49</v>
      </c>
      <c r="B1408" s="10" t="s">
        <v>177</v>
      </c>
      <c r="C1408" s="10"/>
      <c r="D1408" s="10"/>
      <c r="E1408" s="10"/>
      <c r="F1408" s="10" t="s">
        <v>115</v>
      </c>
      <c r="G1408" s="4" t="s">
        <v>64</v>
      </c>
      <c r="H1408" s="4"/>
      <c r="I1408" s="4">
        <f t="shared" si="67"/>
        <v>56400</v>
      </c>
      <c r="J1408" s="4">
        <v>56400</v>
      </c>
      <c r="K1408" s="4">
        <f t="shared" si="65"/>
        <v>0</v>
      </c>
      <c r="L1408" s="1">
        <v>56400</v>
      </c>
      <c r="M1408" s="93">
        <f t="shared" si="66"/>
        <v>0</v>
      </c>
      <c r="N1408" s="2"/>
      <c r="O1408" s="97"/>
      <c r="P1408" s="52"/>
    </row>
    <row r="1409" spans="1:16" ht="40.950000000000003" customHeight="1" x14ac:dyDescent="0.3">
      <c r="A1409" s="4">
        <v>49</v>
      </c>
      <c r="B1409" s="10" t="s">
        <v>177</v>
      </c>
      <c r="C1409" s="10"/>
      <c r="D1409" s="10"/>
      <c r="E1409" s="10"/>
      <c r="F1409" s="10" t="s">
        <v>115</v>
      </c>
      <c r="G1409" s="4" t="s">
        <v>122</v>
      </c>
      <c r="H1409" s="4"/>
      <c r="I1409" s="4">
        <f t="shared" si="67"/>
        <v>62130</v>
      </c>
      <c r="J1409" s="4">
        <v>62130</v>
      </c>
      <c r="K1409" s="4">
        <f t="shared" si="65"/>
        <v>0</v>
      </c>
      <c r="L1409" s="1">
        <v>62130</v>
      </c>
      <c r="M1409" s="93">
        <f t="shared" si="66"/>
        <v>0</v>
      </c>
      <c r="N1409" s="2"/>
      <c r="O1409" s="97"/>
      <c r="P1409" s="52"/>
    </row>
    <row r="1410" spans="1:16" ht="40.950000000000003" customHeight="1" x14ac:dyDescent="0.3">
      <c r="A1410" s="4">
        <v>49</v>
      </c>
      <c r="B1410" s="10" t="s">
        <v>177</v>
      </c>
      <c r="C1410" s="10"/>
      <c r="D1410" s="10"/>
      <c r="E1410" s="10"/>
      <c r="F1410" s="10" t="s">
        <v>115</v>
      </c>
      <c r="G1410" s="10" t="s">
        <v>181</v>
      </c>
      <c r="H1410" s="10"/>
      <c r="I1410" s="4">
        <f t="shared" si="67"/>
        <v>31350</v>
      </c>
      <c r="J1410" s="4">
        <v>31350</v>
      </c>
      <c r="K1410" s="4">
        <f t="shared" si="65"/>
        <v>0</v>
      </c>
      <c r="L1410" s="1">
        <v>31350</v>
      </c>
      <c r="M1410" s="93">
        <f t="shared" si="66"/>
        <v>0</v>
      </c>
      <c r="N1410" s="2"/>
      <c r="O1410" s="97"/>
      <c r="P1410" s="52"/>
    </row>
    <row r="1411" spans="1:16" ht="40.950000000000003" customHeight="1" x14ac:dyDescent="0.3">
      <c r="A1411" s="4"/>
      <c r="B1411" s="10" t="s">
        <v>190</v>
      </c>
      <c r="C1411" s="10" t="s">
        <v>115</v>
      </c>
      <c r="D1411" s="10" t="s">
        <v>7</v>
      </c>
      <c r="E1411" s="10"/>
      <c r="F1411" s="10" t="s">
        <v>115</v>
      </c>
      <c r="G1411" s="338" t="s">
        <v>1884</v>
      </c>
      <c r="H1411" s="10">
        <v>11</v>
      </c>
      <c r="I1411" s="4">
        <v>53580</v>
      </c>
      <c r="J1411" s="4">
        <v>1794850</v>
      </c>
      <c r="K1411" s="4">
        <f>L1411-J1411</f>
        <v>0</v>
      </c>
      <c r="L1411" s="1">
        <v>1794850</v>
      </c>
      <c r="M1411" s="93">
        <v>0</v>
      </c>
      <c r="N1411" s="2"/>
      <c r="O1411" s="97"/>
      <c r="P1411" s="52"/>
    </row>
    <row r="1412" spans="1:16" ht="40.950000000000003" customHeight="1" x14ac:dyDescent="0.3">
      <c r="A1412" s="4">
        <v>50</v>
      </c>
      <c r="B1412" s="10" t="s">
        <v>190</v>
      </c>
      <c r="C1412" s="10"/>
      <c r="D1412" s="10"/>
      <c r="E1412" s="10"/>
      <c r="F1412" s="10" t="s">
        <v>115</v>
      </c>
      <c r="G1412" s="4" t="s">
        <v>7</v>
      </c>
      <c r="H1412" s="4"/>
      <c r="I1412" s="4">
        <f t="shared" si="67"/>
        <v>53580</v>
      </c>
      <c r="J1412" s="4">
        <v>53580</v>
      </c>
      <c r="K1412" s="4">
        <f t="shared" si="65"/>
        <v>0</v>
      </c>
      <c r="L1412" s="1">
        <v>53580</v>
      </c>
      <c r="M1412" s="93">
        <f t="shared" si="66"/>
        <v>0</v>
      </c>
      <c r="N1412" s="2"/>
      <c r="O1412" s="97"/>
      <c r="P1412" s="52"/>
    </row>
    <row r="1413" spans="1:16" ht="40.950000000000003" customHeight="1" x14ac:dyDescent="0.3">
      <c r="A1413" s="4">
        <v>50</v>
      </c>
      <c r="B1413" s="10" t="s">
        <v>190</v>
      </c>
      <c r="C1413" s="10"/>
      <c r="D1413" s="10"/>
      <c r="E1413" s="10"/>
      <c r="F1413" s="10" t="s">
        <v>115</v>
      </c>
      <c r="G1413" s="4" t="s">
        <v>8</v>
      </c>
      <c r="H1413" s="4"/>
      <c r="I1413" s="4">
        <f t="shared" si="67"/>
        <v>26220</v>
      </c>
      <c r="J1413" s="4">
        <v>26220</v>
      </c>
      <c r="K1413" s="4">
        <f t="shared" si="65"/>
        <v>0</v>
      </c>
      <c r="L1413" s="1">
        <v>26220</v>
      </c>
      <c r="M1413" s="93">
        <f t="shared" si="66"/>
        <v>0</v>
      </c>
      <c r="N1413" s="2"/>
      <c r="O1413" s="97"/>
      <c r="P1413" s="52"/>
    </row>
    <row r="1414" spans="1:16" ht="40.950000000000003" customHeight="1" x14ac:dyDescent="0.3">
      <c r="A1414" s="4">
        <v>50</v>
      </c>
      <c r="B1414" s="10" t="s">
        <v>190</v>
      </c>
      <c r="C1414" s="10"/>
      <c r="D1414" s="10"/>
      <c r="E1414" s="10"/>
      <c r="F1414" s="10" t="s">
        <v>115</v>
      </c>
      <c r="G1414" s="4" t="s">
        <v>9</v>
      </c>
      <c r="H1414" s="4"/>
      <c r="I1414" s="4">
        <f t="shared" si="67"/>
        <v>35340</v>
      </c>
      <c r="J1414" s="4">
        <v>35340</v>
      </c>
      <c r="K1414" s="4">
        <f t="shared" si="65"/>
        <v>0</v>
      </c>
      <c r="L1414" s="1">
        <v>35340</v>
      </c>
      <c r="M1414" s="93">
        <f t="shared" si="66"/>
        <v>0</v>
      </c>
      <c r="N1414" s="2"/>
      <c r="O1414" s="97"/>
      <c r="P1414" s="52"/>
    </row>
    <row r="1415" spans="1:16" ht="40.950000000000003" customHeight="1" x14ac:dyDescent="0.3">
      <c r="A1415" s="4">
        <v>50</v>
      </c>
      <c r="B1415" s="10" t="s">
        <v>190</v>
      </c>
      <c r="C1415" s="10"/>
      <c r="D1415" s="10"/>
      <c r="E1415" s="10"/>
      <c r="F1415" s="10" t="s">
        <v>115</v>
      </c>
      <c r="G1415" s="4" t="s">
        <v>11</v>
      </c>
      <c r="H1415" s="4"/>
      <c r="I1415" s="4">
        <f t="shared" si="67"/>
        <v>68970</v>
      </c>
      <c r="J1415" s="4">
        <v>68970</v>
      </c>
      <c r="K1415" s="4">
        <f t="shared" si="65"/>
        <v>0</v>
      </c>
      <c r="L1415" s="1">
        <v>68970</v>
      </c>
      <c r="M1415" s="93">
        <f t="shared" si="66"/>
        <v>0</v>
      </c>
      <c r="N1415" s="2"/>
      <c r="O1415" s="97"/>
      <c r="P1415" s="52"/>
    </row>
    <row r="1416" spans="1:16" ht="40.950000000000003" customHeight="1" x14ac:dyDescent="0.3">
      <c r="A1416" s="4">
        <v>50</v>
      </c>
      <c r="B1416" s="10" t="s">
        <v>190</v>
      </c>
      <c r="C1416" s="10"/>
      <c r="D1416" s="10"/>
      <c r="E1416" s="10"/>
      <c r="F1416" s="10" t="s">
        <v>115</v>
      </c>
      <c r="G1416" s="4" t="s">
        <v>22</v>
      </c>
      <c r="H1416" s="4"/>
      <c r="I1416" s="4">
        <f t="shared" si="67"/>
        <v>33060</v>
      </c>
      <c r="J1416" s="4">
        <v>33060</v>
      </c>
      <c r="K1416" s="4">
        <f t="shared" si="65"/>
        <v>0</v>
      </c>
      <c r="L1416" s="1">
        <v>33060</v>
      </c>
      <c r="M1416" s="93">
        <f t="shared" si="66"/>
        <v>0</v>
      </c>
      <c r="N1416" s="2"/>
      <c r="O1416" s="97"/>
      <c r="P1416" s="52"/>
    </row>
    <row r="1417" spans="1:16" ht="40.950000000000003" customHeight="1" x14ac:dyDescent="0.3">
      <c r="A1417" s="4">
        <v>50</v>
      </c>
      <c r="B1417" s="10" t="s">
        <v>190</v>
      </c>
      <c r="C1417" s="10"/>
      <c r="D1417" s="10"/>
      <c r="E1417" s="10"/>
      <c r="F1417" s="10" t="s">
        <v>115</v>
      </c>
      <c r="G1417" s="4" t="s">
        <v>70</v>
      </c>
      <c r="H1417" s="4"/>
      <c r="I1417" s="4">
        <f t="shared" si="67"/>
        <v>26220</v>
      </c>
      <c r="J1417" s="4">
        <v>26220</v>
      </c>
      <c r="K1417" s="4">
        <f t="shared" si="65"/>
        <v>0</v>
      </c>
      <c r="L1417" s="1">
        <v>26220</v>
      </c>
      <c r="M1417" s="93">
        <f t="shared" si="66"/>
        <v>0</v>
      </c>
      <c r="N1417" s="2"/>
      <c r="O1417" s="97"/>
      <c r="P1417" s="52"/>
    </row>
    <row r="1418" spans="1:16" ht="40.950000000000003" customHeight="1" x14ac:dyDescent="0.3">
      <c r="A1418" s="4">
        <v>50</v>
      </c>
      <c r="B1418" s="10" t="s">
        <v>190</v>
      </c>
      <c r="C1418" s="10"/>
      <c r="D1418" s="10"/>
      <c r="E1418" s="10"/>
      <c r="F1418" s="10" t="s">
        <v>115</v>
      </c>
      <c r="G1418" s="4" t="s">
        <v>90</v>
      </c>
      <c r="H1418" s="4"/>
      <c r="I1418" s="4">
        <f t="shared" si="67"/>
        <v>154470</v>
      </c>
      <c r="J1418" s="4">
        <v>154470</v>
      </c>
      <c r="K1418" s="4">
        <f t="shared" si="65"/>
        <v>0</v>
      </c>
      <c r="L1418" s="1">
        <v>154470</v>
      </c>
      <c r="M1418" s="93">
        <f t="shared" si="66"/>
        <v>0</v>
      </c>
      <c r="N1418" s="2"/>
      <c r="O1418" s="97"/>
      <c r="P1418" s="52"/>
    </row>
    <row r="1419" spans="1:16" ht="40.950000000000003" customHeight="1" x14ac:dyDescent="0.3">
      <c r="A1419" s="4">
        <v>50</v>
      </c>
      <c r="B1419" s="10" t="s">
        <v>190</v>
      </c>
      <c r="C1419" s="10"/>
      <c r="D1419" s="10"/>
      <c r="E1419" s="10"/>
      <c r="F1419" s="10" t="s">
        <v>115</v>
      </c>
      <c r="G1419" s="4" t="s">
        <v>48</v>
      </c>
      <c r="H1419" s="4"/>
      <c r="I1419" s="4">
        <f t="shared" si="67"/>
        <v>60990</v>
      </c>
      <c r="J1419" s="4">
        <v>60990</v>
      </c>
      <c r="K1419" s="4">
        <f t="shared" si="65"/>
        <v>0</v>
      </c>
      <c r="L1419" s="1">
        <v>60990</v>
      </c>
      <c r="M1419" s="93">
        <f t="shared" si="66"/>
        <v>0</v>
      </c>
      <c r="N1419" s="2"/>
      <c r="O1419" s="97"/>
      <c r="P1419" s="52"/>
    </row>
    <row r="1420" spans="1:16" ht="40.950000000000003" customHeight="1" x14ac:dyDescent="0.3">
      <c r="A1420" s="4">
        <v>50</v>
      </c>
      <c r="B1420" s="10" t="s">
        <v>190</v>
      </c>
      <c r="C1420" s="10"/>
      <c r="D1420" s="10"/>
      <c r="E1420" s="10"/>
      <c r="F1420" s="10" t="s">
        <v>115</v>
      </c>
      <c r="G1420" s="4" t="s">
        <v>49</v>
      </c>
      <c r="H1420" s="4"/>
      <c r="I1420" s="4">
        <f t="shared" si="67"/>
        <v>96330</v>
      </c>
      <c r="J1420" s="4">
        <v>96330</v>
      </c>
      <c r="K1420" s="4">
        <f t="shared" si="65"/>
        <v>0</v>
      </c>
      <c r="L1420" s="1">
        <v>96330</v>
      </c>
      <c r="M1420" s="93">
        <f t="shared" si="66"/>
        <v>0</v>
      </c>
      <c r="N1420" s="2"/>
      <c r="O1420" s="97"/>
      <c r="P1420" s="52"/>
    </row>
    <row r="1421" spans="1:16" ht="40.950000000000003" customHeight="1" x14ac:dyDescent="0.3">
      <c r="A1421" s="4">
        <v>50</v>
      </c>
      <c r="B1421" s="10" t="s">
        <v>190</v>
      </c>
      <c r="C1421" s="10"/>
      <c r="D1421" s="10"/>
      <c r="E1421" s="10"/>
      <c r="F1421" s="10" t="s">
        <v>115</v>
      </c>
      <c r="G1421" s="4" t="s">
        <v>50</v>
      </c>
      <c r="H1421" s="4"/>
      <c r="I1421" s="4">
        <f t="shared" si="67"/>
        <v>123690</v>
      </c>
      <c r="J1421" s="4">
        <v>123690</v>
      </c>
      <c r="K1421" s="4">
        <f t="shared" si="65"/>
        <v>0</v>
      </c>
      <c r="L1421" s="1">
        <v>123690</v>
      </c>
      <c r="M1421" s="93">
        <f t="shared" si="66"/>
        <v>0</v>
      </c>
      <c r="N1421" s="2"/>
      <c r="O1421" s="97"/>
      <c r="P1421" s="52"/>
    </row>
    <row r="1422" spans="1:16" ht="40.950000000000003" customHeight="1" x14ac:dyDescent="0.3">
      <c r="A1422" s="4">
        <v>50</v>
      </c>
      <c r="B1422" s="10" t="s">
        <v>190</v>
      </c>
      <c r="C1422" s="10"/>
      <c r="D1422" s="10"/>
      <c r="E1422" s="10"/>
      <c r="F1422" s="10" t="s">
        <v>115</v>
      </c>
      <c r="G1422" s="4" t="s">
        <v>51</v>
      </c>
      <c r="H1422" s="4"/>
      <c r="I1422" s="4">
        <f t="shared" si="67"/>
        <v>123120</v>
      </c>
      <c r="J1422" s="4">
        <v>123120</v>
      </c>
      <c r="K1422" s="4">
        <f t="shared" si="65"/>
        <v>0</v>
      </c>
      <c r="L1422" s="1">
        <v>123120</v>
      </c>
      <c r="M1422" s="93">
        <f t="shared" si="66"/>
        <v>0</v>
      </c>
      <c r="N1422" s="2"/>
      <c r="O1422" s="97"/>
      <c r="P1422" s="52"/>
    </row>
    <row r="1423" spans="1:16" ht="40.950000000000003" customHeight="1" x14ac:dyDescent="0.3">
      <c r="A1423" s="4">
        <v>50</v>
      </c>
      <c r="B1423" s="10" t="s">
        <v>190</v>
      </c>
      <c r="C1423" s="10"/>
      <c r="D1423" s="10"/>
      <c r="E1423" s="10"/>
      <c r="F1423" s="10" t="s">
        <v>115</v>
      </c>
      <c r="G1423" s="4" t="s">
        <v>39</v>
      </c>
      <c r="H1423" s="4"/>
      <c r="I1423" s="4">
        <f t="shared" si="67"/>
        <v>75810</v>
      </c>
      <c r="J1423" s="4">
        <v>75810</v>
      </c>
      <c r="K1423" s="4">
        <f t="shared" si="65"/>
        <v>0</v>
      </c>
      <c r="L1423" s="1">
        <v>75810</v>
      </c>
      <c r="M1423" s="93">
        <f t="shared" si="66"/>
        <v>0</v>
      </c>
      <c r="N1423" s="2"/>
      <c r="O1423" s="97"/>
      <c r="P1423" s="52"/>
    </row>
    <row r="1424" spans="1:16" ht="40.950000000000003" customHeight="1" x14ac:dyDescent="0.3">
      <c r="A1424" s="4">
        <v>50</v>
      </c>
      <c r="B1424" s="10" t="s">
        <v>190</v>
      </c>
      <c r="C1424" s="10"/>
      <c r="D1424" s="10"/>
      <c r="E1424" s="10"/>
      <c r="F1424" s="10" t="s">
        <v>115</v>
      </c>
      <c r="G1424" s="4" t="s">
        <v>114</v>
      </c>
      <c r="H1424" s="4"/>
      <c r="I1424" s="4">
        <f t="shared" si="67"/>
        <v>204060</v>
      </c>
      <c r="J1424" s="4">
        <v>204060</v>
      </c>
      <c r="K1424" s="4">
        <f t="shared" si="65"/>
        <v>0</v>
      </c>
      <c r="L1424" s="1">
        <v>204060</v>
      </c>
      <c r="M1424" s="93">
        <f t="shared" si="66"/>
        <v>0</v>
      </c>
      <c r="N1424" s="2"/>
      <c r="O1424" s="97"/>
      <c r="P1424" s="52"/>
    </row>
    <row r="1425" spans="1:16" ht="40.950000000000003" customHeight="1" x14ac:dyDescent="0.3">
      <c r="A1425" s="4">
        <v>50</v>
      </c>
      <c r="B1425" s="10" t="s">
        <v>190</v>
      </c>
      <c r="C1425" s="10"/>
      <c r="D1425" s="10"/>
      <c r="E1425" s="10"/>
      <c r="F1425" s="10" t="s">
        <v>115</v>
      </c>
      <c r="G1425" s="4" t="s">
        <v>85</v>
      </c>
      <c r="H1425" s="4"/>
      <c r="I1425" s="4">
        <f t="shared" si="67"/>
        <v>147630</v>
      </c>
      <c r="J1425" s="4">
        <v>147630</v>
      </c>
      <c r="K1425" s="4">
        <f t="shared" ref="K1425:K1467" si="68">L1425-J1425</f>
        <v>0</v>
      </c>
      <c r="L1425" s="1">
        <v>147630</v>
      </c>
      <c r="M1425" s="93">
        <f t="shared" si="66"/>
        <v>0</v>
      </c>
      <c r="N1425" s="2"/>
      <c r="O1425" s="97"/>
      <c r="P1425" s="52"/>
    </row>
    <row r="1426" spans="1:16" ht="40.950000000000003" customHeight="1" x14ac:dyDescent="0.3">
      <c r="A1426" s="4">
        <v>50</v>
      </c>
      <c r="B1426" s="10" t="s">
        <v>190</v>
      </c>
      <c r="C1426" s="10"/>
      <c r="D1426" s="10"/>
      <c r="E1426" s="10"/>
      <c r="F1426" s="10" t="s">
        <v>115</v>
      </c>
      <c r="G1426" s="4" t="s">
        <v>128</v>
      </c>
      <c r="H1426" s="4"/>
      <c r="I1426" s="4">
        <f t="shared" si="67"/>
        <v>129960</v>
      </c>
      <c r="J1426" s="4">
        <v>129960</v>
      </c>
      <c r="K1426" s="4">
        <f t="shared" si="68"/>
        <v>0</v>
      </c>
      <c r="L1426" s="1">
        <v>129960</v>
      </c>
      <c r="M1426" s="93">
        <f t="shared" si="66"/>
        <v>0</v>
      </c>
      <c r="N1426" s="2"/>
      <c r="O1426" s="97"/>
      <c r="P1426" s="52"/>
    </row>
    <row r="1427" spans="1:16" ht="40.950000000000003" customHeight="1" x14ac:dyDescent="0.3">
      <c r="A1427" s="4">
        <v>50</v>
      </c>
      <c r="B1427" s="10" t="s">
        <v>190</v>
      </c>
      <c r="C1427" s="10"/>
      <c r="D1427" s="10"/>
      <c r="E1427" s="10"/>
      <c r="F1427" s="10" t="s">
        <v>115</v>
      </c>
      <c r="G1427" s="4" t="s">
        <v>64</v>
      </c>
      <c r="H1427" s="4"/>
      <c r="I1427" s="4">
        <f t="shared" si="67"/>
        <v>108300</v>
      </c>
      <c r="J1427" s="4">
        <v>108300</v>
      </c>
      <c r="K1427" s="4">
        <f t="shared" si="68"/>
        <v>0</v>
      </c>
      <c r="L1427" s="1">
        <v>108300</v>
      </c>
      <c r="M1427" s="93">
        <f t="shared" si="66"/>
        <v>0</v>
      </c>
      <c r="N1427" s="2"/>
      <c r="O1427" s="97"/>
      <c r="P1427" s="52"/>
    </row>
    <row r="1428" spans="1:16" ht="40.950000000000003" customHeight="1" x14ac:dyDescent="0.3">
      <c r="A1428" s="4">
        <v>50</v>
      </c>
      <c r="B1428" s="10" t="s">
        <v>190</v>
      </c>
      <c r="C1428" s="10"/>
      <c r="D1428" s="10"/>
      <c r="E1428" s="10"/>
      <c r="F1428" s="10" t="s">
        <v>115</v>
      </c>
      <c r="G1428" s="4" t="s">
        <v>122</v>
      </c>
      <c r="H1428" s="4"/>
      <c r="I1428" s="4">
        <f t="shared" si="67"/>
        <v>120840</v>
      </c>
      <c r="J1428" s="4">
        <v>120840</v>
      </c>
      <c r="K1428" s="4">
        <f t="shared" si="68"/>
        <v>0</v>
      </c>
      <c r="L1428" s="1">
        <v>120840</v>
      </c>
      <c r="M1428" s="93">
        <f t="shared" si="66"/>
        <v>0</v>
      </c>
      <c r="N1428" s="2"/>
      <c r="O1428" s="97"/>
      <c r="P1428" s="52"/>
    </row>
    <row r="1429" spans="1:16" ht="40.950000000000003" customHeight="1" x14ac:dyDescent="0.3">
      <c r="A1429" s="4">
        <v>50</v>
      </c>
      <c r="B1429" s="10" t="s">
        <v>190</v>
      </c>
      <c r="C1429" s="10"/>
      <c r="D1429" s="10"/>
      <c r="E1429" s="10"/>
      <c r="F1429" s="10" t="s">
        <v>115</v>
      </c>
      <c r="G1429" s="4" t="s">
        <v>143</v>
      </c>
      <c r="H1429" s="4"/>
      <c r="I1429" s="4">
        <f t="shared" si="67"/>
        <v>86070</v>
      </c>
      <c r="J1429" s="4">
        <v>86070</v>
      </c>
      <c r="K1429" s="4">
        <f t="shared" si="68"/>
        <v>0</v>
      </c>
      <c r="L1429" s="1">
        <v>86070</v>
      </c>
      <c r="M1429" s="93">
        <f t="shared" si="66"/>
        <v>0</v>
      </c>
      <c r="N1429" s="2"/>
      <c r="O1429" s="97"/>
      <c r="P1429" s="52"/>
    </row>
    <row r="1430" spans="1:16" ht="40.950000000000003" customHeight="1" x14ac:dyDescent="0.3">
      <c r="A1430" s="4">
        <v>50</v>
      </c>
      <c r="B1430" s="10" t="s">
        <v>190</v>
      </c>
      <c r="C1430" s="10"/>
      <c r="D1430" s="10"/>
      <c r="E1430" s="10"/>
      <c r="F1430" s="10" t="s">
        <v>115</v>
      </c>
      <c r="G1430" s="10" t="s">
        <v>198</v>
      </c>
      <c r="H1430" s="10"/>
      <c r="I1430" s="4">
        <f t="shared" si="67"/>
        <v>9120</v>
      </c>
      <c r="J1430" s="4">
        <v>9120</v>
      </c>
      <c r="K1430" s="4">
        <f t="shared" si="68"/>
        <v>0</v>
      </c>
      <c r="L1430" s="1">
        <v>9120</v>
      </c>
      <c r="M1430" s="93">
        <f t="shared" si="66"/>
        <v>0</v>
      </c>
      <c r="N1430" s="2"/>
      <c r="O1430" s="97"/>
      <c r="P1430" s="52"/>
    </row>
    <row r="1431" spans="1:16" ht="40.950000000000003" customHeight="1" x14ac:dyDescent="0.3">
      <c r="A1431" s="4">
        <v>50</v>
      </c>
      <c r="B1431" s="10" t="s">
        <v>190</v>
      </c>
      <c r="C1431" s="10"/>
      <c r="D1431" s="10"/>
      <c r="E1431" s="10"/>
      <c r="F1431" s="10" t="s">
        <v>115</v>
      </c>
      <c r="G1431" s="10" t="s">
        <v>402</v>
      </c>
      <c r="H1431" s="10"/>
      <c r="I1431" s="4">
        <f t="shared" si="67"/>
        <v>53250</v>
      </c>
      <c r="J1431" s="4">
        <v>53250</v>
      </c>
      <c r="K1431" s="4">
        <f t="shared" si="68"/>
        <v>0</v>
      </c>
      <c r="L1431" s="1">
        <v>53250</v>
      </c>
      <c r="M1431" s="93">
        <f t="shared" si="66"/>
        <v>0</v>
      </c>
      <c r="N1431" s="2"/>
      <c r="O1431" s="97"/>
      <c r="P1431" s="52"/>
    </row>
    <row r="1432" spans="1:16" ht="40.950000000000003" customHeight="1" x14ac:dyDescent="0.3">
      <c r="A1432" s="4">
        <v>50</v>
      </c>
      <c r="B1432" s="10" t="s">
        <v>190</v>
      </c>
      <c r="C1432" s="10"/>
      <c r="D1432" s="10"/>
      <c r="E1432" s="10"/>
      <c r="F1432" s="10" t="s">
        <v>115</v>
      </c>
      <c r="G1432" s="10" t="s">
        <v>200</v>
      </c>
      <c r="H1432" s="10"/>
      <c r="I1432" s="4">
        <f t="shared" si="67"/>
        <v>9120</v>
      </c>
      <c r="J1432" s="4">
        <v>9120</v>
      </c>
      <c r="K1432" s="4">
        <f t="shared" si="68"/>
        <v>0</v>
      </c>
      <c r="L1432" s="1">
        <v>9120</v>
      </c>
      <c r="M1432" s="93">
        <f t="shared" si="66"/>
        <v>0</v>
      </c>
      <c r="N1432" s="2"/>
      <c r="O1432" s="97"/>
      <c r="P1432" s="52"/>
    </row>
    <row r="1433" spans="1:16" ht="40.950000000000003" customHeight="1" x14ac:dyDescent="0.3">
      <c r="A1433" s="4">
        <v>50</v>
      </c>
      <c r="B1433" s="10" t="s">
        <v>190</v>
      </c>
      <c r="C1433" s="10"/>
      <c r="D1433" s="10"/>
      <c r="E1433" s="10"/>
      <c r="F1433" s="10" t="s">
        <v>115</v>
      </c>
      <c r="G1433" s="10" t="s">
        <v>169</v>
      </c>
      <c r="H1433" s="10"/>
      <c r="I1433" s="4">
        <f t="shared" si="67"/>
        <v>8550</v>
      </c>
      <c r="J1433" s="4">
        <v>8550</v>
      </c>
      <c r="K1433" s="4">
        <f t="shared" si="68"/>
        <v>0</v>
      </c>
      <c r="L1433" s="1">
        <v>8550</v>
      </c>
      <c r="M1433" s="93">
        <f t="shared" si="66"/>
        <v>0</v>
      </c>
      <c r="N1433" s="2"/>
      <c r="O1433" s="97"/>
      <c r="P1433" s="52"/>
    </row>
    <row r="1434" spans="1:16" ht="40.950000000000003" customHeight="1" x14ac:dyDescent="0.3">
      <c r="A1434" s="4">
        <v>51</v>
      </c>
      <c r="B1434" s="10" t="s">
        <v>192</v>
      </c>
      <c r="C1434" s="10"/>
      <c r="D1434" s="10"/>
      <c r="E1434" s="10"/>
      <c r="F1434" s="10" t="s">
        <v>115</v>
      </c>
      <c r="G1434" s="4" t="s">
        <v>9</v>
      </c>
      <c r="H1434" s="4"/>
      <c r="I1434" s="4">
        <f t="shared" si="67"/>
        <v>23940</v>
      </c>
      <c r="J1434" s="4">
        <v>23940</v>
      </c>
      <c r="K1434" s="4">
        <f t="shared" si="68"/>
        <v>0</v>
      </c>
      <c r="L1434" s="1">
        <v>23940</v>
      </c>
      <c r="M1434" s="93">
        <f t="shared" si="66"/>
        <v>0</v>
      </c>
      <c r="N1434" s="2"/>
      <c r="O1434" s="97"/>
      <c r="P1434" s="52"/>
    </row>
    <row r="1435" spans="1:16" ht="40.950000000000003" customHeight="1" x14ac:dyDescent="0.3">
      <c r="A1435" s="4">
        <v>51</v>
      </c>
      <c r="B1435" s="10" t="s">
        <v>192</v>
      </c>
      <c r="C1435" s="10"/>
      <c r="D1435" s="10"/>
      <c r="E1435" s="10"/>
      <c r="F1435" s="10" t="s">
        <v>115</v>
      </c>
      <c r="G1435" s="4" t="s">
        <v>11</v>
      </c>
      <c r="H1435" s="4"/>
      <c r="I1435" s="4">
        <f t="shared" si="67"/>
        <v>22800</v>
      </c>
      <c r="J1435" s="4">
        <v>22800</v>
      </c>
      <c r="K1435" s="4">
        <f t="shared" si="68"/>
        <v>0</v>
      </c>
      <c r="L1435" s="1">
        <v>22800</v>
      </c>
      <c r="M1435" s="93">
        <f t="shared" si="66"/>
        <v>0</v>
      </c>
      <c r="N1435" s="2"/>
      <c r="O1435" s="97"/>
      <c r="P1435" s="52"/>
    </row>
    <row r="1436" spans="1:16" ht="40.950000000000003" customHeight="1" x14ac:dyDescent="0.3">
      <c r="A1436" s="4">
        <v>51</v>
      </c>
      <c r="B1436" s="10" t="s">
        <v>192</v>
      </c>
      <c r="C1436" s="10"/>
      <c r="D1436" s="10"/>
      <c r="E1436" s="10"/>
      <c r="F1436" s="10" t="s">
        <v>115</v>
      </c>
      <c r="G1436" s="4" t="s">
        <v>22</v>
      </c>
      <c r="H1436" s="4"/>
      <c r="I1436" s="4">
        <f t="shared" si="67"/>
        <v>23940</v>
      </c>
      <c r="J1436" s="4">
        <v>23940</v>
      </c>
      <c r="K1436" s="4">
        <f t="shared" si="68"/>
        <v>0</v>
      </c>
      <c r="L1436" s="1">
        <v>23940</v>
      </c>
      <c r="M1436" s="93">
        <f t="shared" si="66"/>
        <v>0</v>
      </c>
      <c r="N1436" s="2"/>
      <c r="O1436" s="97"/>
      <c r="P1436" s="52"/>
    </row>
    <row r="1437" spans="1:16" ht="40.950000000000003" customHeight="1" x14ac:dyDescent="0.3">
      <c r="A1437" s="4">
        <v>51</v>
      </c>
      <c r="B1437" s="10" t="s">
        <v>192</v>
      </c>
      <c r="C1437" s="10"/>
      <c r="D1437" s="10"/>
      <c r="E1437" s="10"/>
      <c r="F1437" s="10" t="s">
        <v>115</v>
      </c>
      <c r="G1437" s="4" t="s">
        <v>70</v>
      </c>
      <c r="H1437" s="4"/>
      <c r="I1437" s="4">
        <f t="shared" si="67"/>
        <v>22800</v>
      </c>
      <c r="J1437" s="4">
        <v>22800</v>
      </c>
      <c r="K1437" s="4">
        <f t="shared" si="68"/>
        <v>0</v>
      </c>
      <c r="L1437" s="1">
        <v>22800</v>
      </c>
      <c r="M1437" s="93">
        <f t="shared" si="66"/>
        <v>0</v>
      </c>
      <c r="N1437" s="2"/>
      <c r="O1437" s="97"/>
      <c r="P1437" s="52"/>
    </row>
    <row r="1438" spans="1:16" ht="40.950000000000003" customHeight="1" x14ac:dyDescent="0.3">
      <c r="A1438" s="4">
        <v>51</v>
      </c>
      <c r="B1438" s="10" t="s">
        <v>192</v>
      </c>
      <c r="C1438" s="10"/>
      <c r="D1438" s="10"/>
      <c r="E1438" s="10"/>
      <c r="F1438" s="10" t="s">
        <v>115</v>
      </c>
      <c r="G1438" s="4" t="s">
        <v>90</v>
      </c>
      <c r="H1438" s="4"/>
      <c r="I1438" s="4">
        <f t="shared" si="67"/>
        <v>25650</v>
      </c>
      <c r="J1438" s="4">
        <v>25650</v>
      </c>
      <c r="K1438" s="4">
        <f t="shared" si="68"/>
        <v>0</v>
      </c>
      <c r="L1438" s="1">
        <v>25650</v>
      </c>
      <c r="M1438" s="93">
        <f t="shared" si="66"/>
        <v>0</v>
      </c>
      <c r="N1438" s="2"/>
      <c r="O1438" s="97"/>
      <c r="P1438" s="52"/>
    </row>
    <row r="1439" spans="1:16" ht="40.950000000000003" customHeight="1" x14ac:dyDescent="0.3">
      <c r="A1439" s="4">
        <v>51</v>
      </c>
      <c r="B1439" s="10" t="s">
        <v>192</v>
      </c>
      <c r="C1439" s="10"/>
      <c r="D1439" s="10"/>
      <c r="E1439" s="10"/>
      <c r="F1439" s="10" t="s">
        <v>115</v>
      </c>
      <c r="G1439" s="4" t="s">
        <v>49</v>
      </c>
      <c r="H1439" s="4"/>
      <c r="I1439" s="4">
        <f t="shared" si="67"/>
        <v>17100</v>
      </c>
      <c r="J1439" s="4">
        <v>17100</v>
      </c>
      <c r="K1439" s="4">
        <f t="shared" si="68"/>
        <v>0</v>
      </c>
      <c r="L1439" s="1">
        <v>17100</v>
      </c>
      <c r="M1439" s="93">
        <f t="shared" si="66"/>
        <v>0</v>
      </c>
      <c r="N1439" s="2"/>
      <c r="O1439" s="97"/>
      <c r="P1439" s="52"/>
    </row>
    <row r="1440" spans="1:16" ht="40.950000000000003" customHeight="1" x14ac:dyDescent="0.3">
      <c r="A1440" s="4">
        <v>51</v>
      </c>
      <c r="B1440" s="10" t="s">
        <v>192</v>
      </c>
      <c r="C1440" s="10"/>
      <c r="D1440" s="10"/>
      <c r="E1440" s="10"/>
      <c r="F1440" s="10" t="s">
        <v>115</v>
      </c>
      <c r="G1440" s="4" t="s">
        <v>50</v>
      </c>
      <c r="H1440" s="4"/>
      <c r="I1440" s="4">
        <f t="shared" si="67"/>
        <v>8550</v>
      </c>
      <c r="J1440" s="4">
        <v>8550</v>
      </c>
      <c r="K1440" s="4">
        <f t="shared" si="68"/>
        <v>0</v>
      </c>
      <c r="L1440" s="1">
        <v>8550</v>
      </c>
      <c r="M1440" s="93">
        <f t="shared" si="66"/>
        <v>0</v>
      </c>
      <c r="N1440" s="2"/>
      <c r="O1440" s="97"/>
      <c r="P1440" s="52"/>
    </row>
    <row r="1441" spans="1:16" ht="40.950000000000003" customHeight="1" x14ac:dyDescent="0.3">
      <c r="A1441" s="4">
        <v>51</v>
      </c>
      <c r="B1441" s="10" t="s">
        <v>192</v>
      </c>
      <c r="C1441" s="10"/>
      <c r="D1441" s="10"/>
      <c r="E1441" s="10"/>
      <c r="F1441" s="10" t="s">
        <v>115</v>
      </c>
      <c r="G1441" s="4" t="s">
        <v>51</v>
      </c>
      <c r="H1441" s="4"/>
      <c r="I1441" s="4">
        <f t="shared" si="67"/>
        <v>42750</v>
      </c>
      <c r="J1441" s="4">
        <v>42750</v>
      </c>
      <c r="K1441" s="4">
        <f t="shared" si="68"/>
        <v>0</v>
      </c>
      <c r="L1441" s="1">
        <v>42750</v>
      </c>
      <c r="M1441" s="93">
        <f t="shared" si="66"/>
        <v>0</v>
      </c>
      <c r="N1441" s="2"/>
      <c r="O1441" s="97"/>
      <c r="P1441" s="52"/>
    </row>
    <row r="1442" spans="1:16" ht="40.950000000000003" customHeight="1" x14ac:dyDescent="0.3">
      <c r="A1442" s="4">
        <v>51</v>
      </c>
      <c r="B1442" s="10" t="s">
        <v>192</v>
      </c>
      <c r="C1442" s="10"/>
      <c r="D1442" s="10"/>
      <c r="E1442" s="10"/>
      <c r="F1442" s="10" t="s">
        <v>115</v>
      </c>
      <c r="G1442" s="4" t="s">
        <v>114</v>
      </c>
      <c r="H1442" s="4"/>
      <c r="I1442" s="4">
        <f t="shared" si="67"/>
        <v>22800</v>
      </c>
      <c r="J1442" s="4">
        <v>22800</v>
      </c>
      <c r="K1442" s="4">
        <f t="shared" si="68"/>
        <v>0</v>
      </c>
      <c r="L1442" s="1">
        <v>22800</v>
      </c>
      <c r="M1442" s="93">
        <f t="shared" si="66"/>
        <v>0</v>
      </c>
      <c r="N1442" s="2"/>
      <c r="O1442" s="97"/>
      <c r="P1442" s="52"/>
    </row>
    <row r="1443" spans="1:16" ht="40.950000000000003" customHeight="1" x14ac:dyDescent="0.3">
      <c r="A1443" s="4">
        <v>51</v>
      </c>
      <c r="B1443" s="10" t="s">
        <v>192</v>
      </c>
      <c r="C1443" s="10"/>
      <c r="D1443" s="10"/>
      <c r="E1443" s="10"/>
      <c r="F1443" s="10" t="s">
        <v>115</v>
      </c>
      <c r="G1443" s="4" t="s">
        <v>85</v>
      </c>
      <c r="H1443" s="4"/>
      <c r="I1443" s="4">
        <f t="shared" si="67"/>
        <v>15960</v>
      </c>
      <c r="J1443" s="4">
        <v>15960</v>
      </c>
      <c r="K1443" s="4">
        <f t="shared" si="68"/>
        <v>0</v>
      </c>
      <c r="L1443" s="1">
        <v>15960</v>
      </c>
      <c r="M1443" s="93">
        <f t="shared" si="66"/>
        <v>0</v>
      </c>
      <c r="N1443" s="2"/>
      <c r="O1443" s="97"/>
      <c r="P1443" s="52"/>
    </row>
    <row r="1444" spans="1:16" ht="40.950000000000003" customHeight="1" x14ac:dyDescent="0.3">
      <c r="A1444" s="4">
        <v>51</v>
      </c>
      <c r="B1444" s="10" t="s">
        <v>192</v>
      </c>
      <c r="C1444" s="10"/>
      <c r="D1444" s="10"/>
      <c r="E1444" s="10"/>
      <c r="F1444" s="10" t="s">
        <v>115</v>
      </c>
      <c r="G1444" s="4" t="s">
        <v>64</v>
      </c>
      <c r="H1444" s="4"/>
      <c r="I1444" s="4">
        <f t="shared" si="67"/>
        <v>30780</v>
      </c>
      <c r="J1444" s="4">
        <v>30780</v>
      </c>
      <c r="K1444" s="4">
        <f t="shared" si="68"/>
        <v>0</v>
      </c>
      <c r="L1444" s="1">
        <v>30780</v>
      </c>
      <c r="M1444" s="93">
        <f t="shared" si="66"/>
        <v>0</v>
      </c>
      <c r="N1444" s="2"/>
      <c r="O1444" s="97"/>
      <c r="P1444" s="52"/>
    </row>
    <row r="1445" spans="1:16" ht="40.950000000000003" customHeight="1" x14ac:dyDescent="0.3">
      <c r="A1445" s="4">
        <v>51</v>
      </c>
      <c r="B1445" s="10" t="s">
        <v>192</v>
      </c>
      <c r="C1445" s="10"/>
      <c r="D1445" s="10"/>
      <c r="E1445" s="10"/>
      <c r="F1445" s="10" t="s">
        <v>115</v>
      </c>
      <c r="G1445" s="4" t="s">
        <v>122</v>
      </c>
      <c r="H1445" s="4"/>
      <c r="I1445" s="4">
        <f t="shared" si="67"/>
        <v>42375</v>
      </c>
      <c r="J1445" s="4">
        <v>42375</v>
      </c>
      <c r="K1445" s="4">
        <f t="shared" si="68"/>
        <v>0</v>
      </c>
      <c r="L1445" s="1">
        <v>42375</v>
      </c>
      <c r="M1445" s="93">
        <f t="shared" si="66"/>
        <v>0</v>
      </c>
      <c r="N1445" s="2"/>
      <c r="O1445" s="97"/>
      <c r="P1445" s="52"/>
    </row>
    <row r="1446" spans="1:16" ht="40.950000000000003" customHeight="1" x14ac:dyDescent="0.3">
      <c r="A1446" s="4">
        <v>51</v>
      </c>
      <c r="B1446" s="10" t="s">
        <v>192</v>
      </c>
      <c r="C1446" s="10"/>
      <c r="D1446" s="10"/>
      <c r="E1446" s="10"/>
      <c r="F1446" s="10" t="s">
        <v>115</v>
      </c>
      <c r="G1446" s="4" t="s">
        <v>143</v>
      </c>
      <c r="H1446" s="4"/>
      <c r="I1446" s="4">
        <f t="shared" si="67"/>
        <v>117860</v>
      </c>
      <c r="J1446" s="4">
        <v>117860</v>
      </c>
      <c r="K1446" s="4">
        <f t="shared" si="68"/>
        <v>0</v>
      </c>
      <c r="L1446" s="1">
        <v>117860</v>
      </c>
      <c r="M1446" s="93">
        <f t="shared" si="66"/>
        <v>0</v>
      </c>
      <c r="N1446" s="2"/>
      <c r="O1446" s="97"/>
      <c r="P1446" s="52"/>
    </row>
    <row r="1447" spans="1:16" ht="40.950000000000003" customHeight="1" x14ac:dyDescent="0.3">
      <c r="A1447" s="4">
        <v>52</v>
      </c>
      <c r="B1447" s="10" t="s">
        <v>191</v>
      </c>
      <c r="C1447" s="10"/>
      <c r="D1447" s="10"/>
      <c r="E1447" s="10"/>
      <c r="F1447" s="10" t="s">
        <v>115</v>
      </c>
      <c r="G1447" s="4" t="s">
        <v>11</v>
      </c>
      <c r="H1447" s="4"/>
      <c r="I1447" s="4">
        <f t="shared" si="67"/>
        <v>22960</v>
      </c>
      <c r="J1447" s="4">
        <v>22960</v>
      </c>
      <c r="K1447" s="4">
        <f t="shared" si="68"/>
        <v>0</v>
      </c>
      <c r="L1447" s="1">
        <v>22960</v>
      </c>
      <c r="M1447" s="93">
        <f t="shared" si="66"/>
        <v>0</v>
      </c>
      <c r="N1447" s="2">
        <v>0</v>
      </c>
      <c r="O1447" s="97">
        <v>0</v>
      </c>
      <c r="P1447" s="52"/>
    </row>
    <row r="1448" spans="1:16" ht="40.950000000000003" customHeight="1" x14ac:dyDescent="0.3">
      <c r="A1448" s="4">
        <v>52</v>
      </c>
      <c r="B1448" s="10" t="s">
        <v>191</v>
      </c>
      <c r="C1448" s="10"/>
      <c r="D1448" s="10"/>
      <c r="E1448" s="10"/>
      <c r="F1448" s="10" t="s">
        <v>115</v>
      </c>
      <c r="G1448" s="4" t="s">
        <v>22</v>
      </c>
      <c r="H1448" s="4"/>
      <c r="I1448" s="4">
        <f t="shared" si="67"/>
        <v>21840</v>
      </c>
      <c r="J1448" s="4">
        <v>21840</v>
      </c>
      <c r="K1448" s="4">
        <f t="shared" si="68"/>
        <v>0</v>
      </c>
      <c r="L1448" s="1">
        <v>21840</v>
      </c>
      <c r="M1448" s="93">
        <f t="shared" si="66"/>
        <v>0</v>
      </c>
      <c r="N1448" s="2">
        <v>0</v>
      </c>
      <c r="O1448" s="97">
        <v>0</v>
      </c>
      <c r="P1448" s="52"/>
    </row>
    <row r="1449" spans="1:16" ht="40.950000000000003" customHeight="1" x14ac:dyDescent="0.3">
      <c r="A1449" s="4">
        <v>52</v>
      </c>
      <c r="B1449" s="10" t="s">
        <v>191</v>
      </c>
      <c r="C1449" s="10"/>
      <c r="D1449" s="10"/>
      <c r="E1449" s="10"/>
      <c r="F1449" s="10" t="s">
        <v>115</v>
      </c>
      <c r="G1449" s="4" t="s">
        <v>70</v>
      </c>
      <c r="H1449" s="4"/>
      <c r="I1449" s="4">
        <f t="shared" si="67"/>
        <v>25200</v>
      </c>
      <c r="J1449" s="4">
        <v>25200</v>
      </c>
      <c r="K1449" s="4">
        <f t="shared" si="68"/>
        <v>0</v>
      </c>
      <c r="L1449" s="1">
        <v>25200</v>
      </c>
      <c r="M1449" s="93">
        <f t="shared" si="66"/>
        <v>0</v>
      </c>
      <c r="N1449" s="2">
        <v>0</v>
      </c>
      <c r="O1449" s="97">
        <v>0</v>
      </c>
      <c r="P1449" s="52"/>
    </row>
    <row r="1450" spans="1:16" ht="40.950000000000003" customHeight="1" x14ac:dyDescent="0.3">
      <c r="A1450" s="4">
        <v>52</v>
      </c>
      <c r="B1450" s="10" t="s">
        <v>191</v>
      </c>
      <c r="C1450" s="10"/>
      <c r="D1450" s="10"/>
      <c r="E1450" s="10"/>
      <c r="F1450" s="10" t="s">
        <v>115</v>
      </c>
      <c r="G1450" s="4" t="s">
        <v>90</v>
      </c>
      <c r="H1450" s="4"/>
      <c r="I1450" s="4">
        <f t="shared" si="67"/>
        <v>74480</v>
      </c>
      <c r="J1450" s="4">
        <v>74480</v>
      </c>
      <c r="K1450" s="4">
        <f t="shared" si="68"/>
        <v>0</v>
      </c>
      <c r="L1450" s="1">
        <v>74480</v>
      </c>
      <c r="M1450" s="93">
        <f t="shared" si="66"/>
        <v>0</v>
      </c>
      <c r="N1450" s="2">
        <v>0</v>
      </c>
      <c r="O1450" s="97">
        <v>0</v>
      </c>
      <c r="P1450" s="52"/>
    </row>
    <row r="1451" spans="1:16" ht="40.950000000000003" customHeight="1" x14ac:dyDescent="0.3">
      <c r="A1451" s="4">
        <v>52</v>
      </c>
      <c r="B1451" s="10" t="s">
        <v>191</v>
      </c>
      <c r="C1451" s="10"/>
      <c r="D1451" s="10"/>
      <c r="E1451" s="10"/>
      <c r="F1451" s="10" t="s">
        <v>115</v>
      </c>
      <c r="G1451" s="4" t="s">
        <v>39</v>
      </c>
      <c r="H1451" s="4"/>
      <c r="I1451" s="4">
        <f t="shared" si="67"/>
        <v>24750</v>
      </c>
      <c r="J1451" s="4">
        <v>24750</v>
      </c>
      <c r="K1451" s="4">
        <f t="shared" si="68"/>
        <v>0</v>
      </c>
      <c r="L1451" s="1">
        <v>24750</v>
      </c>
      <c r="M1451" s="93">
        <f t="shared" si="66"/>
        <v>0</v>
      </c>
      <c r="N1451" s="2">
        <v>0</v>
      </c>
      <c r="O1451" s="97">
        <v>0</v>
      </c>
      <c r="P1451" s="52"/>
    </row>
    <row r="1452" spans="1:16" ht="40.950000000000003" customHeight="1" x14ac:dyDescent="0.3">
      <c r="A1452" s="4">
        <v>53</v>
      </c>
      <c r="B1452" s="10" t="s">
        <v>225</v>
      </c>
      <c r="C1452" s="10"/>
      <c r="D1452" s="10"/>
      <c r="E1452" s="10"/>
      <c r="F1452" s="10" t="s">
        <v>115</v>
      </c>
      <c r="G1452" s="4" t="s">
        <v>1097</v>
      </c>
      <c r="H1452" s="340"/>
      <c r="I1452" s="4">
        <f t="shared" ref="I1452:I1508" si="69">J1452-O1452</f>
        <v>7200</v>
      </c>
      <c r="J1452" s="4">
        <v>7200</v>
      </c>
      <c r="K1452" s="4">
        <f t="shared" si="68"/>
        <v>0</v>
      </c>
      <c r="L1452" s="1">
        <v>7200</v>
      </c>
      <c r="M1452" s="93">
        <f t="shared" ref="M1452:M1500" si="70">O1452-N1452</f>
        <v>0</v>
      </c>
      <c r="N1452" s="2"/>
      <c r="O1452" s="97"/>
      <c r="P1452" s="52"/>
    </row>
    <row r="1453" spans="1:16" ht="40.950000000000003" customHeight="1" x14ac:dyDescent="0.3">
      <c r="A1453" s="4"/>
      <c r="B1453" s="10" t="s">
        <v>225</v>
      </c>
      <c r="C1453" s="10"/>
      <c r="D1453" s="10"/>
      <c r="E1453" s="10"/>
      <c r="F1453" s="10" t="s">
        <v>115</v>
      </c>
      <c r="G1453" s="337" t="s">
        <v>14</v>
      </c>
      <c r="H1453" s="339">
        <v>22</v>
      </c>
      <c r="I1453" s="4">
        <f t="shared" ref="I1453" si="71">J1453-O1453</f>
        <v>933120</v>
      </c>
      <c r="J1453" s="4">
        <v>933120</v>
      </c>
      <c r="K1453" s="4">
        <f t="shared" ref="K1453" si="72">L1453-J1453</f>
        <v>0</v>
      </c>
      <c r="L1453" s="1">
        <v>933120</v>
      </c>
      <c r="M1453" s="93">
        <f t="shared" ref="M1453" si="73">O1453-N1453</f>
        <v>0</v>
      </c>
      <c r="N1453" s="2"/>
      <c r="O1453" s="97"/>
      <c r="P1453" s="52"/>
    </row>
    <row r="1454" spans="1:16" ht="40.950000000000003" customHeight="1" x14ac:dyDescent="0.3">
      <c r="A1454" s="4">
        <v>54</v>
      </c>
      <c r="B1454" s="10" t="s">
        <v>107</v>
      </c>
      <c r="C1454" s="10"/>
      <c r="D1454" s="10"/>
      <c r="E1454" s="10"/>
      <c r="F1454" s="10" t="s">
        <v>105</v>
      </c>
      <c r="G1454" s="4" t="s">
        <v>7</v>
      </c>
      <c r="H1454" s="4"/>
      <c r="I1454" s="4">
        <f t="shared" si="69"/>
        <v>29050</v>
      </c>
      <c r="J1454" s="4">
        <v>29050</v>
      </c>
      <c r="K1454" s="4">
        <f t="shared" si="68"/>
        <v>0</v>
      </c>
      <c r="L1454" s="1">
        <v>29050</v>
      </c>
      <c r="M1454" s="93">
        <f t="shared" si="70"/>
        <v>0</v>
      </c>
      <c r="N1454" s="2"/>
      <c r="O1454" s="97"/>
      <c r="P1454" s="52"/>
    </row>
    <row r="1455" spans="1:16" ht="40.950000000000003" customHeight="1" x14ac:dyDescent="0.3">
      <c r="A1455" s="4">
        <v>54</v>
      </c>
      <c r="B1455" s="10" t="s">
        <v>107</v>
      </c>
      <c r="C1455" s="10"/>
      <c r="D1455" s="10"/>
      <c r="E1455" s="10"/>
      <c r="F1455" s="10" t="s">
        <v>105</v>
      </c>
      <c r="G1455" s="4" t="s">
        <v>9</v>
      </c>
      <c r="H1455" s="4"/>
      <c r="I1455" s="4">
        <f t="shared" si="69"/>
        <v>3500</v>
      </c>
      <c r="J1455" s="4">
        <v>3500</v>
      </c>
      <c r="K1455" s="4">
        <f t="shared" si="68"/>
        <v>0</v>
      </c>
      <c r="L1455" s="1">
        <v>3500</v>
      </c>
      <c r="M1455" s="93">
        <f t="shared" si="70"/>
        <v>0</v>
      </c>
      <c r="N1455" s="2"/>
      <c r="O1455" s="97"/>
      <c r="P1455" s="52"/>
    </row>
    <row r="1456" spans="1:16" ht="40.950000000000003" customHeight="1" x14ac:dyDescent="0.3">
      <c r="A1456" s="4">
        <v>54</v>
      </c>
      <c r="B1456" s="10" t="s">
        <v>107</v>
      </c>
      <c r="C1456" s="10"/>
      <c r="D1456" s="10"/>
      <c r="E1456" s="10"/>
      <c r="F1456" s="10" t="s">
        <v>105</v>
      </c>
      <c r="G1456" s="4" t="s">
        <v>11</v>
      </c>
      <c r="H1456" s="4"/>
      <c r="I1456" s="4">
        <f t="shared" si="69"/>
        <v>3570</v>
      </c>
      <c r="J1456" s="4">
        <v>3570</v>
      </c>
      <c r="K1456" s="4">
        <f t="shared" si="68"/>
        <v>0</v>
      </c>
      <c r="L1456" s="1">
        <v>3570</v>
      </c>
      <c r="M1456" s="93">
        <f t="shared" si="70"/>
        <v>0</v>
      </c>
      <c r="N1456" s="2"/>
      <c r="O1456" s="97"/>
      <c r="P1456" s="52"/>
    </row>
    <row r="1457" spans="1:16" ht="40.950000000000003" customHeight="1" x14ac:dyDescent="0.3">
      <c r="A1457" s="4">
        <v>54</v>
      </c>
      <c r="B1457" s="10" t="s">
        <v>107</v>
      </c>
      <c r="C1457" s="10"/>
      <c r="D1457" s="10"/>
      <c r="E1457" s="10"/>
      <c r="F1457" s="10" t="s">
        <v>105</v>
      </c>
      <c r="G1457" s="4" t="s">
        <v>22</v>
      </c>
      <c r="H1457" s="4"/>
      <c r="I1457" s="4">
        <f t="shared" si="69"/>
        <v>21420</v>
      </c>
      <c r="J1457" s="4">
        <v>21420</v>
      </c>
      <c r="K1457" s="4">
        <f t="shared" si="68"/>
        <v>0</v>
      </c>
      <c r="L1457" s="1">
        <v>21420</v>
      </c>
      <c r="M1457" s="93">
        <f t="shared" si="70"/>
        <v>0</v>
      </c>
      <c r="N1457" s="2"/>
      <c r="O1457" s="97"/>
      <c r="P1457" s="52"/>
    </row>
    <row r="1458" spans="1:16" ht="40.950000000000003" customHeight="1" x14ac:dyDescent="0.3">
      <c r="A1458" s="4">
        <v>55</v>
      </c>
      <c r="B1458" s="10" t="s">
        <v>104</v>
      </c>
      <c r="C1458" s="10"/>
      <c r="D1458" s="10"/>
      <c r="E1458" s="10"/>
      <c r="F1458" s="10" t="s">
        <v>105</v>
      </c>
      <c r="G1458" s="10" t="s">
        <v>14</v>
      </c>
      <c r="H1458" s="10"/>
      <c r="I1458" s="4">
        <f t="shared" si="69"/>
        <v>0</v>
      </c>
      <c r="J1458" s="4">
        <v>0</v>
      </c>
      <c r="K1458" s="4">
        <f t="shared" si="68"/>
        <v>0</v>
      </c>
      <c r="L1458" s="1">
        <v>0</v>
      </c>
      <c r="M1458" s="93">
        <f t="shared" si="70"/>
        <v>0</v>
      </c>
      <c r="N1458" s="2"/>
      <c r="O1458" s="97"/>
      <c r="P1458" s="52"/>
    </row>
    <row r="1459" spans="1:16" ht="40.950000000000003" customHeight="1" x14ac:dyDescent="0.3">
      <c r="A1459" s="4">
        <v>55</v>
      </c>
      <c r="B1459" s="10" t="s">
        <v>104</v>
      </c>
      <c r="C1459" s="10"/>
      <c r="D1459" s="10"/>
      <c r="E1459" s="10"/>
      <c r="F1459" s="10" t="s">
        <v>106</v>
      </c>
      <c r="G1459" s="4" t="s">
        <v>7</v>
      </c>
      <c r="H1459" s="4"/>
      <c r="I1459" s="4">
        <f t="shared" si="69"/>
        <v>18299</v>
      </c>
      <c r="J1459" s="4">
        <v>18299</v>
      </c>
      <c r="K1459" s="4">
        <f t="shared" si="68"/>
        <v>0</v>
      </c>
      <c r="L1459" s="1">
        <v>18299</v>
      </c>
      <c r="M1459" s="93">
        <f t="shared" si="70"/>
        <v>0</v>
      </c>
      <c r="N1459" s="2"/>
      <c r="O1459" s="97"/>
      <c r="P1459" s="52"/>
    </row>
    <row r="1460" spans="1:16" ht="40.950000000000003" customHeight="1" x14ac:dyDescent="0.3">
      <c r="A1460" s="4">
        <v>55</v>
      </c>
      <c r="B1460" s="10" t="s">
        <v>104</v>
      </c>
      <c r="C1460" s="10"/>
      <c r="D1460" s="10"/>
      <c r="E1460" s="10"/>
      <c r="F1460" s="10" t="s">
        <v>105</v>
      </c>
      <c r="G1460" s="4" t="s">
        <v>8</v>
      </c>
      <c r="H1460" s="4"/>
      <c r="I1460" s="4">
        <f t="shared" si="69"/>
        <v>3536</v>
      </c>
      <c r="J1460" s="4">
        <v>3536</v>
      </c>
      <c r="K1460" s="4">
        <f t="shared" si="68"/>
        <v>0</v>
      </c>
      <c r="L1460" s="1">
        <v>3536</v>
      </c>
      <c r="M1460" s="93">
        <f t="shared" si="70"/>
        <v>0</v>
      </c>
      <c r="N1460" s="2"/>
      <c r="O1460" s="97"/>
      <c r="P1460" s="52"/>
    </row>
    <row r="1461" spans="1:16" ht="40.950000000000003" customHeight="1" x14ac:dyDescent="0.3">
      <c r="A1461" s="4">
        <v>55</v>
      </c>
      <c r="B1461" s="10" t="s">
        <v>104</v>
      </c>
      <c r="C1461" s="10"/>
      <c r="D1461" s="10"/>
      <c r="E1461" s="10"/>
      <c r="F1461" s="10" t="s">
        <v>106</v>
      </c>
      <c r="G1461" s="4" t="s">
        <v>8</v>
      </c>
      <c r="H1461" s="4"/>
      <c r="I1461" s="4">
        <f t="shared" si="69"/>
        <v>5829</v>
      </c>
      <c r="J1461" s="4">
        <v>5829</v>
      </c>
      <c r="K1461" s="4">
        <f t="shared" si="68"/>
        <v>0</v>
      </c>
      <c r="L1461" s="1">
        <v>5829</v>
      </c>
      <c r="M1461" s="93">
        <f t="shared" si="70"/>
        <v>0</v>
      </c>
      <c r="N1461" s="2"/>
      <c r="O1461" s="97"/>
      <c r="P1461" s="52"/>
    </row>
    <row r="1462" spans="1:16" ht="40.950000000000003" customHeight="1" x14ac:dyDescent="0.3">
      <c r="A1462" s="4">
        <v>55</v>
      </c>
      <c r="B1462" s="10" t="s">
        <v>104</v>
      </c>
      <c r="C1462" s="10"/>
      <c r="D1462" s="10"/>
      <c r="E1462" s="10"/>
      <c r="F1462" s="10" t="s">
        <v>105</v>
      </c>
      <c r="G1462" s="4" t="s">
        <v>9</v>
      </c>
      <c r="H1462" s="4"/>
      <c r="I1462" s="4">
        <f t="shared" si="69"/>
        <v>3536</v>
      </c>
      <c r="J1462" s="4">
        <v>3536</v>
      </c>
      <c r="K1462" s="4">
        <f t="shared" si="68"/>
        <v>0</v>
      </c>
      <c r="L1462" s="1">
        <v>3536</v>
      </c>
      <c r="M1462" s="93">
        <f t="shared" si="70"/>
        <v>0</v>
      </c>
      <c r="N1462" s="2"/>
      <c r="O1462" s="97"/>
      <c r="P1462" s="52"/>
    </row>
    <row r="1463" spans="1:16" ht="40.950000000000003" customHeight="1" x14ac:dyDescent="0.3">
      <c r="A1463" s="4">
        <v>55</v>
      </c>
      <c r="B1463" s="10" t="s">
        <v>104</v>
      </c>
      <c r="C1463" s="10"/>
      <c r="D1463" s="10"/>
      <c r="E1463" s="10"/>
      <c r="F1463" s="10" t="s">
        <v>106</v>
      </c>
      <c r="G1463" s="4" t="s">
        <v>9</v>
      </c>
      <c r="H1463" s="4"/>
      <c r="I1463" s="4">
        <f t="shared" si="69"/>
        <v>15486</v>
      </c>
      <c r="J1463" s="4">
        <v>15486</v>
      </c>
      <c r="K1463" s="4">
        <f t="shared" si="68"/>
        <v>0</v>
      </c>
      <c r="L1463" s="1">
        <v>15486</v>
      </c>
      <c r="M1463" s="93">
        <f t="shared" si="70"/>
        <v>0</v>
      </c>
      <c r="N1463" s="2"/>
      <c r="O1463" s="97"/>
      <c r="P1463" s="52"/>
    </row>
    <row r="1464" spans="1:16" ht="40.950000000000003" customHeight="1" x14ac:dyDescent="0.3">
      <c r="A1464" s="4">
        <v>55</v>
      </c>
      <c r="B1464" s="10" t="s">
        <v>104</v>
      </c>
      <c r="C1464" s="10"/>
      <c r="D1464" s="10"/>
      <c r="E1464" s="10"/>
      <c r="F1464" s="10" t="s">
        <v>106</v>
      </c>
      <c r="G1464" s="4" t="s">
        <v>11</v>
      </c>
      <c r="H1464" s="4"/>
      <c r="I1464" s="4">
        <f t="shared" si="69"/>
        <v>17503</v>
      </c>
      <c r="J1464" s="4">
        <v>17503</v>
      </c>
      <c r="K1464" s="4">
        <f t="shared" si="68"/>
        <v>0</v>
      </c>
      <c r="L1464" s="1">
        <v>17503</v>
      </c>
      <c r="M1464" s="93">
        <f t="shared" si="70"/>
        <v>0</v>
      </c>
      <c r="N1464" s="2"/>
      <c r="O1464" s="97"/>
      <c r="P1464" s="52"/>
    </row>
    <row r="1465" spans="1:16" ht="40.950000000000003" customHeight="1" x14ac:dyDescent="0.3">
      <c r="A1465" s="4">
        <v>55</v>
      </c>
      <c r="B1465" s="10" t="s">
        <v>104</v>
      </c>
      <c r="C1465" s="10"/>
      <c r="D1465" s="10"/>
      <c r="E1465" s="10"/>
      <c r="F1465" s="10" t="s">
        <v>105</v>
      </c>
      <c r="G1465" s="4" t="s">
        <v>11</v>
      </c>
      <c r="H1465" s="4"/>
      <c r="I1465" s="4">
        <f t="shared" si="69"/>
        <v>10200</v>
      </c>
      <c r="J1465" s="4">
        <v>10200</v>
      </c>
      <c r="K1465" s="4">
        <f t="shared" si="68"/>
        <v>0</v>
      </c>
      <c r="L1465" s="1">
        <v>10200</v>
      </c>
      <c r="M1465" s="93">
        <f t="shared" si="70"/>
        <v>0</v>
      </c>
      <c r="N1465" s="2"/>
      <c r="O1465" s="97"/>
      <c r="P1465" s="52"/>
    </row>
    <row r="1466" spans="1:16" ht="40.950000000000003" customHeight="1" x14ac:dyDescent="0.3">
      <c r="A1466" s="4">
        <v>55</v>
      </c>
      <c r="B1466" s="10" t="s">
        <v>104</v>
      </c>
      <c r="C1466" s="10"/>
      <c r="D1466" s="10"/>
      <c r="E1466" s="10"/>
      <c r="F1466" s="10" t="s">
        <v>105</v>
      </c>
      <c r="G1466" s="4" t="s">
        <v>22</v>
      </c>
      <c r="H1466" s="4"/>
      <c r="I1466" s="4">
        <f t="shared" si="69"/>
        <v>13600</v>
      </c>
      <c r="J1466" s="4">
        <v>13600</v>
      </c>
      <c r="K1466" s="4">
        <f t="shared" si="68"/>
        <v>0</v>
      </c>
      <c r="L1466" s="1">
        <v>13600</v>
      </c>
      <c r="M1466" s="93">
        <f t="shared" si="70"/>
        <v>0</v>
      </c>
      <c r="N1466" s="2"/>
      <c r="O1466" s="97"/>
      <c r="P1466" s="52"/>
    </row>
    <row r="1467" spans="1:16" ht="40.950000000000003" customHeight="1" x14ac:dyDescent="0.3">
      <c r="A1467" s="4">
        <v>55</v>
      </c>
      <c r="B1467" s="10" t="s">
        <v>104</v>
      </c>
      <c r="C1467" s="10"/>
      <c r="D1467" s="10"/>
      <c r="E1467" s="10"/>
      <c r="F1467" s="10" t="s">
        <v>106</v>
      </c>
      <c r="G1467" s="4" t="s">
        <v>22</v>
      </c>
      <c r="H1467" s="4"/>
      <c r="I1467" s="4">
        <f t="shared" si="69"/>
        <v>13759</v>
      </c>
      <c r="J1467" s="4">
        <v>13759</v>
      </c>
      <c r="K1467" s="4">
        <f t="shared" si="68"/>
        <v>0</v>
      </c>
      <c r="L1467" s="1">
        <v>13759</v>
      </c>
      <c r="M1467" s="93">
        <f t="shared" si="70"/>
        <v>0</v>
      </c>
      <c r="N1467" s="2"/>
      <c r="O1467" s="97"/>
      <c r="P1467" s="52"/>
    </row>
    <row r="1468" spans="1:16" ht="40.950000000000003" customHeight="1" x14ac:dyDescent="0.3">
      <c r="A1468" s="4">
        <v>55</v>
      </c>
      <c r="B1468" s="10" t="s">
        <v>104</v>
      </c>
      <c r="C1468" s="10"/>
      <c r="D1468" s="10"/>
      <c r="E1468" s="10"/>
      <c r="F1468" s="10" t="s">
        <v>106</v>
      </c>
      <c r="G1468" s="4" t="s">
        <v>70</v>
      </c>
      <c r="H1468" s="4"/>
      <c r="I1468" s="4">
        <f t="shared" si="69"/>
        <v>6960</v>
      </c>
      <c r="J1468" s="4">
        <v>6960</v>
      </c>
      <c r="K1468" s="4">
        <f t="shared" ref="K1468:K1531" si="74">L1468-J1468</f>
        <v>0</v>
      </c>
      <c r="L1468" s="1">
        <v>6960</v>
      </c>
      <c r="M1468" s="93">
        <f t="shared" si="70"/>
        <v>0</v>
      </c>
      <c r="N1468" s="2"/>
      <c r="O1468" s="97"/>
      <c r="P1468" s="52"/>
    </row>
    <row r="1469" spans="1:16" ht="40.950000000000003" customHeight="1" x14ac:dyDescent="0.3">
      <c r="A1469" s="4">
        <v>55</v>
      </c>
      <c r="B1469" s="10" t="s">
        <v>104</v>
      </c>
      <c r="C1469" s="10"/>
      <c r="D1469" s="10"/>
      <c r="E1469" s="10"/>
      <c r="F1469" s="10" t="s">
        <v>106</v>
      </c>
      <c r="G1469" s="4" t="s">
        <v>90</v>
      </c>
      <c r="H1469" s="4"/>
      <c r="I1469" s="4">
        <f t="shared" si="69"/>
        <v>12702</v>
      </c>
      <c r="J1469" s="4">
        <v>12702</v>
      </c>
      <c r="K1469" s="4">
        <f t="shared" si="74"/>
        <v>0</v>
      </c>
      <c r="L1469" s="1">
        <v>12702</v>
      </c>
      <c r="M1469" s="93">
        <f t="shared" si="70"/>
        <v>0</v>
      </c>
      <c r="N1469" s="2"/>
      <c r="O1469" s="97"/>
      <c r="P1469" s="52"/>
    </row>
    <row r="1470" spans="1:16" ht="40.950000000000003" customHeight="1" x14ac:dyDescent="0.3">
      <c r="A1470" s="4">
        <v>55</v>
      </c>
      <c r="B1470" s="10" t="s">
        <v>104</v>
      </c>
      <c r="C1470" s="10"/>
      <c r="D1470" s="10"/>
      <c r="E1470" s="10"/>
      <c r="F1470" s="10" t="s">
        <v>106</v>
      </c>
      <c r="G1470" s="4" t="s">
        <v>48</v>
      </c>
      <c r="H1470" s="4"/>
      <c r="I1470" s="4">
        <f t="shared" si="69"/>
        <v>3219</v>
      </c>
      <c r="J1470" s="4">
        <v>3219</v>
      </c>
      <c r="K1470" s="4">
        <f t="shared" si="74"/>
        <v>0</v>
      </c>
      <c r="L1470" s="1">
        <v>3219</v>
      </c>
      <c r="M1470" s="93">
        <f t="shared" si="70"/>
        <v>0</v>
      </c>
      <c r="N1470" s="2"/>
      <c r="O1470" s="97"/>
      <c r="P1470" s="52"/>
    </row>
    <row r="1471" spans="1:16" ht="40.950000000000003" customHeight="1" x14ac:dyDescent="0.3">
      <c r="A1471" s="4">
        <v>55</v>
      </c>
      <c r="B1471" s="10" t="s">
        <v>104</v>
      </c>
      <c r="C1471" s="10"/>
      <c r="D1471" s="10"/>
      <c r="E1471" s="10"/>
      <c r="F1471" s="10" t="s">
        <v>106</v>
      </c>
      <c r="G1471" s="10" t="s">
        <v>14</v>
      </c>
      <c r="H1471" s="10"/>
      <c r="I1471" s="4">
        <f t="shared" si="69"/>
        <v>0</v>
      </c>
      <c r="J1471" s="4">
        <v>0</v>
      </c>
      <c r="K1471" s="4">
        <f t="shared" si="74"/>
        <v>0</v>
      </c>
      <c r="L1471" s="1">
        <v>0</v>
      </c>
      <c r="M1471" s="93">
        <f t="shared" si="70"/>
        <v>0</v>
      </c>
      <c r="N1471" s="2"/>
      <c r="O1471" s="97"/>
      <c r="P1471" s="52"/>
    </row>
    <row r="1472" spans="1:16" ht="40.950000000000003" customHeight="1" x14ac:dyDescent="0.3">
      <c r="A1472" s="4">
        <v>56</v>
      </c>
      <c r="B1472" s="10" t="s">
        <v>79</v>
      </c>
      <c r="C1472" s="10"/>
      <c r="D1472" s="10"/>
      <c r="E1472" s="10"/>
      <c r="F1472" s="10" t="s">
        <v>77</v>
      </c>
      <c r="G1472" s="10" t="s">
        <v>78</v>
      </c>
      <c r="H1472" s="10"/>
      <c r="I1472" s="4">
        <f t="shared" si="69"/>
        <v>781885</v>
      </c>
      <c r="J1472" s="4">
        <v>781885</v>
      </c>
      <c r="K1472" s="4">
        <f t="shared" si="74"/>
        <v>0</v>
      </c>
      <c r="L1472" s="1">
        <v>781885</v>
      </c>
      <c r="M1472" s="93">
        <f t="shared" si="70"/>
        <v>0</v>
      </c>
      <c r="N1472" s="2"/>
      <c r="O1472" s="97"/>
      <c r="P1472" s="52"/>
    </row>
    <row r="1473" spans="1:16" ht="40.950000000000003" customHeight="1" x14ac:dyDescent="0.3">
      <c r="A1473" s="4">
        <v>57</v>
      </c>
      <c r="B1473" s="10" t="s">
        <v>76</v>
      </c>
      <c r="C1473" s="10"/>
      <c r="D1473" s="10"/>
      <c r="E1473" s="10"/>
      <c r="F1473" s="10" t="s">
        <v>77</v>
      </c>
      <c r="G1473" s="10" t="s">
        <v>78</v>
      </c>
      <c r="H1473" s="10"/>
      <c r="I1473" s="4">
        <f t="shared" si="69"/>
        <v>56307</v>
      </c>
      <c r="J1473" s="4">
        <v>56307</v>
      </c>
      <c r="K1473" s="4">
        <f t="shared" si="74"/>
        <v>0</v>
      </c>
      <c r="L1473" s="1">
        <v>56307</v>
      </c>
      <c r="M1473" s="93">
        <f t="shared" si="70"/>
        <v>0</v>
      </c>
      <c r="N1473" s="2"/>
      <c r="O1473" s="97"/>
      <c r="P1473" s="52"/>
    </row>
    <row r="1474" spans="1:16" ht="40.950000000000003" customHeight="1" x14ac:dyDescent="0.3">
      <c r="A1474" s="4">
        <v>58</v>
      </c>
      <c r="B1474" s="10" t="s">
        <v>99</v>
      </c>
      <c r="C1474" s="10"/>
      <c r="D1474" s="10"/>
      <c r="E1474" s="10"/>
      <c r="F1474" s="10" t="s">
        <v>100</v>
      </c>
      <c r="G1474" s="4" t="s">
        <v>14</v>
      </c>
      <c r="H1474" s="4"/>
      <c r="I1474" s="4">
        <f t="shared" si="69"/>
        <v>114570</v>
      </c>
      <c r="J1474" s="4">
        <v>114570</v>
      </c>
      <c r="K1474" s="4">
        <f t="shared" si="74"/>
        <v>0</v>
      </c>
      <c r="L1474" s="1">
        <v>114570</v>
      </c>
      <c r="M1474" s="93">
        <f t="shared" si="70"/>
        <v>0</v>
      </c>
      <c r="N1474" s="2"/>
      <c r="O1474" s="97"/>
      <c r="P1474" s="52"/>
    </row>
    <row r="1475" spans="1:16" ht="40.950000000000003" customHeight="1" x14ac:dyDescent="0.3">
      <c r="A1475" s="4">
        <v>58</v>
      </c>
      <c r="B1475" s="10" t="s">
        <v>99</v>
      </c>
      <c r="C1475" s="10"/>
      <c r="D1475" s="10"/>
      <c r="E1475" s="10"/>
      <c r="F1475" s="10" t="s">
        <v>101</v>
      </c>
      <c r="G1475" s="4" t="s">
        <v>14</v>
      </c>
      <c r="H1475" s="4"/>
      <c r="I1475" s="4">
        <f t="shared" si="69"/>
        <v>81500</v>
      </c>
      <c r="J1475" s="4">
        <v>81500</v>
      </c>
      <c r="K1475" s="4">
        <f t="shared" si="74"/>
        <v>0</v>
      </c>
      <c r="L1475" s="1">
        <v>81500</v>
      </c>
      <c r="M1475" s="93">
        <f t="shared" si="70"/>
        <v>0</v>
      </c>
      <c r="N1475" s="2"/>
      <c r="O1475" s="97"/>
      <c r="P1475" s="52"/>
    </row>
    <row r="1476" spans="1:16" ht="40.950000000000003" customHeight="1" x14ac:dyDescent="0.3">
      <c r="A1476" s="4">
        <v>59</v>
      </c>
      <c r="B1476" s="10" t="s">
        <v>63</v>
      </c>
      <c r="C1476" s="10"/>
      <c r="D1476" s="10"/>
      <c r="E1476" s="10"/>
      <c r="F1476" s="10" t="s">
        <v>487</v>
      </c>
      <c r="G1476" s="4" t="s">
        <v>14</v>
      </c>
      <c r="H1476" s="4"/>
      <c r="I1476" s="4">
        <f t="shared" si="69"/>
        <v>90300</v>
      </c>
      <c r="J1476" s="4">
        <v>90300</v>
      </c>
      <c r="K1476" s="4">
        <f t="shared" si="74"/>
        <v>0</v>
      </c>
      <c r="L1476" s="1">
        <v>90300</v>
      </c>
      <c r="M1476" s="93">
        <f t="shared" si="70"/>
        <v>0</v>
      </c>
      <c r="N1476" s="2"/>
      <c r="O1476" s="97"/>
      <c r="P1476" s="52"/>
    </row>
    <row r="1477" spans="1:16" ht="40.950000000000003" customHeight="1" x14ac:dyDescent="0.3">
      <c r="A1477" s="424">
        <v>60</v>
      </c>
      <c r="B1477" s="10" t="s">
        <v>485</v>
      </c>
      <c r="C1477" s="10"/>
      <c r="D1477" s="10"/>
      <c r="E1477" s="10"/>
      <c r="F1477" s="64" t="s">
        <v>1107</v>
      </c>
      <c r="G1477" s="4" t="s">
        <v>22</v>
      </c>
      <c r="H1477" s="4">
        <v>1</v>
      </c>
      <c r="I1477" s="4">
        <f t="shared" si="69"/>
        <v>5967</v>
      </c>
      <c r="J1477" s="4">
        <v>5967</v>
      </c>
      <c r="K1477" s="4">
        <f t="shared" si="74"/>
        <v>0</v>
      </c>
      <c r="L1477" s="1">
        <v>5967</v>
      </c>
      <c r="M1477" s="93">
        <f t="shared" si="70"/>
        <v>0</v>
      </c>
      <c r="N1477" s="2"/>
      <c r="O1477" s="97"/>
      <c r="P1477" s="52"/>
    </row>
    <row r="1478" spans="1:16" ht="40.950000000000003" customHeight="1" x14ac:dyDescent="0.3">
      <c r="A1478" s="425"/>
      <c r="B1478" s="10" t="s">
        <v>485</v>
      </c>
      <c r="C1478" s="10"/>
      <c r="D1478" s="10"/>
      <c r="E1478" s="10"/>
      <c r="F1478" s="64" t="s">
        <v>1107</v>
      </c>
      <c r="G1478" s="4" t="s">
        <v>7</v>
      </c>
      <c r="H1478" s="4">
        <v>1</v>
      </c>
      <c r="I1478" s="4">
        <f t="shared" si="69"/>
        <v>7956</v>
      </c>
      <c r="J1478" s="4">
        <v>7956</v>
      </c>
      <c r="K1478" s="4">
        <f t="shared" si="74"/>
        <v>0</v>
      </c>
      <c r="L1478" s="1">
        <v>7956</v>
      </c>
      <c r="M1478" s="93">
        <f t="shared" si="70"/>
        <v>0</v>
      </c>
      <c r="N1478" s="2"/>
      <c r="O1478" s="97"/>
      <c r="P1478" s="52">
        <v>0.9</v>
      </c>
    </row>
    <row r="1479" spans="1:16" ht="40.950000000000003" customHeight="1" x14ac:dyDescent="0.3">
      <c r="A1479" s="425"/>
      <c r="B1479" s="10" t="s">
        <v>485</v>
      </c>
      <c r="C1479" s="10"/>
      <c r="D1479" s="10"/>
      <c r="E1479" s="10"/>
      <c r="F1479" s="64" t="s">
        <v>1107</v>
      </c>
      <c r="G1479" s="4" t="s">
        <v>11</v>
      </c>
      <c r="H1479" s="4">
        <v>1</v>
      </c>
      <c r="I1479" s="4">
        <f t="shared" si="69"/>
        <v>7956</v>
      </c>
      <c r="J1479" s="4">
        <v>7956</v>
      </c>
      <c r="K1479" s="4">
        <f t="shared" si="74"/>
        <v>0</v>
      </c>
      <c r="L1479" s="1">
        <v>7956</v>
      </c>
      <c r="M1479" s="93">
        <f t="shared" si="70"/>
        <v>0</v>
      </c>
      <c r="N1479" s="2"/>
      <c r="O1479" s="97"/>
      <c r="P1479" s="52">
        <v>0.9</v>
      </c>
    </row>
    <row r="1480" spans="1:16" ht="40.950000000000003" customHeight="1" x14ac:dyDescent="0.3">
      <c r="A1480" s="425"/>
      <c r="B1480" s="10" t="s">
        <v>485</v>
      </c>
      <c r="C1480" s="10"/>
      <c r="D1480" s="10"/>
      <c r="E1480" s="10"/>
      <c r="F1480" s="64" t="s">
        <v>1107</v>
      </c>
      <c r="G1480" s="4" t="s">
        <v>9</v>
      </c>
      <c r="H1480" s="4">
        <v>1</v>
      </c>
      <c r="I1480" s="4">
        <f t="shared" si="69"/>
        <v>5967</v>
      </c>
      <c r="J1480" s="4">
        <v>5967</v>
      </c>
      <c r="K1480" s="4">
        <f t="shared" si="74"/>
        <v>0</v>
      </c>
      <c r="L1480" s="1">
        <v>5967</v>
      </c>
      <c r="M1480" s="93">
        <f t="shared" si="70"/>
        <v>0</v>
      </c>
      <c r="N1480" s="2"/>
      <c r="O1480" s="97"/>
      <c r="P1480" s="52"/>
    </row>
    <row r="1481" spans="1:16" ht="40.950000000000003" customHeight="1" x14ac:dyDescent="0.3">
      <c r="A1481" s="426"/>
      <c r="B1481" s="10" t="s">
        <v>485</v>
      </c>
      <c r="C1481" s="10"/>
      <c r="D1481" s="10"/>
      <c r="E1481" s="10"/>
      <c r="F1481" s="10" t="s">
        <v>486</v>
      </c>
      <c r="G1481" s="4" t="s">
        <v>169</v>
      </c>
      <c r="H1481" s="4">
        <v>5</v>
      </c>
      <c r="I1481" s="4">
        <f t="shared" si="69"/>
        <v>19028</v>
      </c>
      <c r="J1481" s="4">
        <v>20188</v>
      </c>
      <c r="K1481" s="4">
        <f t="shared" si="74"/>
        <v>0</v>
      </c>
      <c r="L1481" s="1">
        <v>20188</v>
      </c>
      <c r="M1481" s="93">
        <f t="shared" si="70"/>
        <v>0</v>
      </c>
      <c r="N1481" s="2">
        <v>1160</v>
      </c>
      <c r="O1481" s="97">
        <v>1160</v>
      </c>
      <c r="P1481" s="52" t="s">
        <v>1533</v>
      </c>
    </row>
    <row r="1482" spans="1:16" ht="40.950000000000003" customHeight="1" x14ac:dyDescent="0.3">
      <c r="A1482" s="4">
        <v>61</v>
      </c>
      <c r="B1482" s="10" t="s">
        <v>488</v>
      </c>
      <c r="C1482" s="10"/>
      <c r="D1482" s="10"/>
      <c r="E1482" s="10"/>
      <c r="F1482" s="10" t="s">
        <v>489</v>
      </c>
      <c r="G1482" s="4" t="s">
        <v>14</v>
      </c>
      <c r="H1482" s="4">
        <v>4</v>
      </c>
      <c r="I1482" s="4">
        <f t="shared" si="69"/>
        <v>45455</v>
      </c>
      <c r="J1482" s="4">
        <v>45455</v>
      </c>
      <c r="K1482" s="4">
        <f t="shared" si="74"/>
        <v>0</v>
      </c>
      <c r="L1482" s="1">
        <v>45455</v>
      </c>
      <c r="M1482" s="93">
        <f t="shared" si="70"/>
        <v>0</v>
      </c>
      <c r="N1482" s="2"/>
      <c r="O1482" s="97"/>
      <c r="P1482" s="52"/>
    </row>
    <row r="1483" spans="1:16" ht="40.950000000000003" customHeight="1" x14ac:dyDescent="0.3">
      <c r="A1483" s="4">
        <v>62</v>
      </c>
      <c r="B1483" s="10" t="s">
        <v>1008</v>
      </c>
      <c r="C1483" s="10"/>
      <c r="D1483" s="10"/>
      <c r="E1483" s="10"/>
      <c r="F1483" s="10" t="s">
        <v>1009</v>
      </c>
      <c r="G1483" s="4" t="s">
        <v>169</v>
      </c>
      <c r="H1483" s="4">
        <v>21</v>
      </c>
      <c r="I1483" s="4">
        <f t="shared" si="69"/>
        <v>59100</v>
      </c>
      <c r="J1483" s="4">
        <v>59100</v>
      </c>
      <c r="K1483" s="4">
        <f t="shared" si="74"/>
        <v>0</v>
      </c>
      <c r="L1483" s="1">
        <v>59100</v>
      </c>
      <c r="M1483" s="93">
        <f t="shared" si="70"/>
        <v>0</v>
      </c>
      <c r="N1483" s="2"/>
      <c r="O1483" s="97"/>
      <c r="P1483" s="52"/>
    </row>
    <row r="1484" spans="1:16" ht="40.950000000000003" customHeight="1" x14ac:dyDescent="0.3">
      <c r="A1484" s="4">
        <v>62</v>
      </c>
      <c r="B1484" s="10" t="s">
        <v>1008</v>
      </c>
      <c r="C1484" s="10"/>
      <c r="D1484" s="10"/>
      <c r="E1484" s="10"/>
      <c r="F1484" s="10" t="s">
        <v>1009</v>
      </c>
      <c r="G1484" s="4" t="s">
        <v>1011</v>
      </c>
      <c r="H1484" s="4">
        <v>5</v>
      </c>
      <c r="I1484" s="4">
        <f t="shared" si="69"/>
        <v>4500</v>
      </c>
      <c r="J1484" s="4">
        <v>4500</v>
      </c>
      <c r="K1484" s="4">
        <f t="shared" si="74"/>
        <v>0</v>
      </c>
      <c r="L1484" s="1">
        <v>4500</v>
      </c>
      <c r="M1484" s="93">
        <f t="shared" si="70"/>
        <v>0</v>
      </c>
      <c r="N1484" s="2"/>
      <c r="O1484" s="97"/>
      <c r="P1484" s="52"/>
    </row>
    <row r="1485" spans="1:16" ht="40.950000000000003" customHeight="1" x14ac:dyDescent="0.3">
      <c r="A1485" s="4">
        <v>63</v>
      </c>
      <c r="B1485" s="10" t="s">
        <v>1012</v>
      </c>
      <c r="C1485" s="10"/>
      <c r="D1485" s="10"/>
      <c r="E1485" s="10"/>
      <c r="F1485" s="10" t="s">
        <v>1013</v>
      </c>
      <c r="G1485" s="4" t="s">
        <v>70</v>
      </c>
      <c r="H1485" s="4">
        <v>1</v>
      </c>
      <c r="I1485" s="4">
        <f t="shared" si="69"/>
        <v>2400</v>
      </c>
      <c r="J1485" s="4">
        <v>2400</v>
      </c>
      <c r="K1485" s="4">
        <f t="shared" si="74"/>
        <v>0</v>
      </c>
      <c r="L1485" s="1">
        <v>2400</v>
      </c>
      <c r="M1485" s="93">
        <f t="shared" si="70"/>
        <v>0</v>
      </c>
      <c r="N1485" s="2"/>
      <c r="O1485" s="97"/>
      <c r="P1485" s="52"/>
    </row>
    <row r="1486" spans="1:16" ht="40.950000000000003" customHeight="1" x14ac:dyDescent="0.3">
      <c r="A1486" s="4">
        <v>63</v>
      </c>
      <c r="B1486" s="10" t="s">
        <v>1012</v>
      </c>
      <c r="C1486" s="10"/>
      <c r="D1486" s="10"/>
      <c r="E1486" s="10"/>
      <c r="F1486" s="10" t="s">
        <v>1013</v>
      </c>
      <c r="G1486" s="4" t="s">
        <v>7</v>
      </c>
      <c r="H1486" s="4">
        <v>2</v>
      </c>
      <c r="I1486" s="4">
        <f t="shared" si="69"/>
        <v>3450</v>
      </c>
      <c r="J1486" s="4">
        <v>3450</v>
      </c>
      <c r="K1486" s="4">
        <f t="shared" si="74"/>
        <v>0</v>
      </c>
      <c r="L1486" s="1">
        <v>3450</v>
      </c>
      <c r="M1486" s="93">
        <f t="shared" si="70"/>
        <v>0</v>
      </c>
      <c r="N1486" s="2"/>
      <c r="O1486" s="97"/>
      <c r="P1486" s="52"/>
    </row>
    <row r="1487" spans="1:16" ht="40.950000000000003" customHeight="1" x14ac:dyDescent="0.3">
      <c r="A1487" s="4">
        <v>63</v>
      </c>
      <c r="B1487" s="10" t="s">
        <v>1012</v>
      </c>
      <c r="C1487" s="10"/>
      <c r="D1487" s="10"/>
      <c r="E1487" s="10"/>
      <c r="F1487" s="10" t="s">
        <v>1013</v>
      </c>
      <c r="G1487" s="4" t="s">
        <v>8</v>
      </c>
      <c r="H1487" s="4">
        <v>2</v>
      </c>
      <c r="I1487" s="4">
        <f t="shared" si="69"/>
        <v>4500</v>
      </c>
      <c r="J1487" s="4">
        <v>4500</v>
      </c>
      <c r="K1487" s="4">
        <f t="shared" si="74"/>
        <v>0</v>
      </c>
      <c r="L1487" s="1">
        <v>4500</v>
      </c>
      <c r="M1487" s="93">
        <f t="shared" si="70"/>
        <v>0</v>
      </c>
      <c r="N1487" s="2"/>
      <c r="O1487" s="97"/>
      <c r="P1487" s="52"/>
    </row>
    <row r="1488" spans="1:16" ht="40.950000000000003" customHeight="1" x14ac:dyDescent="0.3">
      <c r="A1488" s="4">
        <v>63</v>
      </c>
      <c r="B1488" s="10" t="s">
        <v>1012</v>
      </c>
      <c r="C1488" s="10"/>
      <c r="D1488" s="10"/>
      <c r="E1488" s="10"/>
      <c r="F1488" s="10" t="s">
        <v>1013</v>
      </c>
      <c r="G1488" s="4" t="s">
        <v>11</v>
      </c>
      <c r="H1488" s="4">
        <v>2</v>
      </c>
      <c r="I1488" s="4">
        <f t="shared" si="69"/>
        <v>4500</v>
      </c>
      <c r="J1488" s="4">
        <v>4500</v>
      </c>
      <c r="K1488" s="4">
        <f t="shared" si="74"/>
        <v>0</v>
      </c>
      <c r="L1488" s="1">
        <v>4500</v>
      </c>
      <c r="M1488" s="93">
        <f t="shared" si="70"/>
        <v>0</v>
      </c>
      <c r="N1488" s="2"/>
      <c r="O1488" s="97"/>
      <c r="P1488" s="52"/>
    </row>
    <row r="1489" spans="1:16" ht="40.950000000000003" customHeight="1" x14ac:dyDescent="0.3">
      <c r="A1489" s="4">
        <v>63</v>
      </c>
      <c r="B1489" s="10" t="s">
        <v>1012</v>
      </c>
      <c r="C1489" s="10"/>
      <c r="D1489" s="10"/>
      <c r="E1489" s="10"/>
      <c r="F1489" s="10" t="s">
        <v>1013</v>
      </c>
      <c r="G1489" s="4" t="s">
        <v>9</v>
      </c>
      <c r="H1489" s="4">
        <v>2</v>
      </c>
      <c r="I1489" s="4">
        <f t="shared" si="69"/>
        <v>4500</v>
      </c>
      <c r="J1489" s="4">
        <v>4500</v>
      </c>
      <c r="K1489" s="4">
        <f t="shared" si="74"/>
        <v>0</v>
      </c>
      <c r="L1489" s="1">
        <v>4500</v>
      </c>
      <c r="M1489" s="93">
        <f t="shared" si="70"/>
        <v>0</v>
      </c>
      <c r="N1489" s="2"/>
      <c r="O1489" s="97"/>
      <c r="P1489" s="52"/>
    </row>
    <row r="1490" spans="1:16" ht="40.950000000000003" customHeight="1" x14ac:dyDescent="0.3">
      <c r="A1490" s="4">
        <v>63</v>
      </c>
      <c r="B1490" s="10" t="s">
        <v>1012</v>
      </c>
      <c r="C1490" s="10"/>
      <c r="D1490" s="10"/>
      <c r="E1490" s="10"/>
      <c r="F1490" s="10" t="s">
        <v>1013</v>
      </c>
      <c r="G1490" s="4" t="s">
        <v>22</v>
      </c>
      <c r="H1490" s="4">
        <v>3</v>
      </c>
      <c r="I1490" s="4">
        <f t="shared" si="69"/>
        <v>4500</v>
      </c>
      <c r="J1490" s="4">
        <v>4500</v>
      </c>
      <c r="K1490" s="4">
        <f t="shared" si="74"/>
        <v>0</v>
      </c>
      <c r="L1490" s="1">
        <v>4500</v>
      </c>
      <c r="M1490" s="93">
        <f t="shared" si="70"/>
        <v>0</v>
      </c>
      <c r="N1490" s="2"/>
      <c r="O1490" s="97"/>
      <c r="P1490" s="52"/>
    </row>
    <row r="1491" spans="1:16" ht="40.950000000000003" customHeight="1" x14ac:dyDescent="0.3">
      <c r="A1491" s="4">
        <v>63</v>
      </c>
      <c r="B1491" s="10" t="s">
        <v>1012</v>
      </c>
      <c r="C1491" s="10"/>
      <c r="D1491" s="10"/>
      <c r="E1491" s="10"/>
      <c r="F1491" s="10" t="s">
        <v>1013</v>
      </c>
      <c r="G1491" s="4" t="s">
        <v>70</v>
      </c>
      <c r="H1491" s="4">
        <v>3</v>
      </c>
      <c r="I1491" s="4">
        <f t="shared" si="69"/>
        <v>4500</v>
      </c>
      <c r="J1491" s="4">
        <v>4500</v>
      </c>
      <c r="K1491" s="4">
        <f t="shared" si="74"/>
        <v>0</v>
      </c>
      <c r="L1491" s="1">
        <v>4500</v>
      </c>
      <c r="M1491" s="93">
        <f t="shared" si="70"/>
        <v>0</v>
      </c>
      <c r="N1491" s="2"/>
      <c r="O1491" s="97"/>
      <c r="P1491" s="52"/>
    </row>
    <row r="1492" spans="1:16" ht="40.950000000000003" customHeight="1" x14ac:dyDescent="0.3">
      <c r="A1492" s="4">
        <v>63</v>
      </c>
      <c r="B1492" s="10" t="s">
        <v>1012</v>
      </c>
      <c r="C1492" s="10"/>
      <c r="D1492" s="10"/>
      <c r="E1492" s="10"/>
      <c r="F1492" s="10" t="s">
        <v>1013</v>
      </c>
      <c r="G1492" s="4" t="s">
        <v>90</v>
      </c>
      <c r="H1492" s="4">
        <v>2</v>
      </c>
      <c r="I1492" s="4">
        <f t="shared" si="69"/>
        <v>4500</v>
      </c>
      <c r="J1492" s="4">
        <v>4500</v>
      </c>
      <c r="K1492" s="4">
        <f t="shared" si="74"/>
        <v>0</v>
      </c>
      <c r="L1492" s="1">
        <v>4500</v>
      </c>
      <c r="M1492" s="93">
        <f t="shared" si="70"/>
        <v>0</v>
      </c>
      <c r="N1492" s="2"/>
      <c r="O1492" s="97"/>
      <c r="P1492" s="52"/>
    </row>
    <row r="1493" spans="1:16" ht="40.950000000000003" customHeight="1" x14ac:dyDescent="0.3">
      <c r="A1493" s="4">
        <v>63</v>
      </c>
      <c r="B1493" s="10" t="s">
        <v>1012</v>
      </c>
      <c r="C1493" s="10"/>
      <c r="D1493" s="10"/>
      <c r="E1493" s="10"/>
      <c r="F1493" s="10" t="s">
        <v>1013</v>
      </c>
      <c r="G1493" s="4" t="s">
        <v>48</v>
      </c>
      <c r="H1493" s="4">
        <v>2</v>
      </c>
      <c r="I1493" s="4">
        <f t="shared" si="69"/>
        <v>3450</v>
      </c>
      <c r="J1493" s="4">
        <v>3450</v>
      </c>
      <c r="K1493" s="4">
        <f t="shared" si="74"/>
        <v>0</v>
      </c>
      <c r="L1493" s="1">
        <v>3450</v>
      </c>
      <c r="M1493" s="93">
        <f t="shared" si="70"/>
        <v>0</v>
      </c>
      <c r="N1493" s="2"/>
      <c r="O1493" s="97"/>
      <c r="P1493" s="52"/>
    </row>
    <row r="1494" spans="1:16" ht="40.950000000000003" customHeight="1" x14ac:dyDescent="0.3">
      <c r="A1494" s="4">
        <v>63</v>
      </c>
      <c r="B1494" s="10" t="s">
        <v>1012</v>
      </c>
      <c r="C1494" s="10"/>
      <c r="D1494" s="10"/>
      <c r="E1494" s="10"/>
      <c r="F1494" s="10" t="s">
        <v>1013</v>
      </c>
      <c r="G1494" s="4" t="s">
        <v>143</v>
      </c>
      <c r="H1494" s="4">
        <v>1</v>
      </c>
      <c r="I1494" s="4">
        <f t="shared" si="69"/>
        <v>2400</v>
      </c>
      <c r="J1494" s="4">
        <v>2400</v>
      </c>
      <c r="K1494" s="4">
        <f t="shared" si="74"/>
        <v>0</v>
      </c>
      <c r="L1494" s="1">
        <v>2400</v>
      </c>
      <c r="M1494" s="93">
        <f t="shared" si="70"/>
        <v>0</v>
      </c>
      <c r="N1494" s="2"/>
      <c r="O1494" s="97"/>
      <c r="P1494" s="52"/>
    </row>
    <row r="1495" spans="1:16" ht="40.950000000000003" customHeight="1" x14ac:dyDescent="0.3">
      <c r="A1495" s="4">
        <v>63</v>
      </c>
      <c r="B1495" s="10" t="s">
        <v>1012</v>
      </c>
      <c r="C1495" s="10"/>
      <c r="D1495" s="10"/>
      <c r="E1495" s="10"/>
      <c r="F1495" s="10" t="s">
        <v>1013</v>
      </c>
      <c r="G1495" s="4" t="s">
        <v>50</v>
      </c>
      <c r="H1495" s="4">
        <v>1</v>
      </c>
      <c r="I1495" s="4">
        <f t="shared" si="69"/>
        <v>2400</v>
      </c>
      <c r="J1495" s="4">
        <v>2400</v>
      </c>
      <c r="K1495" s="4">
        <f t="shared" si="74"/>
        <v>0</v>
      </c>
      <c r="L1495" s="1">
        <v>2400</v>
      </c>
      <c r="M1495" s="93">
        <f t="shared" si="70"/>
        <v>0</v>
      </c>
      <c r="N1495" s="2"/>
      <c r="O1495" s="97"/>
      <c r="P1495" s="52"/>
    </row>
    <row r="1496" spans="1:16" ht="40.950000000000003" customHeight="1" x14ac:dyDescent="0.3">
      <c r="A1496" s="4">
        <v>63</v>
      </c>
      <c r="B1496" s="10" t="s">
        <v>1012</v>
      </c>
      <c r="C1496" s="10"/>
      <c r="D1496" s="10"/>
      <c r="E1496" s="10"/>
      <c r="F1496" s="10" t="s">
        <v>1013</v>
      </c>
      <c r="G1496" s="4" t="s">
        <v>51</v>
      </c>
      <c r="H1496" s="4">
        <v>1</v>
      </c>
      <c r="I1496" s="4">
        <f t="shared" si="69"/>
        <v>2400</v>
      </c>
      <c r="J1496" s="4">
        <v>2400</v>
      </c>
      <c r="K1496" s="4">
        <f t="shared" si="74"/>
        <v>0</v>
      </c>
      <c r="L1496" s="1">
        <v>2400</v>
      </c>
      <c r="M1496" s="93">
        <f t="shared" si="70"/>
        <v>0</v>
      </c>
      <c r="N1496" s="2"/>
      <c r="O1496" s="97"/>
      <c r="P1496" s="52"/>
    </row>
    <row r="1497" spans="1:16" ht="40.950000000000003" customHeight="1" x14ac:dyDescent="0.3">
      <c r="A1497" s="4">
        <v>63</v>
      </c>
      <c r="B1497" s="10" t="s">
        <v>1012</v>
      </c>
      <c r="C1497" s="10"/>
      <c r="D1497" s="10"/>
      <c r="E1497" s="10"/>
      <c r="F1497" s="10" t="s">
        <v>1013</v>
      </c>
      <c r="G1497" s="4" t="s">
        <v>49</v>
      </c>
      <c r="H1497" s="4">
        <v>1</v>
      </c>
      <c r="I1497" s="4">
        <f t="shared" si="69"/>
        <v>2400</v>
      </c>
      <c r="J1497" s="4">
        <v>2400</v>
      </c>
      <c r="K1497" s="4">
        <f t="shared" si="74"/>
        <v>0</v>
      </c>
      <c r="L1497" s="1">
        <v>2400</v>
      </c>
      <c r="M1497" s="93">
        <f t="shared" si="70"/>
        <v>0</v>
      </c>
      <c r="N1497" s="2"/>
      <c r="O1497" s="97"/>
      <c r="P1497" s="52"/>
    </row>
    <row r="1498" spans="1:16" ht="40.950000000000003" customHeight="1" x14ac:dyDescent="0.3">
      <c r="A1498" s="4">
        <v>64</v>
      </c>
      <c r="B1498" s="10" t="s">
        <v>1017</v>
      </c>
      <c r="C1498" s="10"/>
      <c r="D1498" s="10"/>
      <c r="E1498" s="10"/>
      <c r="F1498" s="10" t="s">
        <v>1018</v>
      </c>
      <c r="G1498" s="4" t="s">
        <v>22</v>
      </c>
      <c r="H1498" s="4">
        <v>1</v>
      </c>
      <c r="I1498" s="4">
        <f t="shared" si="69"/>
        <v>1670</v>
      </c>
      <c r="J1498" s="4">
        <v>1670</v>
      </c>
      <c r="K1498" s="4">
        <f t="shared" si="74"/>
        <v>0</v>
      </c>
      <c r="L1498" s="1">
        <v>1670</v>
      </c>
      <c r="M1498" s="93">
        <f t="shared" si="70"/>
        <v>0</v>
      </c>
      <c r="N1498" s="2"/>
      <c r="O1498" s="97"/>
      <c r="P1498" s="52"/>
    </row>
    <row r="1499" spans="1:16" ht="40.950000000000003" customHeight="1" x14ac:dyDescent="0.3">
      <c r="A1499" s="4">
        <v>64</v>
      </c>
      <c r="B1499" s="10" t="s">
        <v>1017</v>
      </c>
      <c r="C1499" s="10"/>
      <c r="D1499" s="10"/>
      <c r="E1499" s="10"/>
      <c r="F1499" s="10" t="s">
        <v>1018</v>
      </c>
      <c r="G1499" s="4" t="s">
        <v>70</v>
      </c>
      <c r="H1499" s="4">
        <v>2</v>
      </c>
      <c r="I1499" s="4">
        <f t="shared" si="69"/>
        <v>0</v>
      </c>
      <c r="J1499" s="4">
        <v>0</v>
      </c>
      <c r="K1499" s="4">
        <f t="shared" si="74"/>
        <v>0</v>
      </c>
      <c r="L1499" s="1">
        <v>0</v>
      </c>
      <c r="M1499" s="93">
        <f t="shared" si="70"/>
        <v>0</v>
      </c>
      <c r="N1499" s="2"/>
      <c r="O1499" s="97"/>
      <c r="P1499" s="52"/>
    </row>
    <row r="1500" spans="1:16" ht="40.950000000000003" customHeight="1" x14ac:dyDescent="0.3">
      <c r="A1500" s="4">
        <v>64</v>
      </c>
      <c r="B1500" s="10" t="s">
        <v>1017</v>
      </c>
      <c r="C1500" s="10"/>
      <c r="D1500" s="10"/>
      <c r="E1500" s="10"/>
      <c r="F1500" s="10" t="s">
        <v>1018</v>
      </c>
      <c r="G1500" s="4" t="s">
        <v>8</v>
      </c>
      <c r="H1500" s="4">
        <v>2</v>
      </c>
      <c r="I1500" s="4">
        <f t="shared" si="69"/>
        <v>1366</v>
      </c>
      <c r="J1500" s="4">
        <v>1366</v>
      </c>
      <c r="K1500" s="4">
        <f t="shared" si="74"/>
        <v>0</v>
      </c>
      <c r="L1500" s="1">
        <v>1366</v>
      </c>
      <c r="M1500" s="93">
        <f t="shared" si="70"/>
        <v>0</v>
      </c>
      <c r="N1500" s="2"/>
      <c r="O1500" s="97"/>
      <c r="P1500" s="52"/>
    </row>
    <row r="1501" spans="1:16" ht="40.950000000000003" customHeight="1" x14ac:dyDescent="0.3">
      <c r="A1501" s="4">
        <v>64</v>
      </c>
      <c r="B1501" s="10" t="s">
        <v>1017</v>
      </c>
      <c r="C1501" s="10"/>
      <c r="D1501" s="10"/>
      <c r="E1501" s="10"/>
      <c r="F1501" s="10" t="s">
        <v>1018</v>
      </c>
      <c r="G1501" s="4" t="s">
        <v>9</v>
      </c>
      <c r="H1501" s="4">
        <v>1</v>
      </c>
      <c r="I1501" s="4">
        <f t="shared" si="69"/>
        <v>1694</v>
      </c>
      <c r="J1501" s="4">
        <v>1694</v>
      </c>
      <c r="K1501" s="4">
        <f t="shared" si="74"/>
        <v>0</v>
      </c>
      <c r="L1501" s="1">
        <v>1694</v>
      </c>
      <c r="M1501" s="93">
        <f t="shared" ref="M1501:M1564" si="75">O1501-N1501</f>
        <v>0</v>
      </c>
      <c r="N1501" s="2"/>
      <c r="O1501" s="97"/>
      <c r="P1501" s="52"/>
    </row>
    <row r="1502" spans="1:16" ht="40.950000000000003" customHeight="1" x14ac:dyDescent="0.3">
      <c r="A1502" s="4">
        <v>64</v>
      </c>
      <c r="B1502" s="10" t="s">
        <v>1017</v>
      </c>
      <c r="C1502" s="10"/>
      <c r="D1502" s="10"/>
      <c r="E1502" s="10"/>
      <c r="F1502" s="10" t="s">
        <v>1018</v>
      </c>
      <c r="G1502" s="4" t="s">
        <v>11</v>
      </c>
      <c r="H1502" s="4">
        <v>2</v>
      </c>
      <c r="I1502" s="4">
        <f t="shared" si="69"/>
        <v>3006</v>
      </c>
      <c r="J1502" s="4">
        <v>3006</v>
      </c>
      <c r="K1502" s="4">
        <f t="shared" si="74"/>
        <v>0</v>
      </c>
      <c r="L1502" s="1">
        <v>3006</v>
      </c>
      <c r="M1502" s="93">
        <f t="shared" si="75"/>
        <v>0</v>
      </c>
      <c r="N1502" s="2"/>
      <c r="O1502" s="97"/>
      <c r="P1502" s="52"/>
    </row>
    <row r="1503" spans="1:16" ht="40.950000000000003" customHeight="1" x14ac:dyDescent="0.3">
      <c r="A1503" s="4">
        <v>65</v>
      </c>
      <c r="B1503" s="10" t="s">
        <v>1021</v>
      </c>
      <c r="C1503" s="10"/>
      <c r="D1503" s="10"/>
      <c r="E1503" s="10"/>
      <c r="F1503" s="10" t="s">
        <v>1030</v>
      </c>
      <c r="G1503" s="4" t="s">
        <v>14</v>
      </c>
      <c r="H1503" s="4">
        <v>1</v>
      </c>
      <c r="I1503" s="4">
        <f t="shared" si="69"/>
        <v>144990</v>
      </c>
      <c r="J1503" s="4">
        <v>144990</v>
      </c>
      <c r="K1503" s="4">
        <f t="shared" si="74"/>
        <v>0</v>
      </c>
      <c r="L1503" s="1">
        <v>144990</v>
      </c>
      <c r="M1503" s="93">
        <f t="shared" si="75"/>
        <v>0</v>
      </c>
      <c r="N1503" s="2"/>
      <c r="O1503" s="97"/>
      <c r="P1503" s="52"/>
    </row>
    <row r="1504" spans="1:16" ht="40.950000000000003" customHeight="1" x14ac:dyDescent="0.3">
      <c r="A1504" s="4">
        <v>67</v>
      </c>
      <c r="B1504" s="10" t="s">
        <v>1086</v>
      </c>
      <c r="C1504" s="10"/>
      <c r="D1504" s="10"/>
      <c r="E1504" s="10"/>
      <c r="F1504" s="10" t="s">
        <v>1087</v>
      </c>
      <c r="G1504" s="4" t="s">
        <v>11</v>
      </c>
      <c r="H1504" s="4">
        <v>1</v>
      </c>
      <c r="I1504" s="4">
        <f t="shared" si="69"/>
        <v>231</v>
      </c>
      <c r="J1504" s="4">
        <v>990</v>
      </c>
      <c r="K1504" s="4">
        <f t="shared" si="74"/>
        <v>0</v>
      </c>
      <c r="L1504" s="1">
        <v>990</v>
      </c>
      <c r="M1504" s="93">
        <f t="shared" si="75"/>
        <v>0</v>
      </c>
      <c r="N1504" s="2">
        <v>759</v>
      </c>
      <c r="O1504" s="97">
        <f>759</f>
        <v>759</v>
      </c>
      <c r="P1504" s="52"/>
    </row>
    <row r="1505" spans="1:16" ht="40.950000000000003" customHeight="1" x14ac:dyDescent="0.3">
      <c r="A1505" s="4">
        <v>68</v>
      </c>
      <c r="B1505" s="10" t="s">
        <v>972</v>
      </c>
      <c r="C1505" s="10"/>
      <c r="D1505" s="10"/>
      <c r="E1505" s="10"/>
      <c r="F1505" s="10" t="s">
        <v>1096</v>
      </c>
      <c r="G1505" s="4" t="s">
        <v>14</v>
      </c>
      <c r="H1505" s="4">
        <v>1</v>
      </c>
      <c r="I1505" s="4">
        <f t="shared" si="69"/>
        <v>5700</v>
      </c>
      <c r="J1505" s="4">
        <v>5700</v>
      </c>
      <c r="K1505" s="4">
        <f t="shared" si="74"/>
        <v>0</v>
      </c>
      <c r="L1505" s="1">
        <v>5700</v>
      </c>
      <c r="M1505" s="93">
        <f t="shared" si="75"/>
        <v>0</v>
      </c>
      <c r="N1505" s="2"/>
      <c r="O1505" s="97"/>
      <c r="P1505" s="52"/>
    </row>
    <row r="1506" spans="1:16" ht="40.950000000000003" customHeight="1" x14ac:dyDescent="0.3">
      <c r="A1506" s="4">
        <v>69</v>
      </c>
      <c r="B1506" s="10" t="s">
        <v>1108</v>
      </c>
      <c r="C1506" s="10"/>
      <c r="D1506" s="10"/>
      <c r="E1506" s="10"/>
      <c r="F1506" s="10" t="s">
        <v>1109</v>
      </c>
      <c r="G1506" s="4" t="s">
        <v>169</v>
      </c>
      <c r="H1506" s="4">
        <v>2</v>
      </c>
      <c r="I1506" s="4">
        <f t="shared" si="69"/>
        <v>24840</v>
      </c>
      <c r="J1506" s="4">
        <v>25200</v>
      </c>
      <c r="K1506" s="4">
        <f t="shared" si="74"/>
        <v>0</v>
      </c>
      <c r="L1506" s="1">
        <v>25200</v>
      </c>
      <c r="M1506" s="93">
        <f t="shared" si="75"/>
        <v>0</v>
      </c>
      <c r="N1506" s="2">
        <v>360</v>
      </c>
      <c r="O1506" s="97">
        <f>360</f>
        <v>360</v>
      </c>
      <c r="P1506" s="52">
        <v>0.8</v>
      </c>
    </row>
    <row r="1507" spans="1:16" ht="40.950000000000003" customHeight="1" x14ac:dyDescent="0.3">
      <c r="A1507" s="4">
        <v>70</v>
      </c>
      <c r="B1507" s="10" t="s">
        <v>1156</v>
      </c>
      <c r="C1507" s="10"/>
      <c r="D1507" s="10"/>
      <c r="E1507" s="10"/>
      <c r="F1507" s="10" t="s">
        <v>575</v>
      </c>
      <c r="G1507" s="4" t="s">
        <v>14</v>
      </c>
      <c r="H1507" s="4">
        <v>1</v>
      </c>
      <c r="I1507" s="4">
        <f t="shared" si="69"/>
        <v>18300</v>
      </c>
      <c r="J1507" s="4">
        <v>18300</v>
      </c>
      <c r="K1507" s="4">
        <f t="shared" si="74"/>
        <v>0</v>
      </c>
      <c r="L1507" s="1">
        <v>18300</v>
      </c>
      <c r="M1507" s="93">
        <f t="shared" si="75"/>
        <v>0</v>
      </c>
      <c r="N1507" s="2"/>
      <c r="O1507" s="97"/>
      <c r="P1507" s="52">
        <v>1</v>
      </c>
    </row>
    <row r="1508" spans="1:16" ht="40.950000000000003" customHeight="1" x14ac:dyDescent="0.3">
      <c r="A1508" s="4">
        <v>70</v>
      </c>
      <c r="B1508" s="10" t="s">
        <v>1156</v>
      </c>
      <c r="C1508" s="10"/>
      <c r="D1508" s="10"/>
      <c r="E1508" s="10"/>
      <c r="F1508" s="10" t="s">
        <v>1157</v>
      </c>
      <c r="G1508" s="4" t="s">
        <v>169</v>
      </c>
      <c r="H1508" s="4">
        <v>2</v>
      </c>
      <c r="I1508" s="4">
        <f t="shared" si="69"/>
        <v>272528</v>
      </c>
      <c r="J1508" s="4">
        <v>272888</v>
      </c>
      <c r="K1508" s="4">
        <f t="shared" si="74"/>
        <v>0</v>
      </c>
      <c r="L1508" s="1">
        <v>272888</v>
      </c>
      <c r="M1508" s="93">
        <f t="shared" si="75"/>
        <v>0</v>
      </c>
      <c r="N1508" s="2">
        <v>360</v>
      </c>
      <c r="O1508" s="97">
        <v>360</v>
      </c>
      <c r="P1508" s="52">
        <v>0.95</v>
      </c>
    </row>
    <row r="1509" spans="1:16" ht="40.950000000000003" customHeight="1" x14ac:dyDescent="0.3">
      <c r="A1509" s="424">
        <v>71</v>
      </c>
      <c r="B1509" s="10" t="s">
        <v>1188</v>
      </c>
      <c r="C1509" s="10"/>
      <c r="D1509" s="10"/>
      <c r="E1509" s="10"/>
      <c r="F1509" s="427" t="s">
        <v>1107</v>
      </c>
      <c r="G1509" s="4" t="s">
        <v>48</v>
      </c>
      <c r="H1509" s="4">
        <v>2</v>
      </c>
      <c r="I1509" s="4">
        <f t="shared" ref="I1509:I1566" si="76">J1509-O1509</f>
        <v>7956</v>
      </c>
      <c r="J1509" s="4">
        <v>7956</v>
      </c>
      <c r="K1509" s="4">
        <f t="shared" si="74"/>
        <v>0</v>
      </c>
      <c r="L1509" s="1">
        <v>7956</v>
      </c>
      <c r="M1509" s="93">
        <f t="shared" si="75"/>
        <v>0</v>
      </c>
      <c r="N1509" s="2"/>
      <c r="O1509" s="97"/>
      <c r="P1509" s="52">
        <v>0.9</v>
      </c>
    </row>
    <row r="1510" spans="1:16" ht="40.950000000000003" customHeight="1" x14ac:dyDescent="0.3">
      <c r="A1510" s="425"/>
      <c r="B1510" s="10" t="s">
        <v>1188</v>
      </c>
      <c r="C1510" s="10"/>
      <c r="D1510" s="10"/>
      <c r="E1510" s="10"/>
      <c r="F1510" s="428"/>
      <c r="G1510" s="4" t="s">
        <v>128</v>
      </c>
      <c r="H1510" s="4">
        <v>1</v>
      </c>
      <c r="I1510" s="4">
        <f t="shared" si="76"/>
        <v>7956</v>
      </c>
      <c r="J1510" s="4">
        <v>7956</v>
      </c>
      <c r="K1510" s="4">
        <f t="shared" si="74"/>
        <v>0</v>
      </c>
      <c r="L1510" s="1">
        <v>7956</v>
      </c>
      <c r="M1510" s="93">
        <f t="shared" si="75"/>
        <v>0</v>
      </c>
      <c r="N1510" s="2"/>
      <c r="O1510" s="97"/>
      <c r="P1510" s="52">
        <v>0.9</v>
      </c>
    </row>
    <row r="1511" spans="1:16" ht="40.950000000000003" customHeight="1" x14ac:dyDescent="0.3">
      <c r="A1511" s="425"/>
      <c r="B1511" s="10" t="s">
        <v>1188</v>
      </c>
      <c r="C1511" s="10"/>
      <c r="D1511" s="10"/>
      <c r="E1511" s="10"/>
      <c r="F1511" s="428"/>
      <c r="G1511" s="4" t="s">
        <v>114</v>
      </c>
      <c r="H1511" s="4">
        <v>1</v>
      </c>
      <c r="I1511" s="4">
        <f t="shared" si="76"/>
        <v>7956</v>
      </c>
      <c r="J1511" s="4">
        <v>7956</v>
      </c>
      <c r="K1511" s="4">
        <f t="shared" si="74"/>
        <v>0</v>
      </c>
      <c r="L1511" s="1">
        <v>7956</v>
      </c>
      <c r="M1511" s="93">
        <f t="shared" si="75"/>
        <v>0</v>
      </c>
      <c r="N1511" s="2"/>
      <c r="O1511" s="97"/>
      <c r="P1511" s="52">
        <v>0.9</v>
      </c>
    </row>
    <row r="1512" spans="1:16" ht="40.950000000000003" customHeight="1" x14ac:dyDescent="0.3">
      <c r="A1512" s="425"/>
      <c r="B1512" s="10" t="s">
        <v>1188</v>
      </c>
      <c r="C1512" s="10"/>
      <c r="D1512" s="10"/>
      <c r="E1512" s="10"/>
      <c r="F1512" s="428"/>
      <c r="G1512" s="4" t="s">
        <v>85</v>
      </c>
      <c r="H1512" s="4">
        <v>2</v>
      </c>
      <c r="I1512" s="4">
        <f t="shared" si="76"/>
        <v>7956</v>
      </c>
      <c r="J1512" s="4">
        <v>7956</v>
      </c>
      <c r="K1512" s="4">
        <f t="shared" si="74"/>
        <v>0</v>
      </c>
      <c r="L1512" s="1">
        <v>7956</v>
      </c>
      <c r="M1512" s="93">
        <f t="shared" si="75"/>
        <v>0</v>
      </c>
      <c r="N1512" s="2"/>
      <c r="O1512" s="97"/>
      <c r="P1512" s="52">
        <v>0.9</v>
      </c>
    </row>
    <row r="1513" spans="1:16" ht="40.950000000000003" customHeight="1" x14ac:dyDescent="0.3">
      <c r="A1513" s="425"/>
      <c r="B1513" s="10" t="s">
        <v>1188</v>
      </c>
      <c r="C1513" s="10"/>
      <c r="D1513" s="10"/>
      <c r="E1513" s="10"/>
      <c r="F1513" s="428"/>
      <c r="G1513" s="4" t="s">
        <v>49</v>
      </c>
      <c r="H1513" s="4">
        <v>1</v>
      </c>
      <c r="I1513" s="4">
        <f t="shared" si="76"/>
        <v>7956</v>
      </c>
      <c r="J1513" s="4">
        <v>7956</v>
      </c>
      <c r="K1513" s="4">
        <f t="shared" si="74"/>
        <v>0</v>
      </c>
      <c r="L1513" s="1">
        <v>7956</v>
      </c>
      <c r="M1513" s="93">
        <f t="shared" si="75"/>
        <v>0</v>
      </c>
      <c r="N1513" s="2"/>
      <c r="O1513" s="97"/>
      <c r="P1513" s="52">
        <v>0.9</v>
      </c>
    </row>
    <row r="1514" spans="1:16" ht="40.950000000000003" customHeight="1" x14ac:dyDescent="0.3">
      <c r="A1514" s="425"/>
      <c r="B1514" s="10" t="s">
        <v>1188</v>
      </c>
      <c r="C1514" s="10"/>
      <c r="D1514" s="10"/>
      <c r="E1514" s="10"/>
      <c r="F1514" s="428"/>
      <c r="G1514" s="4" t="s">
        <v>391</v>
      </c>
      <c r="H1514" s="4">
        <v>1</v>
      </c>
      <c r="I1514" s="4">
        <f t="shared" si="76"/>
        <v>1580</v>
      </c>
      <c r="J1514" s="4">
        <v>1580</v>
      </c>
      <c r="K1514" s="4">
        <f t="shared" si="74"/>
        <v>0</v>
      </c>
      <c r="L1514" s="1">
        <v>1580</v>
      </c>
      <c r="M1514" s="93">
        <f t="shared" si="75"/>
        <v>0</v>
      </c>
      <c r="N1514" s="2"/>
      <c r="O1514" s="97"/>
      <c r="P1514" s="52">
        <v>0.9</v>
      </c>
    </row>
    <row r="1515" spans="1:16" ht="40.950000000000003" customHeight="1" x14ac:dyDescent="0.3">
      <c r="A1515" s="425"/>
      <c r="B1515" s="10" t="s">
        <v>1188</v>
      </c>
      <c r="C1515" s="10"/>
      <c r="D1515" s="10"/>
      <c r="E1515" s="10"/>
      <c r="F1515" s="428"/>
      <c r="G1515" s="4" t="s">
        <v>1286</v>
      </c>
      <c r="H1515" s="4">
        <v>1</v>
      </c>
      <c r="I1515" s="4">
        <f t="shared" si="76"/>
        <v>2005</v>
      </c>
      <c r="J1515" s="4">
        <v>2005</v>
      </c>
      <c r="K1515" s="4">
        <f t="shared" si="74"/>
        <v>0</v>
      </c>
      <c r="L1515" s="1">
        <v>2005</v>
      </c>
      <c r="M1515" s="93">
        <f t="shared" si="75"/>
        <v>0</v>
      </c>
      <c r="N1515" s="2"/>
      <c r="O1515" s="97"/>
      <c r="P1515" s="52">
        <v>0.9</v>
      </c>
    </row>
    <row r="1516" spans="1:16" ht="40.950000000000003" customHeight="1" x14ac:dyDescent="0.3">
      <c r="A1516" s="425"/>
      <c r="B1516" s="10" t="s">
        <v>1188</v>
      </c>
      <c r="C1516" s="10"/>
      <c r="D1516" s="10"/>
      <c r="E1516" s="10"/>
      <c r="F1516" s="428"/>
      <c r="G1516" s="4" t="s">
        <v>381</v>
      </c>
      <c r="H1516" s="4">
        <v>1</v>
      </c>
      <c r="I1516" s="4">
        <f t="shared" si="76"/>
        <v>194</v>
      </c>
      <c r="J1516" s="4">
        <v>194</v>
      </c>
      <c r="K1516" s="4">
        <f t="shared" si="74"/>
        <v>0</v>
      </c>
      <c r="L1516" s="1">
        <v>194</v>
      </c>
      <c r="M1516" s="93">
        <f t="shared" si="75"/>
        <v>0</v>
      </c>
      <c r="N1516" s="2"/>
      <c r="O1516" s="97"/>
      <c r="P1516" s="52">
        <v>0.9</v>
      </c>
    </row>
    <row r="1517" spans="1:16" ht="40.950000000000003" customHeight="1" x14ac:dyDescent="0.3">
      <c r="A1517" s="425"/>
      <c r="B1517" s="10" t="s">
        <v>1188</v>
      </c>
      <c r="C1517" s="10"/>
      <c r="D1517" s="10"/>
      <c r="E1517" s="10"/>
      <c r="F1517" s="428"/>
      <c r="G1517" s="4" t="s">
        <v>1287</v>
      </c>
      <c r="H1517" s="4">
        <v>1</v>
      </c>
      <c r="I1517" s="4">
        <f t="shared" si="76"/>
        <v>2260</v>
      </c>
      <c r="J1517" s="4">
        <v>2260</v>
      </c>
      <c r="K1517" s="4">
        <f t="shared" si="74"/>
        <v>0</v>
      </c>
      <c r="L1517" s="1">
        <v>2260</v>
      </c>
      <c r="M1517" s="93">
        <f t="shared" si="75"/>
        <v>0</v>
      </c>
      <c r="N1517" s="2"/>
      <c r="O1517" s="97"/>
      <c r="P1517" s="52">
        <v>0.9</v>
      </c>
    </row>
    <row r="1518" spans="1:16" ht="40.950000000000003" customHeight="1" x14ac:dyDescent="0.3">
      <c r="A1518" s="425"/>
      <c r="B1518" s="10" t="s">
        <v>1188</v>
      </c>
      <c r="C1518" s="10"/>
      <c r="D1518" s="10"/>
      <c r="E1518" s="10"/>
      <c r="F1518" s="428"/>
      <c r="G1518" s="4" t="s">
        <v>169</v>
      </c>
      <c r="H1518" s="4">
        <v>1</v>
      </c>
      <c r="I1518" s="4">
        <f t="shared" si="76"/>
        <v>3025</v>
      </c>
      <c r="J1518" s="4">
        <v>3025</v>
      </c>
      <c r="K1518" s="4">
        <f t="shared" si="74"/>
        <v>0</v>
      </c>
      <c r="L1518" s="1">
        <v>3025</v>
      </c>
      <c r="M1518" s="93">
        <f t="shared" si="75"/>
        <v>0</v>
      </c>
      <c r="N1518" s="2"/>
      <c r="O1518" s="97"/>
      <c r="P1518" s="52">
        <v>0.9</v>
      </c>
    </row>
    <row r="1519" spans="1:16" ht="40.950000000000003" customHeight="1" x14ac:dyDescent="0.3">
      <c r="A1519" s="426"/>
      <c r="B1519" s="10" t="s">
        <v>1188</v>
      </c>
      <c r="C1519" s="10"/>
      <c r="D1519" s="10"/>
      <c r="E1519" s="10"/>
      <c r="F1519" s="429"/>
      <c r="G1519" s="4" t="s">
        <v>200</v>
      </c>
      <c r="H1519" s="4">
        <v>1</v>
      </c>
      <c r="I1519" s="4">
        <f t="shared" si="76"/>
        <v>2321</v>
      </c>
      <c r="J1519" s="4">
        <v>2321</v>
      </c>
      <c r="K1519" s="4">
        <f t="shared" si="74"/>
        <v>0</v>
      </c>
      <c r="L1519" s="1">
        <v>2321</v>
      </c>
      <c r="M1519" s="93">
        <f t="shared" si="75"/>
        <v>0</v>
      </c>
      <c r="N1519" s="2"/>
      <c r="O1519" s="97"/>
      <c r="P1519" s="52">
        <v>0.9</v>
      </c>
    </row>
    <row r="1520" spans="1:16" ht="40.950000000000003" customHeight="1" x14ac:dyDescent="0.3">
      <c r="A1520" s="424">
        <v>72</v>
      </c>
      <c r="B1520" s="10" t="s">
        <v>1189</v>
      </c>
      <c r="C1520" s="10"/>
      <c r="D1520" s="10"/>
      <c r="E1520" s="10"/>
      <c r="F1520" s="427" t="s">
        <v>1107</v>
      </c>
      <c r="G1520" s="4" t="s">
        <v>50</v>
      </c>
      <c r="H1520" s="4">
        <v>1</v>
      </c>
      <c r="I1520" s="4">
        <f t="shared" si="76"/>
        <v>7722</v>
      </c>
      <c r="J1520" s="4">
        <v>7722</v>
      </c>
      <c r="K1520" s="4">
        <f t="shared" si="74"/>
        <v>0</v>
      </c>
      <c r="L1520" s="1">
        <v>7722</v>
      </c>
      <c r="M1520" s="93">
        <f t="shared" si="75"/>
        <v>0</v>
      </c>
      <c r="N1520" s="2"/>
      <c r="O1520" s="97"/>
      <c r="P1520" s="52">
        <v>0.9</v>
      </c>
    </row>
    <row r="1521" spans="1:16" ht="40.950000000000003" customHeight="1" x14ac:dyDescent="0.3">
      <c r="A1521" s="425"/>
      <c r="B1521" s="10" t="s">
        <v>1189</v>
      </c>
      <c r="C1521" s="10"/>
      <c r="D1521" s="10"/>
      <c r="E1521" s="10"/>
      <c r="F1521" s="428"/>
      <c r="G1521" s="4" t="s">
        <v>39</v>
      </c>
      <c r="H1521" s="4">
        <v>1</v>
      </c>
      <c r="I1521" s="4">
        <f t="shared" si="76"/>
        <v>7956</v>
      </c>
      <c r="J1521" s="4">
        <v>7956</v>
      </c>
      <c r="K1521" s="4">
        <f t="shared" si="74"/>
        <v>0</v>
      </c>
      <c r="L1521" s="1">
        <v>7956</v>
      </c>
      <c r="M1521" s="93">
        <f t="shared" si="75"/>
        <v>0</v>
      </c>
      <c r="N1521" s="2"/>
      <c r="O1521" s="97"/>
      <c r="P1521" s="52">
        <v>0.9</v>
      </c>
    </row>
    <row r="1522" spans="1:16" ht="40.950000000000003" customHeight="1" x14ac:dyDescent="0.3">
      <c r="A1522" s="425"/>
      <c r="B1522" s="10" t="s">
        <v>1189</v>
      </c>
      <c r="C1522" s="10"/>
      <c r="D1522" s="10"/>
      <c r="E1522" s="10"/>
      <c r="F1522" s="428"/>
      <c r="G1522" s="4" t="s">
        <v>1201</v>
      </c>
      <c r="H1522" s="4">
        <v>1</v>
      </c>
      <c r="I1522" s="4">
        <f t="shared" si="76"/>
        <v>7956</v>
      </c>
      <c r="J1522" s="4">
        <v>7956</v>
      </c>
      <c r="K1522" s="4">
        <f t="shared" si="74"/>
        <v>0</v>
      </c>
      <c r="L1522" s="1">
        <v>7956</v>
      </c>
      <c r="M1522" s="93">
        <f t="shared" si="75"/>
        <v>0</v>
      </c>
      <c r="N1522" s="2"/>
      <c r="O1522" s="97"/>
      <c r="P1522" s="52">
        <v>0.9</v>
      </c>
    </row>
    <row r="1523" spans="1:16" ht="40.950000000000003" customHeight="1" x14ac:dyDescent="0.3">
      <c r="A1523" s="425"/>
      <c r="B1523" s="10" t="s">
        <v>1189</v>
      </c>
      <c r="C1523" s="10"/>
      <c r="D1523" s="10"/>
      <c r="E1523" s="10"/>
      <c r="F1523" s="428"/>
      <c r="G1523" s="4" t="s">
        <v>1200</v>
      </c>
      <c r="H1523" s="4">
        <v>2</v>
      </c>
      <c r="I1523" s="4">
        <f t="shared" si="76"/>
        <v>7956</v>
      </c>
      <c r="J1523" s="4">
        <v>7956</v>
      </c>
      <c r="K1523" s="4">
        <f t="shared" si="74"/>
        <v>0</v>
      </c>
      <c r="L1523" s="1">
        <v>7956</v>
      </c>
      <c r="M1523" s="93">
        <f t="shared" si="75"/>
        <v>0</v>
      </c>
      <c r="N1523" s="2"/>
      <c r="O1523" s="97"/>
      <c r="P1523" s="52">
        <v>0.9</v>
      </c>
    </row>
    <row r="1524" spans="1:16" ht="40.950000000000003" customHeight="1" x14ac:dyDescent="0.3">
      <c r="A1524" s="425"/>
      <c r="B1524" s="10" t="s">
        <v>1189</v>
      </c>
      <c r="C1524" s="10"/>
      <c r="D1524" s="10"/>
      <c r="E1524" s="10"/>
      <c r="F1524" s="428"/>
      <c r="G1524" s="4" t="s">
        <v>51</v>
      </c>
      <c r="H1524" s="4">
        <v>1</v>
      </c>
      <c r="I1524" s="4">
        <f t="shared" si="76"/>
        <v>7956</v>
      </c>
      <c r="J1524" s="4">
        <v>7956</v>
      </c>
      <c r="K1524" s="4">
        <f t="shared" si="74"/>
        <v>0</v>
      </c>
      <c r="L1524" s="1">
        <v>7956</v>
      </c>
      <c r="M1524" s="93"/>
      <c r="N1524" s="2"/>
      <c r="O1524" s="97"/>
      <c r="P1524" s="52">
        <v>0.9</v>
      </c>
    </row>
    <row r="1525" spans="1:16" ht="40.950000000000003" customHeight="1" x14ac:dyDescent="0.3">
      <c r="A1525" s="425"/>
      <c r="B1525" s="10" t="s">
        <v>1189</v>
      </c>
      <c r="C1525" s="10"/>
      <c r="D1525" s="10"/>
      <c r="E1525" s="10"/>
      <c r="F1525" s="428"/>
      <c r="G1525" s="4" t="s">
        <v>398</v>
      </c>
      <c r="H1525" s="4">
        <v>1</v>
      </c>
      <c r="I1525" s="4">
        <f t="shared" si="76"/>
        <v>7956</v>
      </c>
      <c r="J1525" s="4">
        <v>7956</v>
      </c>
      <c r="K1525" s="4">
        <f t="shared" si="74"/>
        <v>0</v>
      </c>
      <c r="L1525" s="1">
        <v>7956</v>
      </c>
      <c r="M1525" s="93">
        <f t="shared" ref="M1525" si="77">O1525-N1525</f>
        <v>0</v>
      </c>
      <c r="N1525" s="2"/>
      <c r="O1525" s="97"/>
      <c r="P1525" s="52">
        <v>0.9</v>
      </c>
    </row>
    <row r="1526" spans="1:16" ht="40.950000000000003" customHeight="1" x14ac:dyDescent="0.3">
      <c r="A1526" s="425"/>
      <c r="B1526" s="10" t="s">
        <v>1189</v>
      </c>
      <c r="C1526" s="10"/>
      <c r="D1526" s="10"/>
      <c r="E1526" s="10"/>
      <c r="F1526" s="428"/>
      <c r="G1526" s="4" t="s">
        <v>122</v>
      </c>
      <c r="H1526" s="4">
        <v>1</v>
      </c>
      <c r="I1526" s="4">
        <f t="shared" si="76"/>
        <v>7722</v>
      </c>
      <c r="J1526" s="4">
        <v>7722</v>
      </c>
      <c r="K1526" s="4">
        <f t="shared" si="74"/>
        <v>0</v>
      </c>
      <c r="L1526" s="1">
        <v>7722</v>
      </c>
      <c r="M1526" s="93">
        <f t="shared" si="75"/>
        <v>0</v>
      </c>
      <c r="N1526" s="2"/>
      <c r="O1526" s="97"/>
      <c r="P1526" s="52">
        <v>0.9</v>
      </c>
    </row>
    <row r="1527" spans="1:16" ht="40.950000000000003" customHeight="1" x14ac:dyDescent="0.3">
      <c r="A1527" s="426"/>
      <c r="B1527" s="10" t="s">
        <v>1189</v>
      </c>
      <c r="C1527" s="10"/>
      <c r="D1527" s="10"/>
      <c r="E1527" s="10"/>
      <c r="F1527" s="429"/>
      <c r="G1527" s="4" t="s">
        <v>143</v>
      </c>
      <c r="H1527" s="4">
        <v>1</v>
      </c>
      <c r="I1527" s="4">
        <f t="shared" si="76"/>
        <v>7956</v>
      </c>
      <c r="J1527" s="4">
        <v>7956</v>
      </c>
      <c r="K1527" s="4">
        <f t="shared" si="74"/>
        <v>0</v>
      </c>
      <c r="L1527" s="1">
        <v>7956</v>
      </c>
      <c r="M1527" s="93">
        <f t="shared" si="75"/>
        <v>0</v>
      </c>
      <c r="N1527" s="2"/>
      <c r="O1527" s="97"/>
      <c r="P1527" s="52">
        <v>0.9</v>
      </c>
    </row>
    <row r="1528" spans="1:16" ht="40.950000000000003" customHeight="1" x14ac:dyDescent="0.3">
      <c r="A1528" s="57">
        <v>73</v>
      </c>
      <c r="B1528" s="10" t="s">
        <v>1195</v>
      </c>
      <c r="C1528" s="10"/>
      <c r="D1528" s="10"/>
      <c r="E1528" s="10"/>
      <c r="F1528" s="58" t="s">
        <v>1030</v>
      </c>
      <c r="G1528" s="4" t="s">
        <v>14</v>
      </c>
      <c r="H1528" s="4">
        <v>1</v>
      </c>
      <c r="I1528" s="4">
        <f t="shared" si="76"/>
        <v>49140</v>
      </c>
      <c r="J1528" s="4">
        <v>49140</v>
      </c>
      <c r="K1528" s="4">
        <f t="shared" si="74"/>
        <v>0</v>
      </c>
      <c r="L1528" s="1">
        <v>49140</v>
      </c>
      <c r="M1528" s="93">
        <f t="shared" si="75"/>
        <v>0</v>
      </c>
      <c r="N1528" s="2"/>
      <c r="O1528" s="97"/>
      <c r="P1528" s="52">
        <v>1</v>
      </c>
    </row>
    <row r="1529" spans="1:16" ht="40.950000000000003" customHeight="1" x14ac:dyDescent="0.3">
      <c r="A1529" s="57">
        <v>74</v>
      </c>
      <c r="B1529" s="10" t="s">
        <v>1196</v>
      </c>
      <c r="C1529" s="10"/>
      <c r="D1529" s="10"/>
      <c r="E1529" s="10"/>
      <c r="F1529" s="58" t="s">
        <v>1197</v>
      </c>
      <c r="G1529" s="4" t="s">
        <v>14</v>
      </c>
      <c r="H1529" s="4">
        <v>1</v>
      </c>
      <c r="I1529" s="4">
        <f t="shared" si="76"/>
        <v>30500</v>
      </c>
      <c r="J1529" s="4">
        <v>30500</v>
      </c>
      <c r="K1529" s="4">
        <f t="shared" si="74"/>
        <v>0</v>
      </c>
      <c r="L1529" s="1">
        <v>30500</v>
      </c>
      <c r="M1529" s="93">
        <f t="shared" si="75"/>
        <v>0</v>
      </c>
      <c r="N1529" s="2"/>
      <c r="O1529" s="97"/>
      <c r="P1529" s="52">
        <v>1</v>
      </c>
    </row>
    <row r="1530" spans="1:16" ht="40.950000000000003" customHeight="1" x14ac:dyDescent="0.3">
      <c r="A1530" s="4">
        <v>75</v>
      </c>
      <c r="B1530" s="10" t="s">
        <v>1220</v>
      </c>
      <c r="C1530" s="10"/>
      <c r="D1530" s="10"/>
      <c r="E1530" s="10"/>
      <c r="F1530" s="10" t="s">
        <v>1013</v>
      </c>
      <c r="G1530" s="4" t="s">
        <v>50</v>
      </c>
      <c r="H1530" s="4">
        <v>1</v>
      </c>
      <c r="I1530" s="4">
        <f t="shared" si="76"/>
        <v>2100</v>
      </c>
      <c r="J1530" s="4">
        <v>2100</v>
      </c>
      <c r="K1530" s="4">
        <f t="shared" si="74"/>
        <v>0</v>
      </c>
      <c r="L1530" s="1">
        <v>2100</v>
      </c>
      <c r="M1530" s="93">
        <f t="shared" si="75"/>
        <v>0</v>
      </c>
      <c r="N1530" s="2"/>
      <c r="O1530" s="97"/>
      <c r="P1530" s="52">
        <v>1</v>
      </c>
    </row>
    <row r="1531" spans="1:16" ht="40.950000000000003" customHeight="1" x14ac:dyDescent="0.3">
      <c r="A1531" s="4">
        <v>75</v>
      </c>
      <c r="B1531" s="10" t="s">
        <v>1220</v>
      </c>
      <c r="C1531" s="10"/>
      <c r="D1531" s="10"/>
      <c r="E1531" s="10"/>
      <c r="F1531" s="10" t="s">
        <v>1013</v>
      </c>
      <c r="G1531" s="4" t="s">
        <v>7</v>
      </c>
      <c r="H1531" s="4">
        <v>1</v>
      </c>
      <c r="I1531" s="4">
        <f t="shared" si="76"/>
        <v>1050</v>
      </c>
      <c r="J1531" s="4">
        <v>1050</v>
      </c>
      <c r="K1531" s="4">
        <f t="shared" si="74"/>
        <v>0</v>
      </c>
      <c r="L1531" s="1">
        <v>1050</v>
      </c>
      <c r="M1531" s="93">
        <f t="shared" si="75"/>
        <v>0</v>
      </c>
      <c r="N1531" s="2"/>
      <c r="O1531" s="97"/>
      <c r="P1531" s="52">
        <v>1</v>
      </c>
    </row>
    <row r="1532" spans="1:16" ht="40.950000000000003" customHeight="1" x14ac:dyDescent="0.3">
      <c r="A1532" s="4">
        <v>75</v>
      </c>
      <c r="B1532" s="10" t="s">
        <v>1220</v>
      </c>
      <c r="C1532" s="10"/>
      <c r="D1532" s="10"/>
      <c r="E1532" s="10"/>
      <c r="F1532" s="10" t="s">
        <v>1013</v>
      </c>
      <c r="G1532" s="4" t="s">
        <v>64</v>
      </c>
      <c r="H1532" s="4">
        <v>2</v>
      </c>
      <c r="I1532" s="4">
        <f t="shared" si="76"/>
        <v>4500</v>
      </c>
      <c r="J1532" s="4">
        <v>4500</v>
      </c>
      <c r="K1532" s="4">
        <f t="shared" ref="K1532:K1597" si="78">L1532-J1532</f>
        <v>0</v>
      </c>
      <c r="L1532" s="1">
        <v>4500</v>
      </c>
      <c r="M1532" s="93">
        <f t="shared" si="75"/>
        <v>0</v>
      </c>
      <c r="N1532" s="2"/>
      <c r="O1532" s="97"/>
      <c r="P1532" s="52">
        <v>1</v>
      </c>
    </row>
    <row r="1533" spans="1:16" ht="40.950000000000003" customHeight="1" x14ac:dyDescent="0.3">
      <c r="A1533" s="4">
        <v>75</v>
      </c>
      <c r="B1533" s="10" t="s">
        <v>1220</v>
      </c>
      <c r="C1533" s="10"/>
      <c r="D1533" s="10"/>
      <c r="E1533" s="10"/>
      <c r="F1533" s="10" t="s">
        <v>1013</v>
      </c>
      <c r="G1533" s="4" t="s">
        <v>49</v>
      </c>
      <c r="H1533" s="4">
        <v>2</v>
      </c>
      <c r="I1533" s="4">
        <f t="shared" si="76"/>
        <v>2100</v>
      </c>
      <c r="J1533" s="4">
        <v>2100</v>
      </c>
      <c r="K1533" s="4">
        <f t="shared" si="78"/>
        <v>0</v>
      </c>
      <c r="L1533" s="1">
        <v>2100</v>
      </c>
      <c r="M1533" s="93">
        <f t="shared" si="75"/>
        <v>0</v>
      </c>
      <c r="N1533" s="2"/>
      <c r="O1533" s="97"/>
      <c r="P1533" s="52">
        <v>1</v>
      </c>
    </row>
    <row r="1534" spans="1:16" ht="40.950000000000003" customHeight="1" x14ac:dyDescent="0.3">
      <c r="A1534" s="4">
        <v>75</v>
      </c>
      <c r="B1534" s="10" t="s">
        <v>1220</v>
      </c>
      <c r="C1534" s="10"/>
      <c r="D1534" s="10"/>
      <c r="E1534" s="10"/>
      <c r="F1534" s="10" t="s">
        <v>1013</v>
      </c>
      <c r="G1534" s="4" t="s">
        <v>48</v>
      </c>
      <c r="H1534" s="4">
        <v>1</v>
      </c>
      <c r="I1534" s="4">
        <f t="shared" si="76"/>
        <v>1050</v>
      </c>
      <c r="J1534" s="4">
        <v>1050</v>
      </c>
      <c r="K1534" s="4">
        <f t="shared" si="78"/>
        <v>0</v>
      </c>
      <c r="L1534" s="1">
        <v>1050</v>
      </c>
      <c r="M1534" s="93">
        <f t="shared" si="75"/>
        <v>0</v>
      </c>
      <c r="N1534" s="2"/>
      <c r="O1534" s="97"/>
      <c r="P1534" s="52">
        <v>1</v>
      </c>
    </row>
    <row r="1535" spans="1:16" ht="40.950000000000003" customHeight="1" x14ac:dyDescent="0.3">
      <c r="A1535" s="4">
        <v>75</v>
      </c>
      <c r="B1535" s="10" t="s">
        <v>1220</v>
      </c>
      <c r="C1535" s="10"/>
      <c r="D1535" s="10"/>
      <c r="E1535" s="10"/>
      <c r="F1535" s="10" t="s">
        <v>1013</v>
      </c>
      <c r="G1535" s="4" t="s">
        <v>114</v>
      </c>
      <c r="H1535" s="4">
        <v>2</v>
      </c>
      <c r="I1535" s="4">
        <f t="shared" si="76"/>
        <v>4500</v>
      </c>
      <c r="J1535" s="4">
        <v>4500</v>
      </c>
      <c r="K1535" s="4">
        <f t="shared" si="78"/>
        <v>0</v>
      </c>
      <c r="L1535" s="1">
        <v>4500</v>
      </c>
      <c r="M1535" s="93">
        <f t="shared" si="75"/>
        <v>0</v>
      </c>
      <c r="N1535" s="2"/>
      <c r="O1535" s="97"/>
      <c r="P1535" s="52">
        <v>1</v>
      </c>
    </row>
    <row r="1536" spans="1:16" ht="40.950000000000003" customHeight="1" x14ac:dyDescent="0.3">
      <c r="A1536" s="4">
        <v>75</v>
      </c>
      <c r="B1536" s="10" t="s">
        <v>1220</v>
      </c>
      <c r="C1536" s="10"/>
      <c r="D1536" s="10"/>
      <c r="E1536" s="10"/>
      <c r="F1536" s="10" t="s">
        <v>1013</v>
      </c>
      <c r="G1536" s="4" t="s">
        <v>85</v>
      </c>
      <c r="H1536" s="4">
        <v>2</v>
      </c>
      <c r="I1536" s="4">
        <f t="shared" si="76"/>
        <v>4500</v>
      </c>
      <c r="J1536" s="4">
        <v>4500</v>
      </c>
      <c r="K1536" s="4">
        <f t="shared" si="78"/>
        <v>0</v>
      </c>
      <c r="L1536" s="1">
        <v>4500</v>
      </c>
      <c r="M1536" s="93">
        <f t="shared" si="75"/>
        <v>0</v>
      </c>
      <c r="N1536" s="2"/>
      <c r="O1536" s="97"/>
      <c r="P1536" s="52">
        <v>1</v>
      </c>
    </row>
    <row r="1537" spans="1:16" ht="40.950000000000003" customHeight="1" x14ac:dyDescent="0.3">
      <c r="A1537" s="4">
        <v>75</v>
      </c>
      <c r="B1537" s="10" t="s">
        <v>1220</v>
      </c>
      <c r="C1537" s="10"/>
      <c r="D1537" s="10"/>
      <c r="E1537" s="10"/>
      <c r="F1537" s="10" t="s">
        <v>1013</v>
      </c>
      <c r="G1537" s="4" t="s">
        <v>122</v>
      </c>
      <c r="H1537" s="4">
        <v>4</v>
      </c>
      <c r="I1537" s="4">
        <f t="shared" si="76"/>
        <v>3736</v>
      </c>
      <c r="J1537" s="4">
        <v>3736</v>
      </c>
      <c r="K1537" s="4">
        <f t="shared" si="78"/>
        <v>0</v>
      </c>
      <c r="L1537" s="1">
        <v>3736</v>
      </c>
      <c r="M1537" s="93">
        <f t="shared" si="75"/>
        <v>0</v>
      </c>
      <c r="N1537" s="2"/>
      <c r="O1537" s="97"/>
      <c r="P1537" s="52">
        <v>1</v>
      </c>
    </row>
    <row r="1538" spans="1:16" ht="40.950000000000003" customHeight="1" x14ac:dyDescent="0.3">
      <c r="A1538" s="4">
        <v>75</v>
      </c>
      <c r="B1538" s="10" t="s">
        <v>1220</v>
      </c>
      <c r="C1538" s="10"/>
      <c r="D1538" s="10"/>
      <c r="E1538" s="10"/>
      <c r="F1538" s="10" t="s">
        <v>1013</v>
      </c>
      <c r="G1538" s="4" t="s">
        <v>128</v>
      </c>
      <c r="H1538" s="4">
        <v>3</v>
      </c>
      <c r="I1538" s="4">
        <f t="shared" si="76"/>
        <v>4500</v>
      </c>
      <c r="J1538" s="4">
        <v>4500</v>
      </c>
      <c r="K1538" s="4">
        <f t="shared" si="78"/>
        <v>0</v>
      </c>
      <c r="L1538" s="1">
        <v>4500</v>
      </c>
      <c r="M1538" s="93">
        <f t="shared" si="75"/>
        <v>0</v>
      </c>
      <c r="N1538" s="2"/>
      <c r="O1538" s="97"/>
      <c r="P1538" s="52">
        <v>1</v>
      </c>
    </row>
    <row r="1539" spans="1:16" ht="40.950000000000003" customHeight="1" x14ac:dyDescent="0.3">
      <c r="A1539" s="4">
        <v>75</v>
      </c>
      <c r="B1539" s="10" t="s">
        <v>1220</v>
      </c>
      <c r="C1539" s="10"/>
      <c r="D1539" s="10"/>
      <c r="E1539" s="10"/>
      <c r="F1539" s="10" t="s">
        <v>1013</v>
      </c>
      <c r="G1539" s="4" t="s">
        <v>51</v>
      </c>
      <c r="H1539" s="4">
        <v>2</v>
      </c>
      <c r="I1539" s="4">
        <f t="shared" si="76"/>
        <v>2100</v>
      </c>
      <c r="J1539" s="4">
        <v>2100</v>
      </c>
      <c r="K1539" s="4">
        <f t="shared" si="78"/>
        <v>0</v>
      </c>
      <c r="L1539" s="1">
        <v>2100</v>
      </c>
      <c r="M1539" s="93">
        <f t="shared" si="75"/>
        <v>0</v>
      </c>
      <c r="N1539" s="2"/>
      <c r="O1539" s="97"/>
      <c r="P1539" s="52">
        <v>1</v>
      </c>
    </row>
    <row r="1540" spans="1:16" ht="40.950000000000003" customHeight="1" x14ac:dyDescent="0.3">
      <c r="A1540" s="4">
        <v>75</v>
      </c>
      <c r="B1540" s="10" t="s">
        <v>1220</v>
      </c>
      <c r="C1540" s="10"/>
      <c r="D1540" s="10"/>
      <c r="E1540" s="10"/>
      <c r="F1540" s="10" t="s">
        <v>1013</v>
      </c>
      <c r="G1540" s="4" t="s">
        <v>39</v>
      </c>
      <c r="H1540" s="4">
        <v>2</v>
      </c>
      <c r="I1540" s="4">
        <f t="shared" si="76"/>
        <v>4500</v>
      </c>
      <c r="J1540" s="4">
        <v>4500</v>
      </c>
      <c r="K1540" s="4">
        <f t="shared" si="78"/>
        <v>0</v>
      </c>
      <c r="L1540" s="1">
        <v>4500</v>
      </c>
      <c r="M1540" s="93">
        <f t="shared" si="75"/>
        <v>0</v>
      </c>
      <c r="N1540" s="2"/>
      <c r="O1540" s="97"/>
      <c r="P1540" s="52">
        <v>1</v>
      </c>
    </row>
    <row r="1541" spans="1:16" ht="40.950000000000003" customHeight="1" x14ac:dyDescent="0.3">
      <c r="A1541" s="4">
        <v>75</v>
      </c>
      <c r="B1541" s="10" t="s">
        <v>1220</v>
      </c>
      <c r="C1541" s="10"/>
      <c r="D1541" s="10"/>
      <c r="E1541" s="10"/>
      <c r="F1541" s="10" t="s">
        <v>1013</v>
      </c>
      <c r="G1541" s="4" t="s">
        <v>471</v>
      </c>
      <c r="H1541" s="4">
        <v>2</v>
      </c>
      <c r="I1541" s="4">
        <f t="shared" si="76"/>
        <v>1636</v>
      </c>
      <c r="J1541" s="4">
        <v>1636</v>
      </c>
      <c r="K1541" s="4">
        <f t="shared" si="78"/>
        <v>0</v>
      </c>
      <c r="L1541" s="1">
        <v>1636</v>
      </c>
      <c r="M1541" s="93">
        <f t="shared" si="75"/>
        <v>0</v>
      </c>
      <c r="N1541" s="2"/>
      <c r="O1541" s="97"/>
      <c r="P1541" s="52">
        <v>1</v>
      </c>
    </row>
    <row r="1542" spans="1:16" ht="40.950000000000003" customHeight="1" x14ac:dyDescent="0.3">
      <c r="A1542" s="4">
        <v>76</v>
      </c>
      <c r="B1542" s="10" t="s">
        <v>1221</v>
      </c>
      <c r="C1542" s="10"/>
      <c r="D1542" s="10"/>
      <c r="E1542" s="10"/>
      <c r="F1542" s="10" t="s">
        <v>1222</v>
      </c>
      <c r="G1542" s="4" t="s">
        <v>14</v>
      </c>
      <c r="H1542" s="4">
        <v>7</v>
      </c>
      <c r="I1542" s="4">
        <f t="shared" si="76"/>
        <v>72325</v>
      </c>
      <c r="J1542" s="4">
        <v>72325</v>
      </c>
      <c r="K1542" s="4">
        <f t="shared" si="78"/>
        <v>0</v>
      </c>
      <c r="L1542" s="1">
        <v>72325</v>
      </c>
      <c r="M1542" s="93">
        <f t="shared" si="75"/>
        <v>0</v>
      </c>
      <c r="N1542" s="2"/>
      <c r="O1542" s="97"/>
      <c r="P1542" s="52">
        <v>1</v>
      </c>
    </row>
    <row r="1543" spans="1:16" ht="40.950000000000003" customHeight="1" x14ac:dyDescent="0.3">
      <c r="A1543" s="4">
        <v>77</v>
      </c>
      <c r="B1543" s="10" t="s">
        <v>1250</v>
      </c>
      <c r="C1543" s="10"/>
      <c r="D1543" s="10"/>
      <c r="E1543" s="10"/>
      <c r="F1543" s="10" t="s">
        <v>989</v>
      </c>
      <c r="G1543" s="4" t="s">
        <v>14</v>
      </c>
      <c r="H1543" s="4">
        <v>1</v>
      </c>
      <c r="I1543" s="4">
        <f t="shared" si="76"/>
        <v>22820</v>
      </c>
      <c r="J1543" s="4">
        <v>22820</v>
      </c>
      <c r="K1543" s="4">
        <f t="shared" si="78"/>
        <v>0</v>
      </c>
      <c r="L1543" s="1">
        <v>22820</v>
      </c>
      <c r="M1543" s="93">
        <f t="shared" si="75"/>
        <v>0</v>
      </c>
      <c r="N1543" s="2"/>
      <c r="O1543" s="97"/>
      <c r="P1543" s="52">
        <v>1</v>
      </c>
    </row>
    <row r="1544" spans="1:16" ht="40.950000000000003" customHeight="1" x14ac:dyDescent="0.3">
      <c r="A1544" s="4">
        <v>78</v>
      </c>
      <c r="B1544" s="10" t="s">
        <v>1251</v>
      </c>
      <c r="C1544" s="10"/>
      <c r="D1544" s="10"/>
      <c r="E1544" s="10"/>
      <c r="F1544" s="10" t="s">
        <v>1252</v>
      </c>
      <c r="G1544" s="4" t="s">
        <v>14</v>
      </c>
      <c r="H1544" s="4">
        <v>2</v>
      </c>
      <c r="I1544" s="4">
        <f t="shared" si="76"/>
        <v>40564.5</v>
      </c>
      <c r="J1544" s="4">
        <v>40564.5</v>
      </c>
      <c r="K1544" s="4">
        <f t="shared" si="78"/>
        <v>0</v>
      </c>
      <c r="L1544" s="1">
        <v>40564.5</v>
      </c>
      <c r="M1544" s="93">
        <f t="shared" si="75"/>
        <v>0</v>
      </c>
      <c r="N1544" s="2"/>
      <c r="O1544" s="97"/>
      <c r="P1544" s="52">
        <v>1</v>
      </c>
    </row>
    <row r="1545" spans="1:16" ht="40.950000000000003" customHeight="1" x14ac:dyDescent="0.3">
      <c r="A1545" s="4">
        <v>79</v>
      </c>
      <c r="B1545" s="10" t="s">
        <v>1256</v>
      </c>
      <c r="C1545" s="10"/>
      <c r="D1545" s="10"/>
      <c r="E1545" s="10"/>
      <c r="F1545" s="10" t="s">
        <v>1257</v>
      </c>
      <c r="G1545" s="4" t="s">
        <v>70</v>
      </c>
      <c r="H1545" s="4">
        <v>2</v>
      </c>
      <c r="I1545" s="4">
        <f t="shared" si="76"/>
        <v>2750</v>
      </c>
      <c r="J1545" s="4">
        <v>2750</v>
      </c>
      <c r="K1545" s="4">
        <f t="shared" si="78"/>
        <v>0</v>
      </c>
      <c r="L1545" s="1">
        <v>2750</v>
      </c>
      <c r="M1545" s="93">
        <f t="shared" si="75"/>
        <v>0</v>
      </c>
      <c r="N1545" s="2"/>
      <c r="O1545" s="97"/>
      <c r="P1545" s="52">
        <v>1</v>
      </c>
    </row>
    <row r="1546" spans="1:16" ht="40.950000000000003" customHeight="1" x14ac:dyDescent="0.3">
      <c r="A1546" s="4">
        <v>81</v>
      </c>
      <c r="B1546" s="10" t="s">
        <v>1319</v>
      </c>
      <c r="C1546" s="10"/>
      <c r="D1546" s="10"/>
      <c r="E1546" s="10"/>
      <c r="F1546" s="10" t="s">
        <v>1320</v>
      </c>
      <c r="G1546" s="4" t="s">
        <v>143</v>
      </c>
      <c r="H1546" s="4">
        <v>2</v>
      </c>
      <c r="I1546" s="4">
        <f t="shared" si="76"/>
        <v>2600</v>
      </c>
      <c r="J1546" s="4">
        <v>2600</v>
      </c>
      <c r="K1546" s="4">
        <f t="shared" si="78"/>
        <v>0</v>
      </c>
      <c r="L1546" s="1">
        <v>2600</v>
      </c>
      <c r="M1546" s="93">
        <f t="shared" si="75"/>
        <v>0</v>
      </c>
      <c r="N1546" s="2"/>
      <c r="O1546" s="97"/>
      <c r="P1546" s="52">
        <v>1</v>
      </c>
    </row>
    <row r="1547" spans="1:16" ht="40.950000000000003" customHeight="1" x14ac:dyDescent="0.3">
      <c r="A1547" s="4">
        <v>81</v>
      </c>
      <c r="B1547" s="10" t="s">
        <v>1319</v>
      </c>
      <c r="C1547" s="10"/>
      <c r="D1547" s="10"/>
      <c r="E1547" s="10"/>
      <c r="F1547" s="10" t="s">
        <v>1320</v>
      </c>
      <c r="G1547" s="4" t="s">
        <v>122</v>
      </c>
      <c r="H1547" s="4">
        <v>1</v>
      </c>
      <c r="I1547" s="4">
        <f t="shared" si="76"/>
        <v>2210</v>
      </c>
      <c r="J1547" s="4">
        <v>2210</v>
      </c>
      <c r="K1547" s="4">
        <f t="shared" si="78"/>
        <v>0</v>
      </c>
      <c r="L1547" s="1">
        <v>2210</v>
      </c>
      <c r="M1547" s="93">
        <f t="shared" si="75"/>
        <v>0</v>
      </c>
      <c r="N1547" s="2"/>
      <c r="O1547" s="97"/>
      <c r="P1547" s="52">
        <v>0.85</v>
      </c>
    </row>
    <row r="1548" spans="1:16" ht="40.950000000000003" customHeight="1" x14ac:dyDescent="0.3">
      <c r="A1548" s="4">
        <v>81</v>
      </c>
      <c r="B1548" s="10" t="s">
        <v>1319</v>
      </c>
      <c r="C1548" s="10"/>
      <c r="D1548" s="10"/>
      <c r="E1548" s="10"/>
      <c r="F1548" s="10" t="s">
        <v>1320</v>
      </c>
      <c r="G1548" s="4" t="s">
        <v>50</v>
      </c>
      <c r="H1548" s="4">
        <v>2</v>
      </c>
      <c r="I1548" s="4">
        <f t="shared" si="76"/>
        <v>2600</v>
      </c>
      <c r="J1548" s="4">
        <v>2600</v>
      </c>
      <c r="K1548" s="4">
        <f t="shared" si="78"/>
        <v>0</v>
      </c>
      <c r="L1548" s="1">
        <v>2600</v>
      </c>
      <c r="M1548" s="93">
        <f t="shared" si="75"/>
        <v>0</v>
      </c>
      <c r="N1548" s="2"/>
      <c r="O1548" s="97"/>
      <c r="P1548" s="52">
        <v>1</v>
      </c>
    </row>
    <row r="1549" spans="1:16" ht="40.950000000000003" customHeight="1" x14ac:dyDescent="0.3">
      <c r="A1549" s="4">
        <v>82</v>
      </c>
      <c r="B1549" s="10" t="s">
        <v>1482</v>
      </c>
      <c r="C1549" s="10"/>
      <c r="D1549" s="10"/>
      <c r="E1549" s="10"/>
      <c r="F1549" s="10" t="s">
        <v>989</v>
      </c>
      <c r="G1549" s="4" t="s">
        <v>14</v>
      </c>
      <c r="H1549" s="4">
        <v>1</v>
      </c>
      <c r="I1549" s="4">
        <f t="shared" ref="I1549" si="79">J1549-O1549</f>
        <v>31428</v>
      </c>
      <c r="J1549" s="4">
        <v>31428</v>
      </c>
      <c r="K1549" s="4">
        <f t="shared" ref="K1549" si="80">L1549-J1549</f>
        <v>0</v>
      </c>
      <c r="L1549" s="1">
        <v>31428</v>
      </c>
      <c r="M1549" s="93">
        <f t="shared" ref="M1549" si="81">O1549-N1549</f>
        <v>0</v>
      </c>
      <c r="N1549" s="2"/>
      <c r="O1549" s="97"/>
      <c r="P1549" s="52">
        <v>1</v>
      </c>
    </row>
    <row r="1550" spans="1:16" ht="40.950000000000003" customHeight="1" x14ac:dyDescent="0.3">
      <c r="A1550" s="4">
        <v>82</v>
      </c>
      <c r="B1550" s="10" t="s">
        <v>1894</v>
      </c>
      <c r="C1550" s="10"/>
      <c r="D1550" s="10"/>
      <c r="E1550" s="10"/>
      <c r="F1550" s="10" t="s">
        <v>1889</v>
      </c>
      <c r="G1550" s="4" t="s">
        <v>14</v>
      </c>
      <c r="H1550" s="4">
        <v>4</v>
      </c>
      <c r="I1550" s="4">
        <f t="shared" si="76"/>
        <v>5040</v>
      </c>
      <c r="J1550" s="4">
        <v>5040</v>
      </c>
      <c r="K1550" s="4">
        <f t="shared" si="78"/>
        <v>720</v>
      </c>
      <c r="L1550" s="1">
        <v>5760</v>
      </c>
      <c r="M1550" s="93">
        <f t="shared" si="75"/>
        <v>0</v>
      </c>
      <c r="N1550" s="2"/>
      <c r="O1550" s="97"/>
      <c r="P1550" s="52">
        <v>1</v>
      </c>
    </row>
    <row r="1551" spans="1:16" ht="40.950000000000003" customHeight="1" x14ac:dyDescent="0.3">
      <c r="A1551" s="4">
        <v>83</v>
      </c>
      <c r="B1551" s="10" t="s">
        <v>1545</v>
      </c>
      <c r="C1551" s="10"/>
      <c r="D1551" s="10"/>
      <c r="E1551" s="10"/>
      <c r="F1551" s="10" t="s">
        <v>1546</v>
      </c>
      <c r="G1551" s="4" t="s">
        <v>14</v>
      </c>
      <c r="H1551" s="4">
        <v>2</v>
      </c>
      <c r="I1551" s="4">
        <f t="shared" si="76"/>
        <v>2586059</v>
      </c>
      <c r="J1551" s="4">
        <v>2586059</v>
      </c>
      <c r="K1551" s="4">
        <f t="shared" si="78"/>
        <v>0</v>
      </c>
      <c r="L1551" s="1">
        <v>2586059</v>
      </c>
      <c r="M1551" s="93">
        <f t="shared" si="75"/>
        <v>0</v>
      </c>
      <c r="N1551" s="2"/>
      <c r="O1551" s="97"/>
      <c r="P1551" s="52">
        <v>1</v>
      </c>
    </row>
    <row r="1552" spans="1:16" ht="40.950000000000003" customHeight="1" x14ac:dyDescent="0.3">
      <c r="A1552" s="4">
        <v>84</v>
      </c>
      <c r="B1552" s="10" t="s">
        <v>1565</v>
      </c>
      <c r="C1552" s="10"/>
      <c r="D1552" s="10"/>
      <c r="E1552" s="10"/>
      <c r="F1552" s="10" t="s">
        <v>989</v>
      </c>
      <c r="G1552" s="4" t="s">
        <v>14</v>
      </c>
      <c r="H1552" s="4">
        <v>2</v>
      </c>
      <c r="I1552" s="4">
        <f t="shared" si="76"/>
        <v>425075</v>
      </c>
      <c r="J1552" s="4">
        <v>425075</v>
      </c>
      <c r="K1552" s="4">
        <f t="shared" si="78"/>
        <v>0</v>
      </c>
      <c r="L1552" s="1">
        <v>425075</v>
      </c>
      <c r="M1552" s="93">
        <f t="shared" si="75"/>
        <v>0</v>
      </c>
      <c r="N1552" s="2"/>
      <c r="O1552" s="97"/>
      <c r="P1552" s="52">
        <v>1</v>
      </c>
    </row>
    <row r="1553" spans="1:16" ht="31.2" x14ac:dyDescent="0.3">
      <c r="A1553" s="4">
        <v>95</v>
      </c>
      <c r="B1553" s="10" t="s">
        <v>1791</v>
      </c>
      <c r="C1553" s="10"/>
      <c r="D1553" s="10"/>
      <c r="E1553" s="10"/>
      <c r="F1553" s="253" t="s">
        <v>1792</v>
      </c>
      <c r="G1553" s="4" t="s">
        <v>169</v>
      </c>
      <c r="H1553" s="4">
        <v>3</v>
      </c>
      <c r="I1553" s="4">
        <f t="shared" si="76"/>
        <v>348977</v>
      </c>
      <c r="J1553" s="4">
        <v>348977</v>
      </c>
      <c r="K1553" s="4">
        <f t="shared" si="78"/>
        <v>0</v>
      </c>
      <c r="L1553" s="1">
        <v>348977</v>
      </c>
      <c r="M1553" s="93">
        <f t="shared" si="75"/>
        <v>0</v>
      </c>
      <c r="N1553" s="2"/>
      <c r="O1553" s="97"/>
      <c r="P1553" s="52">
        <v>1</v>
      </c>
    </row>
    <row r="1554" spans="1:16" ht="31.2" x14ac:dyDescent="0.3">
      <c r="A1554" s="4">
        <v>96</v>
      </c>
      <c r="B1554" s="10" t="s">
        <v>568</v>
      </c>
      <c r="C1554" s="10"/>
      <c r="D1554" s="10"/>
      <c r="E1554" s="10"/>
      <c r="F1554" s="253" t="s">
        <v>1349</v>
      </c>
      <c r="G1554" s="4" t="s">
        <v>14</v>
      </c>
      <c r="H1554" s="4">
        <v>2</v>
      </c>
      <c r="I1554" s="4">
        <f t="shared" si="76"/>
        <v>123190</v>
      </c>
      <c r="J1554" s="4">
        <v>123190</v>
      </c>
      <c r="K1554" s="4">
        <f t="shared" si="78"/>
        <v>0</v>
      </c>
      <c r="L1554" s="1">
        <v>123190</v>
      </c>
      <c r="M1554" s="93">
        <f t="shared" si="75"/>
        <v>0</v>
      </c>
      <c r="N1554" s="2"/>
      <c r="O1554" s="97"/>
      <c r="P1554" s="52">
        <v>1</v>
      </c>
    </row>
    <row r="1555" spans="1:16" ht="31.2" x14ac:dyDescent="0.3">
      <c r="A1555" s="4">
        <v>92</v>
      </c>
      <c r="B1555" s="10" t="s">
        <v>1749</v>
      </c>
      <c r="C1555" s="10"/>
      <c r="D1555" s="10"/>
      <c r="E1555" s="10"/>
      <c r="F1555" s="10" t="s">
        <v>1750</v>
      </c>
      <c r="G1555" s="4" t="s">
        <v>14</v>
      </c>
      <c r="H1555" s="4">
        <v>1</v>
      </c>
      <c r="I1555" s="4">
        <f t="shared" si="76"/>
        <v>9900</v>
      </c>
      <c r="J1555" s="4">
        <v>9900</v>
      </c>
      <c r="K1555" s="4">
        <f t="shared" si="78"/>
        <v>0</v>
      </c>
      <c r="L1555" s="1">
        <v>9900</v>
      </c>
      <c r="M1555" s="93">
        <f t="shared" si="75"/>
        <v>0</v>
      </c>
      <c r="N1555" s="2"/>
      <c r="O1555" s="97"/>
      <c r="P1555" s="52">
        <v>1</v>
      </c>
    </row>
    <row r="1556" spans="1:16" ht="31.8" customHeight="1" x14ac:dyDescent="0.3">
      <c r="A1556" s="4">
        <v>66</v>
      </c>
      <c r="B1556" s="10" t="s">
        <v>1055</v>
      </c>
      <c r="C1556" s="10"/>
      <c r="D1556" s="10"/>
      <c r="E1556" s="10"/>
      <c r="F1556" s="10" t="s">
        <v>1056</v>
      </c>
      <c r="G1556" s="4" t="s">
        <v>78</v>
      </c>
      <c r="H1556" s="4">
        <v>1</v>
      </c>
      <c r="I1556" s="4">
        <f t="shared" si="76"/>
        <v>100000</v>
      </c>
      <c r="J1556" s="4">
        <v>100000</v>
      </c>
      <c r="K1556" s="4">
        <f t="shared" si="78"/>
        <v>0</v>
      </c>
      <c r="L1556" s="1">
        <v>100000</v>
      </c>
      <c r="M1556" s="93">
        <f t="shared" si="75"/>
        <v>0</v>
      </c>
      <c r="N1556" s="2"/>
      <c r="O1556" s="97"/>
      <c r="P1556" s="52"/>
    </row>
    <row r="1557" spans="1:16" ht="31.2" x14ac:dyDescent="0.3">
      <c r="A1557" s="4">
        <v>206</v>
      </c>
      <c r="B1557" s="10" t="s">
        <v>126</v>
      </c>
      <c r="C1557" s="10"/>
      <c r="D1557" s="10"/>
      <c r="E1557" s="10"/>
      <c r="F1557" s="10" t="s">
        <v>1663</v>
      </c>
      <c r="G1557" s="4" t="s">
        <v>78</v>
      </c>
      <c r="H1557" s="4">
        <v>1</v>
      </c>
      <c r="I1557" s="4">
        <f t="shared" si="76"/>
        <v>72803</v>
      </c>
      <c r="J1557" s="4">
        <v>72803</v>
      </c>
      <c r="K1557" s="4">
        <f t="shared" si="78"/>
        <v>0</v>
      </c>
      <c r="L1557" s="1">
        <v>72803</v>
      </c>
      <c r="M1557" s="93">
        <f t="shared" si="75"/>
        <v>0</v>
      </c>
      <c r="N1557" s="2"/>
      <c r="O1557" s="97"/>
      <c r="P1557" s="52">
        <v>1</v>
      </c>
    </row>
    <row r="1558" spans="1:16" ht="31.2" x14ac:dyDescent="0.3">
      <c r="A1558" s="4">
        <v>89</v>
      </c>
      <c r="B1558" s="10" t="s">
        <v>1664</v>
      </c>
      <c r="C1558" s="10"/>
      <c r="D1558" s="10"/>
      <c r="E1558" s="10"/>
      <c r="F1558" s="10" t="s">
        <v>1663</v>
      </c>
      <c r="G1558" s="4" t="s">
        <v>78</v>
      </c>
      <c r="H1558" s="4">
        <v>2</v>
      </c>
      <c r="I1558" s="4">
        <f t="shared" si="76"/>
        <v>51065</v>
      </c>
      <c r="J1558" s="4">
        <v>51065</v>
      </c>
      <c r="K1558" s="4">
        <f t="shared" si="78"/>
        <v>0</v>
      </c>
      <c r="L1558" s="1">
        <v>51065</v>
      </c>
      <c r="M1558" s="93">
        <f t="shared" si="75"/>
        <v>0</v>
      </c>
      <c r="N1558" s="2"/>
      <c r="O1558" s="97"/>
      <c r="P1558" s="52">
        <v>1</v>
      </c>
    </row>
    <row r="1559" spans="1:16" ht="31.2" x14ac:dyDescent="0.3">
      <c r="A1559" s="4">
        <v>91</v>
      </c>
      <c r="B1559" s="10" t="s">
        <v>1667</v>
      </c>
      <c r="C1559" s="10"/>
      <c r="D1559" s="10"/>
      <c r="E1559" s="10"/>
      <c r="F1559" s="10" t="s">
        <v>1668</v>
      </c>
      <c r="G1559" s="4" t="s">
        <v>78</v>
      </c>
      <c r="H1559" s="4">
        <v>4</v>
      </c>
      <c r="I1559" s="4">
        <f t="shared" si="76"/>
        <v>582680.5</v>
      </c>
      <c r="J1559" s="4">
        <v>582680.5</v>
      </c>
      <c r="K1559" s="4">
        <f t="shared" si="78"/>
        <v>0</v>
      </c>
      <c r="L1559" s="1">
        <v>582680.5</v>
      </c>
      <c r="M1559" s="93">
        <f t="shared" si="75"/>
        <v>0</v>
      </c>
      <c r="N1559" s="2"/>
      <c r="O1559" s="97"/>
      <c r="P1559" s="52">
        <v>1</v>
      </c>
    </row>
    <row r="1560" spans="1:16" ht="31.2" x14ac:dyDescent="0.3">
      <c r="A1560" s="4">
        <v>93</v>
      </c>
      <c r="B1560" s="10" t="s">
        <v>1768</v>
      </c>
      <c r="C1560" s="10"/>
      <c r="D1560" s="10"/>
      <c r="E1560" s="10"/>
      <c r="F1560" s="253" t="s">
        <v>1766</v>
      </c>
      <c r="G1560" s="4" t="s">
        <v>78</v>
      </c>
      <c r="H1560" s="4">
        <v>1</v>
      </c>
      <c r="I1560" s="4">
        <f t="shared" si="76"/>
        <v>59200</v>
      </c>
      <c r="J1560" s="4">
        <v>59200</v>
      </c>
      <c r="K1560" s="4">
        <f t="shared" si="78"/>
        <v>0</v>
      </c>
      <c r="L1560" s="1">
        <v>59200</v>
      </c>
      <c r="M1560" s="93">
        <f t="shared" si="75"/>
        <v>0</v>
      </c>
      <c r="N1560" s="2"/>
      <c r="O1560" s="97"/>
      <c r="P1560" s="52">
        <v>1</v>
      </c>
    </row>
    <row r="1561" spans="1:16" ht="31.2" x14ac:dyDescent="0.3">
      <c r="A1561" s="4">
        <v>94</v>
      </c>
      <c r="B1561" s="10" t="s">
        <v>1682</v>
      </c>
      <c r="C1561" s="10"/>
      <c r="D1561" s="10"/>
      <c r="E1561" s="10"/>
      <c r="F1561" s="253" t="s">
        <v>83</v>
      </c>
      <c r="G1561" s="4" t="s">
        <v>78</v>
      </c>
      <c r="H1561" s="4">
        <v>2</v>
      </c>
      <c r="I1561" s="4">
        <f t="shared" si="76"/>
        <v>34307.75</v>
      </c>
      <c r="J1561" s="4">
        <v>34307.75</v>
      </c>
      <c r="K1561" s="4">
        <f t="shared" si="78"/>
        <v>0</v>
      </c>
      <c r="L1561" s="1">
        <v>34307.75</v>
      </c>
      <c r="M1561" s="93">
        <f t="shared" si="75"/>
        <v>0</v>
      </c>
      <c r="N1561" s="2"/>
      <c r="O1561" s="97"/>
      <c r="P1561" s="52">
        <v>1</v>
      </c>
    </row>
    <row r="1562" spans="1:16" ht="33" customHeight="1" x14ac:dyDescent="0.3">
      <c r="A1562" s="4">
        <v>80</v>
      </c>
      <c r="B1562" s="10" t="s">
        <v>1095</v>
      </c>
      <c r="C1562" s="10"/>
      <c r="D1562" s="10"/>
      <c r="E1562" s="10"/>
      <c r="F1562" s="10" t="s">
        <v>1056</v>
      </c>
      <c r="G1562" s="4" t="s">
        <v>78</v>
      </c>
      <c r="H1562" s="4">
        <v>2</v>
      </c>
      <c r="I1562" s="4">
        <f t="shared" si="76"/>
        <v>80688</v>
      </c>
      <c r="J1562" s="4">
        <v>80688</v>
      </c>
      <c r="K1562" s="4">
        <f t="shared" si="78"/>
        <v>0</v>
      </c>
      <c r="L1562" s="1">
        <v>80688</v>
      </c>
      <c r="M1562" s="93">
        <f t="shared" si="75"/>
        <v>0</v>
      </c>
      <c r="N1562" s="2"/>
      <c r="O1562" s="97"/>
      <c r="P1562" s="52">
        <v>1</v>
      </c>
    </row>
    <row r="1563" spans="1:16" ht="31.2" x14ac:dyDescent="0.3">
      <c r="A1563" s="4">
        <v>97</v>
      </c>
      <c r="B1563" s="10" t="s">
        <v>1752</v>
      </c>
      <c r="C1563" s="10"/>
      <c r="D1563" s="10"/>
      <c r="E1563" s="10"/>
      <c r="F1563" s="235" t="s">
        <v>1248</v>
      </c>
      <c r="G1563" s="4" t="s">
        <v>78</v>
      </c>
      <c r="H1563" s="4">
        <v>1</v>
      </c>
      <c r="I1563" s="4">
        <f t="shared" si="76"/>
        <v>132500</v>
      </c>
      <c r="J1563" s="4">
        <v>132500</v>
      </c>
      <c r="K1563" s="4">
        <f t="shared" si="78"/>
        <v>0</v>
      </c>
      <c r="L1563" s="1">
        <v>132500</v>
      </c>
      <c r="M1563" s="93">
        <f t="shared" si="75"/>
        <v>0</v>
      </c>
      <c r="N1563" s="2"/>
      <c r="O1563" s="97"/>
      <c r="P1563" s="52">
        <v>1</v>
      </c>
    </row>
    <row r="1564" spans="1:16" ht="31.2" x14ac:dyDescent="0.3">
      <c r="A1564" s="4">
        <v>98</v>
      </c>
      <c r="B1564" s="10" t="s">
        <v>1753</v>
      </c>
      <c r="C1564" s="10"/>
      <c r="D1564" s="10"/>
      <c r="E1564" s="10"/>
      <c r="F1564" s="235" t="s">
        <v>1248</v>
      </c>
      <c r="G1564" s="4" t="s">
        <v>78</v>
      </c>
      <c r="H1564" s="4">
        <v>3</v>
      </c>
      <c r="I1564" s="4">
        <f t="shared" si="76"/>
        <v>311150</v>
      </c>
      <c r="J1564" s="4">
        <v>311150</v>
      </c>
      <c r="K1564" s="4">
        <f t="shared" si="78"/>
        <v>0</v>
      </c>
      <c r="L1564" s="1">
        <v>311150</v>
      </c>
      <c r="M1564" s="93">
        <f t="shared" si="75"/>
        <v>0</v>
      </c>
      <c r="N1564" s="2"/>
      <c r="O1564" s="97"/>
      <c r="P1564" s="52">
        <v>1</v>
      </c>
    </row>
    <row r="1565" spans="1:16" ht="31.2" x14ac:dyDescent="0.3">
      <c r="A1565" s="4">
        <v>99</v>
      </c>
      <c r="B1565" s="10" t="s">
        <v>1809</v>
      </c>
      <c r="C1565" s="10"/>
      <c r="D1565" s="10"/>
      <c r="E1565" s="10"/>
      <c r="F1565" s="235" t="s">
        <v>1248</v>
      </c>
      <c r="G1565" s="4" t="s">
        <v>78</v>
      </c>
      <c r="H1565" s="4">
        <v>1</v>
      </c>
      <c r="I1565" s="4">
        <f t="shared" si="76"/>
        <v>74340</v>
      </c>
      <c r="J1565" s="4">
        <v>74340</v>
      </c>
      <c r="K1565" s="4">
        <f t="shared" si="78"/>
        <v>0</v>
      </c>
      <c r="L1565" s="1">
        <v>74340</v>
      </c>
      <c r="M1565" s="93">
        <f t="shared" ref="M1565:M1566" si="82">O1565-N1565</f>
        <v>0</v>
      </c>
      <c r="N1565" s="2"/>
      <c r="O1565" s="97"/>
      <c r="P1565" s="52">
        <v>1</v>
      </c>
    </row>
    <row r="1566" spans="1:16" ht="31.2" x14ac:dyDescent="0.3">
      <c r="A1566" s="4">
        <v>100</v>
      </c>
      <c r="B1566" s="10" t="s">
        <v>1824</v>
      </c>
      <c r="C1566" s="10"/>
      <c r="D1566" s="10"/>
      <c r="E1566" s="10"/>
      <c r="F1566" s="235" t="s">
        <v>1248</v>
      </c>
      <c r="G1566" s="4" t="s">
        <v>78</v>
      </c>
      <c r="H1566" s="4">
        <v>1</v>
      </c>
      <c r="I1566" s="4">
        <f t="shared" si="76"/>
        <v>34830</v>
      </c>
      <c r="J1566" s="4">
        <v>34830</v>
      </c>
      <c r="K1566" s="4">
        <f t="shared" si="78"/>
        <v>0</v>
      </c>
      <c r="L1566" s="1">
        <v>34830</v>
      </c>
      <c r="M1566" s="93">
        <f t="shared" si="82"/>
        <v>0</v>
      </c>
      <c r="N1566" s="2"/>
      <c r="O1566" s="97"/>
      <c r="P1566" s="52">
        <v>1</v>
      </c>
    </row>
    <row r="1567" spans="1:16" customFormat="1" ht="31.8" thickBot="1" x14ac:dyDescent="0.35">
      <c r="A1567" s="313"/>
      <c r="B1567" s="314"/>
      <c r="C1567" s="315"/>
      <c r="D1567" s="316"/>
      <c r="E1567" s="317"/>
      <c r="F1567" s="318"/>
      <c r="G1567" s="313"/>
      <c r="H1567" s="313"/>
      <c r="I1567" s="313"/>
      <c r="J1567" s="313"/>
      <c r="K1567" s="313"/>
      <c r="L1567" s="313"/>
      <c r="M1567" s="313"/>
      <c r="N1567" s="313"/>
      <c r="O1567" s="313"/>
      <c r="P1567" s="319"/>
    </row>
    <row r="1568" spans="1:16" ht="72.75" customHeight="1" thickBot="1" x14ac:dyDescent="0.35">
      <c r="A1568" s="126" t="s">
        <v>1</v>
      </c>
      <c r="B1568" s="83" t="s">
        <v>1843</v>
      </c>
      <c r="C1568" s="127" t="s">
        <v>309</v>
      </c>
      <c r="D1568" s="138" t="s">
        <v>284</v>
      </c>
      <c r="E1568" s="125" t="s">
        <v>285</v>
      </c>
      <c r="F1568" s="83" t="s">
        <v>5</v>
      </c>
      <c r="G1568" s="28" t="s">
        <v>492</v>
      </c>
      <c r="H1568" s="83" t="s">
        <v>1010</v>
      </c>
      <c r="I1568" s="320"/>
      <c r="J1568" s="324"/>
      <c r="K1568" s="325"/>
      <c r="L1568" s="324"/>
      <c r="M1568" s="324"/>
      <c r="N1568" s="324"/>
      <c r="O1568" s="324"/>
      <c r="P1568" s="321"/>
    </row>
    <row r="1569" spans="1:18" ht="34.799999999999997" customHeight="1" x14ac:dyDescent="0.4">
      <c r="A1569" s="4">
        <v>0</v>
      </c>
      <c r="B1569" s="10" t="s">
        <v>1848</v>
      </c>
      <c r="C1569" s="10"/>
      <c r="D1569" s="10"/>
      <c r="E1569" s="10"/>
      <c r="F1569" s="10" t="s">
        <v>1844</v>
      </c>
      <c r="G1569" s="10" t="s">
        <v>1845</v>
      </c>
      <c r="H1569" s="4">
        <v>8</v>
      </c>
      <c r="I1569" s="4">
        <v>0</v>
      </c>
      <c r="J1569" s="4">
        <v>2586028</v>
      </c>
      <c r="K1569" s="4">
        <f>L1569-J1569</f>
        <v>35510</v>
      </c>
      <c r="L1569" s="146">
        <v>2621538</v>
      </c>
      <c r="M1569" s="323"/>
      <c r="N1569" s="323">
        <v>2604248</v>
      </c>
      <c r="O1569" s="323"/>
      <c r="P1569" s="328">
        <f>N1569-L1569</f>
        <v>-17290</v>
      </c>
      <c r="Q1569" s="329" t="s">
        <v>1851</v>
      </c>
      <c r="R1569" s="152"/>
    </row>
    <row r="1570" spans="1:18" ht="34.799999999999997" customHeight="1" x14ac:dyDescent="0.4">
      <c r="A1570" s="4">
        <v>0</v>
      </c>
      <c r="B1570" s="10" t="s">
        <v>1857</v>
      </c>
      <c r="C1570" s="10"/>
      <c r="D1570" s="10"/>
      <c r="E1570" s="10"/>
      <c r="F1570" s="10" t="s">
        <v>1844</v>
      </c>
      <c r="G1570" s="10" t="s">
        <v>1845</v>
      </c>
      <c r="H1570" s="4">
        <v>2</v>
      </c>
      <c r="I1570" s="4">
        <v>0</v>
      </c>
      <c r="J1570" s="4">
        <v>74741</v>
      </c>
      <c r="K1570" s="61">
        <f>L1570-J1570</f>
        <v>0</v>
      </c>
      <c r="L1570" s="333">
        <v>74741</v>
      </c>
      <c r="M1570" s="323"/>
      <c r="N1570" s="332"/>
      <c r="O1570" s="323"/>
      <c r="P1570" s="328"/>
      <c r="Q1570" s="329"/>
      <c r="R1570" s="152"/>
    </row>
    <row r="1571" spans="1:18" ht="34.799999999999997" customHeight="1" x14ac:dyDescent="0.4">
      <c r="A1571" s="4">
        <v>0</v>
      </c>
      <c r="B1571" s="10" t="s">
        <v>1850</v>
      </c>
      <c r="C1571" s="10"/>
      <c r="D1571" s="10"/>
      <c r="E1571" s="10"/>
      <c r="F1571" s="10" t="s">
        <v>1844</v>
      </c>
      <c r="G1571" s="10" t="s">
        <v>1845</v>
      </c>
      <c r="H1571" s="4">
        <v>8</v>
      </c>
      <c r="I1571" s="4">
        <v>0</v>
      </c>
      <c r="J1571" s="4">
        <v>1689131</v>
      </c>
      <c r="K1571" s="61">
        <f>L1571-J1571</f>
        <v>3220</v>
      </c>
      <c r="L1571" s="333">
        <v>1692351</v>
      </c>
      <c r="M1571" s="323"/>
      <c r="N1571" s="332"/>
      <c r="O1571" s="323"/>
      <c r="P1571" s="328"/>
      <c r="Q1571" s="329"/>
      <c r="R1571" s="152"/>
    </row>
    <row r="1572" spans="1:18" ht="34.799999999999997" customHeight="1" x14ac:dyDescent="0.4">
      <c r="A1572" s="4">
        <v>0</v>
      </c>
      <c r="B1572" s="10" t="s">
        <v>1852</v>
      </c>
      <c r="C1572" s="10"/>
      <c r="D1572" s="10"/>
      <c r="E1572" s="10"/>
      <c r="F1572" s="10" t="s">
        <v>1844</v>
      </c>
      <c r="G1572" s="10" t="s">
        <v>1845</v>
      </c>
      <c r="H1572" s="4">
        <v>2</v>
      </c>
      <c r="I1572" s="4">
        <v>0</v>
      </c>
      <c r="J1572" s="4">
        <v>23500</v>
      </c>
      <c r="K1572" s="4">
        <f>L1572-J1572</f>
        <v>0</v>
      </c>
      <c r="L1572" s="146">
        <v>23500</v>
      </c>
      <c r="M1572" s="323"/>
      <c r="N1572" s="323"/>
      <c r="O1572" s="323"/>
      <c r="P1572" s="328"/>
      <c r="Q1572" s="329"/>
      <c r="R1572" s="152"/>
    </row>
    <row r="1573" spans="1:18" ht="34.799999999999997" customHeight="1" x14ac:dyDescent="0.4">
      <c r="A1573" s="4">
        <v>0</v>
      </c>
      <c r="B1573" s="10" t="s">
        <v>1853</v>
      </c>
      <c r="C1573" s="10"/>
      <c r="D1573" s="10"/>
      <c r="E1573" s="10"/>
      <c r="F1573" s="10" t="s">
        <v>1844</v>
      </c>
      <c r="G1573" s="10" t="s">
        <v>1845</v>
      </c>
      <c r="H1573" s="4">
        <v>2</v>
      </c>
      <c r="I1573" s="4">
        <v>0</v>
      </c>
      <c r="J1573" s="4">
        <v>76570</v>
      </c>
      <c r="K1573" s="4">
        <f>L1573-J1573</f>
        <v>0</v>
      </c>
      <c r="L1573" s="146">
        <v>76570</v>
      </c>
      <c r="M1573" s="323"/>
      <c r="N1573" s="323"/>
      <c r="O1573" s="323"/>
      <c r="P1573" s="328"/>
      <c r="Q1573" s="329"/>
      <c r="R1573" s="152"/>
    </row>
    <row r="1574" spans="1:18" ht="31.2" x14ac:dyDescent="0.3">
      <c r="A1574" s="4">
        <v>90</v>
      </c>
      <c r="B1574" s="10" t="s">
        <v>1665</v>
      </c>
      <c r="C1574" s="10"/>
      <c r="D1574" s="10"/>
      <c r="E1574" s="10"/>
      <c r="F1574" s="10" t="s">
        <v>1666</v>
      </c>
      <c r="G1574" s="4" t="s">
        <v>78</v>
      </c>
      <c r="H1574" s="4">
        <v>2</v>
      </c>
      <c r="I1574" s="4">
        <f t="shared" ref="I1574" si="83">J1574-O1574</f>
        <v>191750</v>
      </c>
      <c r="J1574" s="4">
        <v>191750</v>
      </c>
      <c r="K1574" s="4">
        <f t="shared" ref="K1574" si="84">L1574-J1574</f>
        <v>0</v>
      </c>
      <c r="L1574" s="146">
        <v>191750</v>
      </c>
      <c r="M1574" s="146">
        <f t="shared" ref="M1574" si="85">O1574-N1574</f>
        <v>0</v>
      </c>
      <c r="N1574" s="146"/>
      <c r="O1574" s="146"/>
      <c r="P1574" s="52">
        <v>1</v>
      </c>
    </row>
    <row r="1575" spans="1:18" ht="31.2" x14ac:dyDescent="0.3">
      <c r="A1575" s="4">
        <v>100</v>
      </c>
      <c r="B1575" s="10" t="s">
        <v>1837</v>
      </c>
      <c r="C1575" s="10"/>
      <c r="D1575" s="10"/>
      <c r="E1575" s="10"/>
      <c r="F1575" s="253" t="s">
        <v>1838</v>
      </c>
      <c r="G1575" s="4" t="s">
        <v>1235</v>
      </c>
      <c r="H1575" s="4">
        <v>1</v>
      </c>
      <c r="I1575" s="4">
        <f t="shared" ref="I1575:I1597" si="86">J1575-O1575</f>
        <v>223600</v>
      </c>
      <c r="J1575" s="4">
        <v>223600</v>
      </c>
      <c r="K1575" s="4">
        <f t="shared" ref="K1575:K1582" si="87">L1575-J1575</f>
        <v>0</v>
      </c>
      <c r="L1575" s="146">
        <v>223600</v>
      </c>
      <c r="M1575" s="146">
        <f t="shared" ref="M1575:M1576" si="88">O1575-N1575</f>
        <v>0</v>
      </c>
      <c r="N1575" s="146"/>
      <c r="O1575" s="146"/>
      <c r="P1575" s="52"/>
    </row>
    <row r="1576" spans="1:18" ht="31.2" x14ac:dyDescent="0.3">
      <c r="A1576" s="4">
        <v>101</v>
      </c>
      <c r="B1576" s="10" t="s">
        <v>1839</v>
      </c>
      <c r="C1576" s="10"/>
      <c r="D1576" s="10"/>
      <c r="E1576" s="10"/>
      <c r="F1576" s="253" t="s">
        <v>1838</v>
      </c>
      <c r="G1576" s="4" t="s">
        <v>1235</v>
      </c>
      <c r="H1576" s="4">
        <v>3</v>
      </c>
      <c r="I1576" s="4">
        <f t="shared" si="86"/>
        <v>749344</v>
      </c>
      <c r="J1576" s="4">
        <v>749344</v>
      </c>
      <c r="K1576" s="4">
        <f t="shared" si="87"/>
        <v>0</v>
      </c>
      <c r="L1576" s="146">
        <v>749344</v>
      </c>
      <c r="M1576" s="146">
        <f t="shared" si="88"/>
        <v>0</v>
      </c>
      <c r="N1576" s="146"/>
      <c r="O1576" s="146"/>
      <c r="P1576" s="52"/>
    </row>
    <row r="1577" spans="1:18" ht="31.2" x14ac:dyDescent="0.3">
      <c r="A1577" s="4">
        <v>102</v>
      </c>
      <c r="B1577" s="171" t="s">
        <v>1842</v>
      </c>
      <c r="C1577" s="10"/>
      <c r="D1577" s="10"/>
      <c r="E1577" s="10"/>
      <c r="F1577" s="253" t="s">
        <v>1123</v>
      </c>
      <c r="G1577" s="4" t="s">
        <v>1235</v>
      </c>
      <c r="H1577" s="4">
        <v>6</v>
      </c>
      <c r="I1577" s="4">
        <f t="shared" si="86"/>
        <v>443815</v>
      </c>
      <c r="J1577" s="4">
        <v>443815</v>
      </c>
      <c r="K1577" s="4">
        <f t="shared" si="87"/>
        <v>0</v>
      </c>
      <c r="L1577" s="146">
        <v>443815</v>
      </c>
      <c r="M1577" s="146"/>
      <c r="N1577" s="146"/>
      <c r="O1577" s="146"/>
      <c r="P1577" s="322">
        <v>0</v>
      </c>
      <c r="Q1577" s="298"/>
    </row>
    <row r="1578" spans="1:18" ht="31.2" x14ac:dyDescent="0.3">
      <c r="A1578" s="4">
        <v>102</v>
      </c>
      <c r="B1578" s="171" t="s">
        <v>1892</v>
      </c>
      <c r="C1578" s="10"/>
      <c r="D1578" s="10"/>
      <c r="E1578" s="10"/>
      <c r="F1578" s="253" t="s">
        <v>1876</v>
      </c>
      <c r="G1578" s="4" t="s">
        <v>1235</v>
      </c>
      <c r="H1578" s="4">
        <v>1</v>
      </c>
      <c r="I1578" s="4">
        <f t="shared" ref="I1578:I1581" si="89">J1578-O1578</f>
        <v>5980</v>
      </c>
      <c r="J1578" s="4">
        <v>5980</v>
      </c>
      <c r="K1578" s="4">
        <f t="shared" ref="K1578:K1581" si="90">L1578-J1578</f>
        <v>0</v>
      </c>
      <c r="L1578" s="146">
        <v>5980</v>
      </c>
      <c r="M1578" s="146"/>
      <c r="N1578" s="146"/>
      <c r="O1578" s="146"/>
      <c r="P1578" s="322">
        <v>0</v>
      </c>
      <c r="Q1578" s="298"/>
    </row>
    <row r="1579" spans="1:18" ht="31.2" x14ac:dyDescent="0.3">
      <c r="A1579" s="4">
        <v>103</v>
      </c>
      <c r="B1579" s="171" t="s">
        <v>1858</v>
      </c>
      <c r="C1579" s="10"/>
      <c r="D1579" s="10"/>
      <c r="E1579" s="10"/>
      <c r="F1579" s="253" t="s">
        <v>1123</v>
      </c>
      <c r="G1579" s="4" t="s">
        <v>1235</v>
      </c>
      <c r="H1579" s="4">
        <v>1</v>
      </c>
      <c r="I1579" s="4">
        <f t="shared" ref="I1579" si="91">J1579-O1579</f>
        <v>90000</v>
      </c>
      <c r="J1579" s="4">
        <v>90000</v>
      </c>
      <c r="K1579" s="4">
        <f t="shared" ref="K1579" si="92">L1579-J1579</f>
        <v>0</v>
      </c>
      <c r="L1579" s="146">
        <v>90000</v>
      </c>
      <c r="M1579" s="146"/>
      <c r="N1579" s="146"/>
      <c r="O1579" s="146"/>
      <c r="P1579" s="322">
        <v>0</v>
      </c>
      <c r="Q1579" s="298"/>
    </row>
    <row r="1580" spans="1:18" ht="31.2" x14ac:dyDescent="0.3">
      <c r="A1580" s="4">
        <v>104</v>
      </c>
      <c r="B1580" s="171" t="s">
        <v>1875</v>
      </c>
      <c r="C1580" s="10"/>
      <c r="D1580" s="10"/>
      <c r="E1580" s="10"/>
      <c r="F1580" s="253" t="s">
        <v>1123</v>
      </c>
      <c r="G1580" s="4" t="s">
        <v>1235</v>
      </c>
      <c r="H1580" s="4">
        <v>1</v>
      </c>
      <c r="I1580" s="4">
        <f t="shared" si="89"/>
        <v>31995</v>
      </c>
      <c r="J1580" s="4">
        <v>31995</v>
      </c>
      <c r="K1580" s="4">
        <f t="shared" si="90"/>
        <v>0</v>
      </c>
      <c r="L1580" s="146">
        <v>31995</v>
      </c>
      <c r="M1580" s="146"/>
      <c r="N1580" s="146"/>
      <c r="O1580" s="146"/>
      <c r="P1580" s="322">
        <v>0</v>
      </c>
      <c r="Q1580" s="298"/>
    </row>
    <row r="1581" spans="1:18" ht="31.2" x14ac:dyDescent="0.3">
      <c r="A1581" s="4">
        <v>105</v>
      </c>
      <c r="B1581" s="171" t="s">
        <v>1162</v>
      </c>
      <c r="C1581" s="10"/>
      <c r="D1581" s="10"/>
      <c r="E1581" s="10"/>
      <c r="F1581" s="253" t="s">
        <v>1859</v>
      </c>
      <c r="G1581" s="4" t="s">
        <v>1235</v>
      </c>
      <c r="H1581" s="4">
        <v>3</v>
      </c>
      <c r="I1581" s="4">
        <f t="shared" si="89"/>
        <v>91395</v>
      </c>
      <c r="J1581" s="4">
        <v>91395</v>
      </c>
      <c r="K1581" s="4">
        <f t="shared" si="90"/>
        <v>0</v>
      </c>
      <c r="L1581" s="146">
        <v>91395</v>
      </c>
      <c r="M1581" s="146"/>
      <c r="N1581" s="146"/>
      <c r="O1581" s="146"/>
      <c r="P1581" s="322">
        <v>0</v>
      </c>
      <c r="Q1581" s="298"/>
    </row>
    <row r="1582" spans="1:18" ht="31.2" x14ac:dyDescent="0.3">
      <c r="A1582" s="4">
        <v>106</v>
      </c>
      <c r="B1582" s="171" t="s">
        <v>1877</v>
      </c>
      <c r="C1582" s="10"/>
      <c r="D1582" s="10"/>
      <c r="E1582" s="10"/>
      <c r="F1582" s="253" t="s">
        <v>1876</v>
      </c>
      <c r="G1582" s="4" t="s">
        <v>1235</v>
      </c>
      <c r="H1582" s="4">
        <v>1</v>
      </c>
      <c r="I1582" s="4">
        <f t="shared" si="86"/>
        <v>68280</v>
      </c>
      <c r="J1582" s="4">
        <v>68280</v>
      </c>
      <c r="K1582" s="4">
        <f t="shared" si="87"/>
        <v>0</v>
      </c>
      <c r="L1582" s="146">
        <v>68280</v>
      </c>
      <c r="M1582" s="146"/>
      <c r="N1582" s="146"/>
      <c r="O1582" s="146"/>
      <c r="P1582" s="322">
        <v>0</v>
      </c>
      <c r="Q1582" s="298"/>
    </row>
    <row r="1583" spans="1:18" ht="31.2" x14ac:dyDescent="0.3">
      <c r="A1583" s="4">
        <v>107</v>
      </c>
      <c r="B1583" s="10" t="s">
        <v>1841</v>
      </c>
      <c r="C1583" s="10"/>
      <c r="D1583" s="10"/>
      <c r="E1583" s="10"/>
      <c r="F1583" s="235" t="s">
        <v>1248</v>
      </c>
      <c r="G1583" s="4" t="s">
        <v>1235</v>
      </c>
      <c r="H1583" s="4">
        <v>1</v>
      </c>
      <c r="I1583" s="4">
        <f t="shared" si="86"/>
        <v>-72802</v>
      </c>
      <c r="J1583" s="4">
        <v>546250</v>
      </c>
      <c r="K1583" s="4">
        <f t="shared" si="78"/>
        <v>0</v>
      </c>
      <c r="L1583" s="146">
        <v>546250</v>
      </c>
      <c r="M1583" s="146"/>
      <c r="N1583" s="146">
        <v>807500</v>
      </c>
      <c r="O1583" s="146">
        <v>619052</v>
      </c>
      <c r="P1583" s="322">
        <f>N1583-O1583</f>
        <v>188448</v>
      </c>
      <c r="Q1583" s="298"/>
    </row>
    <row r="1584" spans="1:18" ht="31.2" x14ac:dyDescent="0.3">
      <c r="A1584" s="4">
        <v>108</v>
      </c>
      <c r="B1584" s="10" t="s">
        <v>1860</v>
      </c>
      <c r="C1584" s="10"/>
      <c r="D1584" s="10"/>
      <c r="E1584" s="10"/>
      <c r="F1584" s="235" t="s">
        <v>1248</v>
      </c>
      <c r="G1584" s="4" t="s">
        <v>1235</v>
      </c>
      <c r="H1584" s="4">
        <v>1</v>
      </c>
      <c r="I1584" s="4">
        <f t="shared" si="86"/>
        <v>5185</v>
      </c>
      <c r="J1584" s="4">
        <v>27000</v>
      </c>
      <c r="K1584" s="4">
        <f t="shared" si="78"/>
        <v>0</v>
      </c>
      <c r="L1584" s="146">
        <v>27000</v>
      </c>
      <c r="M1584" s="146"/>
      <c r="N1584" s="146">
        <v>27000</v>
      </c>
      <c r="O1584" s="146">
        <v>21815</v>
      </c>
      <c r="P1584" s="322">
        <f t="shared" ref="P1584:P1597" si="93">N1584-O1584</f>
        <v>5185</v>
      </c>
      <c r="Q1584" s="298"/>
    </row>
    <row r="1585" spans="1:17" ht="31.2" x14ac:dyDescent="0.3">
      <c r="A1585" s="4">
        <v>109</v>
      </c>
      <c r="B1585" s="10" t="s">
        <v>1861</v>
      </c>
      <c r="C1585" s="10"/>
      <c r="D1585" s="10"/>
      <c r="E1585" s="10"/>
      <c r="F1585" s="235" t="s">
        <v>1248</v>
      </c>
      <c r="G1585" s="4" t="s">
        <v>1235</v>
      </c>
      <c r="H1585" s="4">
        <v>2</v>
      </c>
      <c r="I1585" s="4">
        <f t="shared" si="86"/>
        <v>79898</v>
      </c>
      <c r="J1585" s="4">
        <v>324800</v>
      </c>
      <c r="K1585" s="4">
        <f t="shared" si="78"/>
        <v>0</v>
      </c>
      <c r="L1585" s="146">
        <v>324800</v>
      </c>
      <c r="M1585" s="146"/>
      <c r="N1585" s="146">
        <v>324800</v>
      </c>
      <c r="O1585" s="146">
        <v>244902</v>
      </c>
      <c r="P1585" s="322">
        <f t="shared" si="93"/>
        <v>79898</v>
      </c>
      <c r="Q1585" s="298"/>
    </row>
    <row r="1586" spans="1:17" ht="31.2" x14ac:dyDescent="0.3">
      <c r="A1586" s="4">
        <v>110</v>
      </c>
      <c r="B1586" s="10" t="s">
        <v>1862</v>
      </c>
      <c r="C1586" s="10"/>
      <c r="D1586" s="10"/>
      <c r="E1586" s="10"/>
      <c r="F1586" s="235" t="s">
        <v>1248</v>
      </c>
      <c r="G1586" s="4" t="s">
        <v>1235</v>
      </c>
      <c r="H1586" s="4">
        <v>1</v>
      </c>
      <c r="I1586" s="4">
        <f t="shared" si="86"/>
        <v>18690</v>
      </c>
      <c r="J1586" s="4">
        <v>95985</v>
      </c>
      <c r="K1586" s="4">
        <f t="shared" si="78"/>
        <v>0</v>
      </c>
      <c r="L1586" s="146">
        <v>95985</v>
      </c>
      <c r="M1586" s="146"/>
      <c r="N1586" s="146">
        <v>95985</v>
      </c>
      <c r="O1586" s="146">
        <v>77295</v>
      </c>
      <c r="P1586" s="322">
        <f t="shared" si="93"/>
        <v>18690</v>
      </c>
      <c r="Q1586" s="298"/>
    </row>
    <row r="1587" spans="1:17" ht="31.2" x14ac:dyDescent="0.3">
      <c r="A1587" s="4">
        <v>111</v>
      </c>
      <c r="B1587" s="10" t="s">
        <v>1863</v>
      </c>
      <c r="C1587" s="10"/>
      <c r="D1587" s="10"/>
      <c r="E1587" s="10"/>
      <c r="F1587" s="235" t="s">
        <v>1248</v>
      </c>
      <c r="G1587" s="4" t="s">
        <v>1235</v>
      </c>
      <c r="H1587" s="4">
        <v>1</v>
      </c>
      <c r="I1587" s="4">
        <f t="shared" si="86"/>
        <v>39512</v>
      </c>
      <c r="J1587" s="4">
        <v>150984</v>
      </c>
      <c r="K1587" s="4">
        <f t="shared" si="78"/>
        <v>0</v>
      </c>
      <c r="L1587" s="146">
        <v>150984</v>
      </c>
      <c r="M1587" s="146"/>
      <c r="N1587" s="146">
        <v>150984</v>
      </c>
      <c r="O1587" s="146">
        <v>111472</v>
      </c>
      <c r="P1587" s="322">
        <f t="shared" si="93"/>
        <v>39512</v>
      </c>
      <c r="Q1587" s="298"/>
    </row>
    <row r="1588" spans="1:17" ht="31.2" x14ac:dyDescent="0.3">
      <c r="A1588" s="4">
        <v>112</v>
      </c>
      <c r="B1588" s="10" t="s">
        <v>1864</v>
      </c>
      <c r="C1588" s="10"/>
      <c r="D1588" s="10"/>
      <c r="E1588" s="10"/>
      <c r="F1588" s="235" t="s">
        <v>1248</v>
      </c>
      <c r="G1588" s="4" t="s">
        <v>1235</v>
      </c>
      <c r="H1588" s="4">
        <v>1</v>
      </c>
      <c r="I1588" s="4">
        <f t="shared" si="86"/>
        <v>97990</v>
      </c>
      <c r="J1588" s="4">
        <v>371130</v>
      </c>
      <c r="K1588" s="4">
        <f t="shared" si="78"/>
        <v>0</v>
      </c>
      <c r="L1588" s="146">
        <v>371130</v>
      </c>
      <c r="M1588" s="146"/>
      <c r="N1588" s="146">
        <v>371130</v>
      </c>
      <c r="O1588" s="146">
        <v>273140</v>
      </c>
      <c r="P1588" s="322">
        <f t="shared" si="93"/>
        <v>97990</v>
      </c>
      <c r="Q1588" s="298"/>
    </row>
    <row r="1589" spans="1:17" ht="31.2" x14ac:dyDescent="0.3">
      <c r="A1589" s="4">
        <v>113</v>
      </c>
      <c r="B1589" s="10" t="s">
        <v>1865</v>
      </c>
      <c r="C1589" s="10"/>
      <c r="D1589" s="10"/>
      <c r="E1589" s="10"/>
      <c r="F1589" s="235" t="s">
        <v>1248</v>
      </c>
      <c r="G1589" s="4" t="s">
        <v>1235</v>
      </c>
      <c r="H1589" s="4">
        <v>2</v>
      </c>
      <c r="I1589" s="4">
        <f t="shared" si="86"/>
        <v>72844</v>
      </c>
      <c r="J1589" s="4">
        <v>88200</v>
      </c>
      <c r="K1589" s="4">
        <f t="shared" si="78"/>
        <v>0</v>
      </c>
      <c r="L1589" s="146">
        <v>88200</v>
      </c>
      <c r="M1589" s="146"/>
      <c r="N1589" s="146">
        <v>88200</v>
      </c>
      <c r="O1589" s="146">
        <v>15356</v>
      </c>
      <c r="P1589" s="322">
        <f t="shared" si="93"/>
        <v>72844</v>
      </c>
      <c r="Q1589" s="298"/>
    </row>
    <row r="1590" spans="1:17" ht="31.2" x14ac:dyDescent="0.3">
      <c r="A1590" s="4">
        <v>114</v>
      </c>
      <c r="B1590" s="10" t="s">
        <v>1866</v>
      </c>
      <c r="C1590" s="10"/>
      <c r="D1590" s="10"/>
      <c r="E1590" s="10"/>
      <c r="F1590" s="235" t="s">
        <v>1248</v>
      </c>
      <c r="G1590" s="4" t="s">
        <v>1235</v>
      </c>
      <c r="H1590" s="4">
        <v>1</v>
      </c>
      <c r="I1590" s="4">
        <f t="shared" ref="I1590:I1596" si="94">J1590-O1590</f>
        <v>15400</v>
      </c>
      <c r="J1590" s="4">
        <v>17750</v>
      </c>
      <c r="K1590" s="4">
        <f t="shared" ref="K1590:K1596" si="95">L1590-J1590</f>
        <v>0</v>
      </c>
      <c r="L1590" s="146">
        <v>17750</v>
      </c>
      <c r="M1590" s="146"/>
      <c r="N1590" s="146">
        <v>17750</v>
      </c>
      <c r="O1590" s="146">
        <v>2350</v>
      </c>
      <c r="P1590" s="322">
        <f t="shared" ref="P1590:P1596" si="96">N1590-O1590</f>
        <v>15400</v>
      </c>
      <c r="Q1590" s="298"/>
    </row>
    <row r="1591" spans="1:17" ht="31.2" x14ac:dyDescent="0.3">
      <c r="A1591" s="4">
        <v>115</v>
      </c>
      <c r="B1591" s="10" t="s">
        <v>1867</v>
      </c>
      <c r="C1591" s="10"/>
      <c r="D1591" s="10"/>
      <c r="E1591" s="10"/>
      <c r="F1591" s="235" t="s">
        <v>1248</v>
      </c>
      <c r="G1591" s="4" t="s">
        <v>1235</v>
      </c>
      <c r="H1591" s="4">
        <v>1</v>
      </c>
      <c r="I1591" s="4">
        <f t="shared" si="94"/>
        <v>9200</v>
      </c>
      <c r="J1591" s="4">
        <v>63000</v>
      </c>
      <c r="K1591" s="4">
        <f t="shared" si="95"/>
        <v>0</v>
      </c>
      <c r="L1591" s="146">
        <v>63000</v>
      </c>
      <c r="M1591" s="146"/>
      <c r="N1591" s="146">
        <v>63000</v>
      </c>
      <c r="O1591" s="146">
        <v>53800</v>
      </c>
      <c r="P1591" s="322">
        <f t="shared" si="96"/>
        <v>9200</v>
      </c>
      <c r="Q1591" s="298"/>
    </row>
    <row r="1592" spans="1:17" ht="31.2" x14ac:dyDescent="0.3">
      <c r="A1592" s="4">
        <v>116</v>
      </c>
      <c r="B1592" s="10" t="s">
        <v>1868</v>
      </c>
      <c r="C1592" s="10"/>
      <c r="D1592" s="10"/>
      <c r="E1592" s="10"/>
      <c r="F1592" s="235" t="s">
        <v>1248</v>
      </c>
      <c r="G1592" s="4" t="s">
        <v>1235</v>
      </c>
      <c r="H1592" s="4">
        <v>1</v>
      </c>
      <c r="I1592" s="4">
        <f t="shared" si="94"/>
        <v>450444</v>
      </c>
      <c r="J1592" s="4">
        <v>621000</v>
      </c>
      <c r="K1592" s="4">
        <f t="shared" si="95"/>
        <v>0</v>
      </c>
      <c r="L1592" s="146">
        <v>621000</v>
      </c>
      <c r="M1592" s="146"/>
      <c r="N1592" s="146">
        <v>450444</v>
      </c>
      <c r="O1592" s="146">
        <v>170556</v>
      </c>
      <c r="P1592" s="322">
        <f t="shared" si="96"/>
        <v>279888</v>
      </c>
      <c r="Q1592" s="298"/>
    </row>
    <row r="1593" spans="1:17" ht="31.2" x14ac:dyDescent="0.3">
      <c r="A1593" s="4">
        <v>117</v>
      </c>
      <c r="B1593" s="10" t="s">
        <v>1869</v>
      </c>
      <c r="C1593" s="10"/>
      <c r="D1593" s="10"/>
      <c r="E1593" s="10"/>
      <c r="F1593" s="235" t="s">
        <v>1248</v>
      </c>
      <c r="G1593" s="4" t="s">
        <v>1235</v>
      </c>
      <c r="H1593" s="4">
        <v>1</v>
      </c>
      <c r="I1593" s="4">
        <f t="shared" si="94"/>
        <v>63586</v>
      </c>
      <c r="J1593" s="4">
        <v>90000</v>
      </c>
      <c r="K1593" s="4">
        <f t="shared" si="95"/>
        <v>0</v>
      </c>
      <c r="L1593" s="146">
        <v>90000</v>
      </c>
      <c r="M1593" s="146"/>
      <c r="N1593" s="146">
        <v>63586</v>
      </c>
      <c r="O1593" s="146">
        <v>26414</v>
      </c>
      <c r="P1593" s="322">
        <f t="shared" si="96"/>
        <v>37172</v>
      </c>
      <c r="Q1593" s="298"/>
    </row>
    <row r="1594" spans="1:17" ht="31.2" x14ac:dyDescent="0.3">
      <c r="A1594" s="4">
        <v>118</v>
      </c>
      <c r="B1594" s="10" t="s">
        <v>1873</v>
      </c>
      <c r="C1594" s="10"/>
      <c r="D1594" s="10"/>
      <c r="E1594" s="10"/>
      <c r="F1594" s="235" t="s">
        <v>1248</v>
      </c>
      <c r="G1594" s="4" t="s">
        <v>1235</v>
      </c>
      <c r="H1594" s="4">
        <v>1</v>
      </c>
      <c r="I1594" s="4">
        <f t="shared" ref="I1594:I1595" si="97">J1594-O1594</f>
        <v>111383</v>
      </c>
      <c r="J1594" s="4">
        <v>525700</v>
      </c>
      <c r="K1594" s="4">
        <f t="shared" ref="K1594:K1595" si="98">L1594-J1594</f>
        <v>0</v>
      </c>
      <c r="L1594" s="146">
        <v>525700</v>
      </c>
      <c r="M1594" s="146"/>
      <c r="N1594" s="146">
        <v>525700</v>
      </c>
      <c r="O1594" s="146">
        <v>414317</v>
      </c>
      <c r="P1594" s="322">
        <f t="shared" ref="P1594:P1595" si="99">N1594-O1594</f>
        <v>111383</v>
      </c>
      <c r="Q1594" s="298"/>
    </row>
    <row r="1595" spans="1:17" ht="31.2" x14ac:dyDescent="0.3">
      <c r="A1595" s="4">
        <v>119</v>
      </c>
      <c r="B1595" s="10" t="s">
        <v>1874</v>
      </c>
      <c r="C1595" s="10"/>
      <c r="D1595" s="10"/>
      <c r="E1595" s="10"/>
      <c r="F1595" s="235" t="s">
        <v>1248</v>
      </c>
      <c r="G1595" s="4" t="s">
        <v>1235</v>
      </c>
      <c r="H1595" s="4">
        <v>1</v>
      </c>
      <c r="I1595" s="4">
        <f t="shared" si="97"/>
        <v>26600</v>
      </c>
      <c r="J1595" s="4">
        <v>26600</v>
      </c>
      <c r="K1595" s="4">
        <f t="shared" si="98"/>
        <v>0</v>
      </c>
      <c r="L1595" s="146">
        <v>26600</v>
      </c>
      <c r="M1595" s="146"/>
      <c r="N1595" s="146">
        <v>0</v>
      </c>
      <c r="O1595" s="146">
        <v>0</v>
      </c>
      <c r="P1595" s="322">
        <f t="shared" si="99"/>
        <v>0</v>
      </c>
      <c r="Q1595" s="298"/>
    </row>
    <row r="1596" spans="1:17" ht="31.2" x14ac:dyDescent="0.3">
      <c r="A1596" s="4">
        <v>118</v>
      </c>
      <c r="B1596" s="10" t="s">
        <v>1895</v>
      </c>
      <c r="C1596" s="10"/>
      <c r="D1596" s="10"/>
      <c r="E1596" s="10"/>
      <c r="F1596" s="235" t="s">
        <v>1248</v>
      </c>
      <c r="G1596" s="4" t="s">
        <v>1235</v>
      </c>
      <c r="H1596" s="4">
        <v>1</v>
      </c>
      <c r="I1596" s="4">
        <f t="shared" si="94"/>
        <v>182700</v>
      </c>
      <c r="J1596" s="4">
        <v>182700</v>
      </c>
      <c r="K1596" s="4">
        <f t="shared" si="95"/>
        <v>0</v>
      </c>
      <c r="L1596" s="146">
        <v>182700</v>
      </c>
      <c r="M1596" s="146"/>
      <c r="N1596" s="146">
        <v>0</v>
      </c>
      <c r="O1596" s="146">
        <v>0</v>
      </c>
      <c r="P1596" s="322">
        <f t="shared" si="96"/>
        <v>0</v>
      </c>
      <c r="Q1596" s="298"/>
    </row>
    <row r="1597" spans="1:17" ht="31.2" x14ac:dyDescent="0.3">
      <c r="A1597" s="4">
        <v>119</v>
      </c>
      <c r="B1597" s="10" t="s">
        <v>1896</v>
      </c>
      <c r="C1597" s="10"/>
      <c r="D1597" s="10"/>
      <c r="E1597" s="10"/>
      <c r="F1597" s="235" t="s">
        <v>1248</v>
      </c>
      <c r="G1597" s="4" t="s">
        <v>1235</v>
      </c>
      <c r="H1597" s="4">
        <v>2</v>
      </c>
      <c r="I1597" s="4">
        <f t="shared" si="86"/>
        <v>123340</v>
      </c>
      <c r="J1597" s="4">
        <v>123340</v>
      </c>
      <c r="K1597" s="4">
        <f t="shared" si="78"/>
        <v>0</v>
      </c>
      <c r="L1597" s="146">
        <v>123340</v>
      </c>
      <c r="M1597" s="146"/>
      <c r="N1597" s="146">
        <v>0</v>
      </c>
      <c r="O1597" s="146">
        <v>0</v>
      </c>
      <c r="P1597" s="322">
        <f t="shared" si="93"/>
        <v>0</v>
      </c>
      <c r="Q1597" s="298"/>
    </row>
    <row r="1598" spans="1:17" ht="54.6" customHeight="1" thickBot="1" x14ac:dyDescent="0.35">
      <c r="A1598" s="65"/>
      <c r="B1598" s="64"/>
      <c r="C1598" s="64"/>
      <c r="D1598" s="64"/>
      <c r="E1598" s="64"/>
      <c r="F1598" s="64"/>
      <c r="G1598" s="65"/>
      <c r="H1598" s="65"/>
      <c r="I1598" s="65"/>
      <c r="J1598" s="65"/>
      <c r="K1598" s="65"/>
      <c r="L1598" s="326"/>
      <c r="M1598" s="326"/>
      <c r="N1598" s="326"/>
      <c r="O1598" s="326"/>
      <c r="P1598" s="327"/>
    </row>
    <row r="1599" spans="1:17" ht="39.6" customHeight="1" thickBot="1" x14ac:dyDescent="0.35">
      <c r="A1599" s="430" t="s">
        <v>1208</v>
      </c>
      <c r="B1599" s="431"/>
      <c r="C1599" s="431"/>
      <c r="D1599" s="431"/>
      <c r="E1599" s="431"/>
      <c r="F1599" s="431"/>
      <c r="G1599" s="432"/>
      <c r="H1599" s="78"/>
      <c r="I1599" s="78">
        <f t="shared" ref="I1599:O1599" si="100">SUM(I8:I1597)</f>
        <v>319374061.69999999</v>
      </c>
      <c r="J1599" s="78">
        <f t="shared" si="100"/>
        <v>496261317.05000001</v>
      </c>
      <c r="K1599" s="78">
        <f>SUM(K8:K1597)-SUM(K1569:K1573)</f>
        <v>17265</v>
      </c>
      <c r="L1599" s="79">
        <f t="shared" si="100"/>
        <v>496317312.05000001</v>
      </c>
      <c r="M1599" s="89">
        <f t="shared" si="100"/>
        <v>0</v>
      </c>
      <c r="N1599" s="80">
        <f t="shared" si="100"/>
        <v>174253368.35000002</v>
      </c>
      <c r="O1599" s="95">
        <f t="shared" si="100"/>
        <v>170693510.35000002</v>
      </c>
      <c r="P1599" s="81"/>
    </row>
    <row r="1600" spans="1:17" x14ac:dyDescent="0.3">
      <c r="L1600" s="9">
        <v>3</v>
      </c>
      <c r="M1600" s="94" t="s">
        <v>1062</v>
      </c>
      <c r="N1600" s="3" t="s">
        <v>1062</v>
      </c>
      <c r="O1600" s="100" t="s">
        <v>1062</v>
      </c>
    </row>
    <row r="1610" spans="18:18" ht="18" x14ac:dyDescent="0.35">
      <c r="R1610" s="148"/>
    </row>
  </sheetData>
  <autoFilter ref="A5:P1597" xr:uid="{00000000-0001-0000-0200-000000000000}"/>
  <mergeCells count="10">
    <mergeCell ref="A1477:A1481"/>
    <mergeCell ref="A1:P2"/>
    <mergeCell ref="A3:H3"/>
    <mergeCell ref="A462:A463"/>
    <mergeCell ref="A538:A539"/>
    <mergeCell ref="A1509:A1519"/>
    <mergeCell ref="F1509:F1519"/>
    <mergeCell ref="A1520:A1527"/>
    <mergeCell ref="F1520:F1527"/>
    <mergeCell ref="A1599:G1599"/>
  </mergeCells>
  <printOptions horizontalCentered="1" verticalCentered="1"/>
  <pageMargins left="0" right="0" top="0" bottom="0" header="0" footer="0"/>
  <pageSetup paperSize="9" scale="25" fitToWidth="5" fitToHeight="15" orientation="landscape" r:id="rId1"/>
  <rowBreaks count="43" manualBreakCount="43">
    <brk id="33" max="16383" man="1"/>
    <brk id="71" max="15" man="1"/>
    <brk id="106" max="15" man="1"/>
    <brk id="144" max="15" man="1"/>
    <brk id="181" max="15" man="1"/>
    <brk id="210" max="15" man="1"/>
    <brk id="248" max="15" man="1"/>
    <brk id="288" max="15" man="1"/>
    <brk id="324" max="15" man="1"/>
    <brk id="363" max="15" man="1"/>
    <brk id="388" max="15" man="1"/>
    <brk id="426" max="15" man="1"/>
    <brk id="465" max="15" man="1"/>
    <brk id="508" max="15" man="1"/>
    <brk id="547" max="15" man="1"/>
    <brk id="568" max="15" man="1"/>
    <brk id="607" max="15" man="1"/>
    <brk id="647" max="15" man="1"/>
    <brk id="687" max="15" man="1"/>
    <brk id="715" max="15" man="1"/>
    <brk id="756" max="15" man="1"/>
    <brk id="769" max="15" man="1"/>
    <brk id="807" max="15" man="1"/>
    <brk id="846" max="15" man="1"/>
    <brk id="876" max="15" man="1"/>
    <brk id="906" max="15" man="1"/>
    <brk id="941" max="15" man="1"/>
    <brk id="985" max="15" man="1"/>
    <brk id="1020" max="15" man="1"/>
    <brk id="1062" max="15" man="1"/>
    <brk id="1095" max="15" man="1"/>
    <brk id="1115" max="15" man="1"/>
    <brk id="1154" max="15" man="1"/>
    <brk id="1183" max="15" man="1"/>
    <brk id="1215" max="15" man="1"/>
    <brk id="1248" max="15" man="1"/>
    <brk id="1288" max="15" man="1"/>
    <brk id="1330" max="15" man="1"/>
    <brk id="1358" max="15" man="1"/>
    <brk id="1394" max="15" man="1"/>
    <brk id="1478" max="15" man="1"/>
    <brk id="1519" max="15" man="1"/>
    <brk id="1567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8398-410C-44E3-815C-9E33FF534763}">
  <dimension ref="A1:P1531"/>
  <sheetViews>
    <sheetView rightToLeft="1" view="pageBreakPreview" zoomScale="40" zoomScaleNormal="40" zoomScaleSheetLayoutView="40" workbookViewId="0">
      <pane ySplit="4" topLeftCell="A20" activePane="bottomLeft" state="frozen"/>
      <selection activeCell="G55" sqref="G55"/>
      <selection pane="bottomLeft" activeCell="H11" sqref="H11"/>
    </sheetView>
  </sheetViews>
  <sheetFormatPr defaultColWidth="8.88671875" defaultRowHeight="28.8" x14ac:dyDescent="0.3"/>
  <cols>
    <col min="1" max="1" width="10.109375" style="6" customWidth="1"/>
    <col min="2" max="2" width="90.33203125" style="6" customWidth="1"/>
    <col min="3" max="3" width="48.33203125" style="6" hidden="1" customWidth="1"/>
    <col min="4" max="4" width="25.6640625" style="6" hidden="1" customWidth="1"/>
    <col min="5" max="5" width="58.6640625" style="6" customWidth="1"/>
    <col min="6" max="6" width="52.33203125" style="6" customWidth="1"/>
    <col min="7" max="7" width="21.6640625" style="6" customWidth="1"/>
    <col min="8" max="8" width="35.33203125" style="6" customWidth="1"/>
    <col min="9" max="9" width="32" style="6" customWidth="1"/>
    <col min="10" max="10" width="26.6640625" style="6" customWidth="1"/>
    <col min="11" max="11" width="27.33203125" style="9" bestFit="1" customWidth="1"/>
    <col min="12" max="12" width="26.109375" style="3" bestFit="1" customWidth="1"/>
    <col min="13" max="15" width="26.109375" style="3" customWidth="1"/>
    <col min="16" max="16" width="18.6640625" style="54" customWidth="1"/>
    <col min="17" max="16384" width="8.88671875" style="6"/>
  </cols>
  <sheetData>
    <row r="1" spans="1:16" ht="33.75" customHeight="1" x14ac:dyDescent="0.3">
      <c r="A1" s="433" t="s">
        <v>1214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</row>
    <row r="2" spans="1:16" ht="76.5" customHeight="1" thickBot="1" x14ac:dyDescent="0.35">
      <c r="A2" s="439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</row>
    <row r="3" spans="1:16" ht="63" customHeight="1" thickBot="1" x14ac:dyDescent="0.35">
      <c r="A3" s="435" t="s">
        <v>1211</v>
      </c>
      <c r="B3" s="436"/>
      <c r="C3" s="436"/>
      <c r="D3" s="436"/>
      <c r="E3" s="436"/>
      <c r="F3" s="436"/>
      <c r="G3" s="436"/>
      <c r="H3" s="28">
        <f t="shared" ref="H3:O3" si="0">H130</f>
        <v>7478073</v>
      </c>
      <c r="I3" s="111">
        <f t="shared" si="0"/>
        <v>7565453</v>
      </c>
      <c r="J3" s="28">
        <f t="shared" si="0"/>
        <v>0</v>
      </c>
      <c r="K3" s="111">
        <f t="shared" si="0"/>
        <v>7565453</v>
      </c>
      <c r="L3" s="28">
        <f t="shared" si="0"/>
        <v>0</v>
      </c>
      <c r="M3" s="28">
        <f t="shared" si="0"/>
        <v>0</v>
      </c>
      <c r="N3" s="111">
        <f t="shared" si="0"/>
        <v>87380</v>
      </c>
      <c r="O3" s="28">
        <f t="shared" si="0"/>
        <v>87380</v>
      </c>
      <c r="P3" s="128"/>
    </row>
    <row r="4" spans="1:16" ht="63" thickBot="1" x14ac:dyDescent="0.35">
      <c r="A4" s="126" t="s">
        <v>1</v>
      </c>
      <c r="B4" s="83" t="s">
        <v>481</v>
      </c>
      <c r="C4" s="127" t="s">
        <v>309</v>
      </c>
      <c r="D4" s="125" t="s">
        <v>284</v>
      </c>
      <c r="E4" s="83" t="s">
        <v>5</v>
      </c>
      <c r="F4" s="28" t="s">
        <v>492</v>
      </c>
      <c r="G4" s="28" t="s">
        <v>970</v>
      </c>
      <c r="H4" s="127" t="s">
        <v>484</v>
      </c>
      <c r="I4" s="123" t="s">
        <v>60</v>
      </c>
      <c r="J4" s="83" t="s">
        <v>61</v>
      </c>
      <c r="K4" s="84" t="s">
        <v>2</v>
      </c>
      <c r="L4" s="124" t="s">
        <v>1139</v>
      </c>
      <c r="M4" s="119" t="s">
        <v>1212</v>
      </c>
      <c r="N4" s="120" t="s">
        <v>1213</v>
      </c>
      <c r="O4" s="122" t="s">
        <v>1207</v>
      </c>
      <c r="P4" s="121" t="s">
        <v>1159</v>
      </c>
    </row>
    <row r="5" spans="1:16" ht="30" customHeight="1" x14ac:dyDescent="0.3">
      <c r="A5" s="57">
        <v>0</v>
      </c>
      <c r="B5" s="58" t="s">
        <v>1022</v>
      </c>
      <c r="C5" s="58" t="s">
        <v>1022</v>
      </c>
      <c r="D5" s="58" t="s">
        <v>1022</v>
      </c>
      <c r="E5" s="58" t="s">
        <v>1022</v>
      </c>
      <c r="F5" s="57" t="s">
        <v>14</v>
      </c>
      <c r="G5" s="57">
        <v>22</v>
      </c>
      <c r="H5" s="57">
        <v>2051200</v>
      </c>
      <c r="I5" s="57">
        <v>2046200</v>
      </c>
      <c r="J5" s="57">
        <f>K5-I5</f>
        <v>2850</v>
      </c>
      <c r="K5" s="56">
        <v>2049050</v>
      </c>
      <c r="L5" s="115">
        <f>H5-K5</f>
        <v>2150</v>
      </c>
      <c r="M5" s="91"/>
      <c r="N5" s="116"/>
      <c r="O5" s="117"/>
      <c r="P5" s="118"/>
    </row>
    <row r="6" spans="1:16" ht="30" customHeight="1" x14ac:dyDescent="0.3">
      <c r="A6" s="4">
        <v>1</v>
      </c>
      <c r="B6" s="10" t="s">
        <v>1112</v>
      </c>
      <c r="C6" s="10"/>
      <c r="D6" s="10"/>
      <c r="E6" s="10" t="s">
        <v>1113</v>
      </c>
      <c r="F6" s="4" t="s">
        <v>1117</v>
      </c>
      <c r="G6" s="4">
        <v>2</v>
      </c>
      <c r="H6" s="4">
        <f>I6-N6</f>
        <v>554000</v>
      </c>
      <c r="I6" s="4">
        <v>554000</v>
      </c>
      <c r="J6" s="4">
        <f t="shared" ref="J6" si="1">K6-I6</f>
        <v>0</v>
      </c>
      <c r="K6" s="1">
        <v>554000</v>
      </c>
      <c r="L6" s="12"/>
      <c r="M6" s="91">
        <f t="shared" ref="M6:M82" si="2">O6-N6</f>
        <v>0</v>
      </c>
      <c r="N6" s="113"/>
      <c r="O6" s="114"/>
      <c r="P6" s="112">
        <v>1</v>
      </c>
    </row>
    <row r="7" spans="1:16" ht="30" customHeight="1" x14ac:dyDescent="0.3">
      <c r="A7" s="4">
        <v>1</v>
      </c>
      <c r="B7" s="10" t="s">
        <v>1112</v>
      </c>
      <c r="C7" s="10"/>
      <c r="D7" s="10"/>
      <c r="E7" s="10" t="s">
        <v>1113</v>
      </c>
      <c r="F7" s="4" t="s">
        <v>1114</v>
      </c>
      <c r="G7" s="4">
        <v>3</v>
      </c>
      <c r="H7" s="4">
        <f t="shared" ref="H7:H37" si="3">I7-N7</f>
        <v>554000</v>
      </c>
      <c r="I7" s="4">
        <v>554000</v>
      </c>
      <c r="J7" s="4">
        <f t="shared" ref="J7:J30" si="4">K7-I7</f>
        <v>0</v>
      </c>
      <c r="K7" s="1">
        <v>554000</v>
      </c>
      <c r="L7" s="12"/>
      <c r="M7" s="91">
        <f t="shared" si="2"/>
        <v>0</v>
      </c>
      <c r="N7" s="113"/>
      <c r="O7" s="114"/>
      <c r="P7" s="112">
        <v>1</v>
      </c>
    </row>
    <row r="8" spans="1:16" ht="30" customHeight="1" x14ac:dyDescent="0.3">
      <c r="A8" s="4">
        <v>1</v>
      </c>
      <c r="B8" s="10" t="s">
        <v>1112</v>
      </c>
      <c r="C8" s="10"/>
      <c r="D8" s="10"/>
      <c r="E8" s="10" t="s">
        <v>1249</v>
      </c>
      <c r="F8" s="4" t="s">
        <v>14</v>
      </c>
      <c r="G8" s="4">
        <v>1</v>
      </c>
      <c r="H8" s="4">
        <f t="shared" si="3"/>
        <v>23485</v>
      </c>
      <c r="I8" s="4">
        <v>23485</v>
      </c>
      <c r="J8" s="4">
        <f t="shared" ref="J8" si="5">K8-I8</f>
        <v>0</v>
      </c>
      <c r="K8" s="1">
        <v>23485</v>
      </c>
      <c r="L8" s="12"/>
      <c r="M8" s="91">
        <f t="shared" si="2"/>
        <v>0</v>
      </c>
      <c r="N8" s="113"/>
      <c r="O8" s="114"/>
      <c r="P8" s="112">
        <v>1</v>
      </c>
    </row>
    <row r="9" spans="1:16" ht="30" customHeight="1" x14ac:dyDescent="0.3">
      <c r="A9" s="4">
        <v>1</v>
      </c>
      <c r="B9" s="10" t="s">
        <v>1112</v>
      </c>
      <c r="C9" s="10"/>
      <c r="D9" s="10"/>
      <c r="E9" s="10" t="s">
        <v>1249</v>
      </c>
      <c r="F9" s="4" t="s">
        <v>1114</v>
      </c>
      <c r="G9" s="4">
        <v>7</v>
      </c>
      <c r="H9" s="4">
        <f t="shared" si="3"/>
        <v>128720</v>
      </c>
      <c r="I9" s="4">
        <v>128720</v>
      </c>
      <c r="J9" s="4">
        <f t="shared" si="4"/>
        <v>0</v>
      </c>
      <c r="K9" s="1">
        <v>128720</v>
      </c>
      <c r="L9" s="12"/>
      <c r="M9" s="91">
        <f t="shared" ref="M9" si="6">O9-N9</f>
        <v>0</v>
      </c>
      <c r="N9" s="113"/>
      <c r="O9" s="114"/>
      <c r="P9" s="112">
        <v>0.5</v>
      </c>
    </row>
    <row r="10" spans="1:16" ht="30" customHeight="1" x14ac:dyDescent="0.3">
      <c r="A10" s="4">
        <v>1</v>
      </c>
      <c r="B10" s="10" t="s">
        <v>1112</v>
      </c>
      <c r="C10" s="10"/>
      <c r="D10" s="10"/>
      <c r="E10" s="10" t="s">
        <v>1123</v>
      </c>
      <c r="F10" s="4" t="s">
        <v>14</v>
      </c>
      <c r="G10" s="4">
        <v>2</v>
      </c>
      <c r="H10" s="4">
        <f t="shared" si="3"/>
        <v>306400</v>
      </c>
      <c r="I10" s="4">
        <v>306400</v>
      </c>
      <c r="J10" s="4">
        <f t="shared" ref="J10" si="7">K10-I10</f>
        <v>0</v>
      </c>
      <c r="K10" s="1">
        <v>306400</v>
      </c>
      <c r="L10" s="12"/>
      <c r="M10" s="91">
        <f t="shared" si="2"/>
        <v>0</v>
      </c>
      <c r="N10" s="113"/>
      <c r="O10" s="114"/>
      <c r="P10" s="112">
        <v>1</v>
      </c>
    </row>
    <row r="11" spans="1:16" ht="30" customHeight="1" x14ac:dyDescent="0.3">
      <c r="A11" s="4">
        <v>2</v>
      </c>
      <c r="B11" s="10" t="s">
        <v>1115</v>
      </c>
      <c r="C11" s="10"/>
      <c r="D11" s="10"/>
      <c r="E11" s="10" t="s">
        <v>1116</v>
      </c>
      <c r="F11" s="4" t="s">
        <v>1114</v>
      </c>
      <c r="G11" s="4">
        <v>2</v>
      </c>
      <c r="H11" s="4">
        <f t="shared" si="3"/>
        <v>31200</v>
      </c>
      <c r="I11" s="4">
        <v>31200</v>
      </c>
      <c r="J11" s="4">
        <f t="shared" si="4"/>
        <v>0</v>
      </c>
      <c r="K11" s="1">
        <v>31200</v>
      </c>
      <c r="L11" s="12"/>
      <c r="M11" s="91">
        <f t="shared" si="2"/>
        <v>0</v>
      </c>
      <c r="N11" s="113"/>
      <c r="O11" s="114"/>
      <c r="P11" s="112"/>
    </row>
    <row r="12" spans="1:16" ht="30" customHeight="1" x14ac:dyDescent="0.3">
      <c r="A12" s="4">
        <v>2</v>
      </c>
      <c r="B12" s="10" t="s">
        <v>1115</v>
      </c>
      <c r="C12" s="10"/>
      <c r="D12" s="10"/>
      <c r="E12" s="10" t="s">
        <v>1116</v>
      </c>
      <c r="F12" s="4" t="s">
        <v>1117</v>
      </c>
      <c r="G12" s="4">
        <v>1</v>
      </c>
      <c r="H12" s="4">
        <f t="shared" si="3"/>
        <v>20200</v>
      </c>
      <c r="I12" s="4">
        <v>20200</v>
      </c>
      <c r="J12" s="4">
        <f t="shared" si="4"/>
        <v>0</v>
      </c>
      <c r="K12" s="1">
        <v>20200</v>
      </c>
      <c r="L12" s="12"/>
      <c r="M12" s="91">
        <f t="shared" si="2"/>
        <v>0</v>
      </c>
      <c r="N12" s="113"/>
      <c r="O12" s="114"/>
      <c r="P12" s="112"/>
    </row>
    <row r="13" spans="1:16" ht="30" customHeight="1" x14ac:dyDescent="0.3">
      <c r="A13" s="4">
        <v>3</v>
      </c>
      <c r="B13" s="10" t="s">
        <v>1168</v>
      </c>
      <c r="C13" s="10"/>
      <c r="D13" s="10"/>
      <c r="E13" s="10" t="s">
        <v>1169</v>
      </c>
      <c r="F13" s="4" t="s">
        <v>1114</v>
      </c>
      <c r="G13" s="4">
        <v>1</v>
      </c>
      <c r="H13" s="4">
        <f t="shared" si="3"/>
        <v>39000</v>
      </c>
      <c r="I13" s="4">
        <v>39000</v>
      </c>
      <c r="J13" s="4">
        <f>K13-I13</f>
        <v>0</v>
      </c>
      <c r="K13" s="1">
        <v>39000</v>
      </c>
      <c r="L13" s="12"/>
      <c r="M13" s="91">
        <f>O13-N13</f>
        <v>0</v>
      </c>
      <c r="N13" s="113"/>
      <c r="O13" s="114"/>
      <c r="P13" s="112">
        <v>1</v>
      </c>
    </row>
    <row r="14" spans="1:16" ht="30" customHeight="1" x14ac:dyDescent="0.3">
      <c r="A14" s="4">
        <v>3</v>
      </c>
      <c r="B14" s="10" t="s">
        <v>1168</v>
      </c>
      <c r="C14" s="10"/>
      <c r="D14" s="10"/>
      <c r="E14" s="10" t="s">
        <v>1169</v>
      </c>
      <c r="F14" s="4" t="s">
        <v>1117</v>
      </c>
      <c r="G14" s="4">
        <v>1</v>
      </c>
      <c r="H14" s="4">
        <f t="shared" si="3"/>
        <v>39000</v>
      </c>
      <c r="I14" s="4">
        <v>39000</v>
      </c>
      <c r="J14" s="4">
        <f t="shared" ref="J14" si="8">K14-I14</f>
        <v>0</v>
      </c>
      <c r="K14" s="1">
        <v>39000</v>
      </c>
      <c r="L14" s="12"/>
      <c r="M14" s="91">
        <f>O14-N14</f>
        <v>0</v>
      </c>
      <c r="N14" s="113"/>
      <c r="O14" s="114"/>
      <c r="P14" s="112">
        <v>1</v>
      </c>
    </row>
    <row r="15" spans="1:16" ht="30" customHeight="1" x14ac:dyDescent="0.3">
      <c r="A15" s="4">
        <v>4</v>
      </c>
      <c r="B15" s="10" t="s">
        <v>1191</v>
      </c>
      <c r="C15" s="10"/>
      <c r="D15" s="10"/>
      <c r="E15" s="10" t="s">
        <v>1192</v>
      </c>
      <c r="F15" s="4" t="s">
        <v>1114</v>
      </c>
      <c r="G15" s="4">
        <v>1</v>
      </c>
      <c r="H15" s="4">
        <f t="shared" si="3"/>
        <v>151000</v>
      </c>
      <c r="I15" s="4">
        <v>151000</v>
      </c>
      <c r="J15" s="4">
        <f t="shared" ref="J15" si="9">K15-I15</f>
        <v>0</v>
      </c>
      <c r="K15" s="1">
        <v>151000</v>
      </c>
      <c r="L15" s="12"/>
      <c r="M15" s="91">
        <f>O15-N15</f>
        <v>0</v>
      </c>
      <c r="N15" s="113"/>
      <c r="O15" s="114"/>
      <c r="P15" s="112">
        <v>1</v>
      </c>
    </row>
    <row r="16" spans="1:16" ht="30" customHeight="1" x14ac:dyDescent="0.3">
      <c r="A16" s="4">
        <v>4</v>
      </c>
      <c r="B16" s="10" t="s">
        <v>1191</v>
      </c>
      <c r="C16" s="10"/>
      <c r="D16" s="10"/>
      <c r="E16" s="10" t="s">
        <v>1192</v>
      </c>
      <c r="F16" s="4" t="s">
        <v>1117</v>
      </c>
      <c r="G16" s="4">
        <v>1</v>
      </c>
      <c r="H16" s="4">
        <f t="shared" si="3"/>
        <v>151000</v>
      </c>
      <c r="I16" s="4">
        <v>151000</v>
      </c>
      <c r="J16" s="4">
        <f t="shared" ref="J16" si="10">K16-I16</f>
        <v>0</v>
      </c>
      <c r="K16" s="1">
        <v>151000</v>
      </c>
      <c r="L16" s="12"/>
      <c r="M16" s="91">
        <f>O16-N16</f>
        <v>0</v>
      </c>
      <c r="N16" s="113"/>
      <c r="O16" s="114"/>
      <c r="P16" s="112">
        <v>1</v>
      </c>
    </row>
    <row r="17" spans="1:16" ht="30" customHeight="1" x14ac:dyDescent="0.3">
      <c r="A17" s="4">
        <v>5</v>
      </c>
      <c r="B17" s="10" t="s">
        <v>37</v>
      </c>
      <c r="C17" s="10"/>
      <c r="D17" s="10"/>
      <c r="E17" s="10" t="s">
        <v>37</v>
      </c>
      <c r="F17" s="4" t="s">
        <v>14</v>
      </c>
      <c r="G17" s="4">
        <v>6</v>
      </c>
      <c r="H17" s="4">
        <f t="shared" si="3"/>
        <v>76150</v>
      </c>
      <c r="I17" s="4">
        <v>76800</v>
      </c>
      <c r="J17" s="4">
        <f t="shared" si="4"/>
        <v>0</v>
      </c>
      <c r="K17" s="1">
        <v>76800</v>
      </c>
      <c r="L17" s="12"/>
      <c r="M17" s="91">
        <f t="shared" si="2"/>
        <v>0</v>
      </c>
      <c r="N17" s="113">
        <v>650</v>
      </c>
      <c r="O17" s="114">
        <v>650</v>
      </c>
      <c r="P17" s="112"/>
    </row>
    <row r="18" spans="1:16" ht="30" customHeight="1" x14ac:dyDescent="0.3">
      <c r="A18" s="4">
        <v>5</v>
      </c>
      <c r="B18" s="10" t="s">
        <v>37</v>
      </c>
      <c r="C18" s="10"/>
      <c r="D18" s="10"/>
      <c r="E18" s="10" t="s">
        <v>37</v>
      </c>
      <c r="F18" s="4" t="s">
        <v>1114</v>
      </c>
      <c r="G18" s="4">
        <v>12</v>
      </c>
      <c r="H18" s="4">
        <f t="shared" si="3"/>
        <v>80500</v>
      </c>
      <c r="I18" s="4">
        <v>80500</v>
      </c>
      <c r="J18" s="4">
        <f>K18-I18</f>
        <v>0</v>
      </c>
      <c r="K18" s="1">
        <v>80500</v>
      </c>
      <c r="L18" s="12"/>
      <c r="M18" s="91">
        <f>O18-N18</f>
        <v>0</v>
      </c>
      <c r="N18" s="113"/>
      <c r="O18" s="114"/>
      <c r="P18" s="112"/>
    </row>
    <row r="19" spans="1:16" ht="30" customHeight="1" x14ac:dyDescent="0.3">
      <c r="A19" s="4">
        <v>5</v>
      </c>
      <c r="B19" s="10" t="s">
        <v>37</v>
      </c>
      <c r="C19" s="10"/>
      <c r="D19" s="10"/>
      <c r="E19" s="10" t="s">
        <v>37</v>
      </c>
      <c r="F19" s="4" t="s">
        <v>1117</v>
      </c>
      <c r="G19" s="4">
        <v>2</v>
      </c>
      <c r="H19" s="4">
        <f t="shared" si="3"/>
        <v>52100</v>
      </c>
      <c r="I19" s="4">
        <v>52100</v>
      </c>
      <c r="J19" s="4">
        <f t="shared" ref="J19:J20" si="11">K19-I19</f>
        <v>0</v>
      </c>
      <c r="K19" s="1">
        <v>52100</v>
      </c>
      <c r="L19" s="12"/>
      <c r="M19" s="91">
        <f>O19-N19</f>
        <v>0</v>
      </c>
      <c r="N19" s="113"/>
      <c r="O19" s="114"/>
      <c r="P19" s="112"/>
    </row>
    <row r="20" spans="1:16" ht="30" customHeight="1" x14ac:dyDescent="0.3">
      <c r="A20" s="4">
        <v>6</v>
      </c>
      <c r="B20" s="10" t="s">
        <v>1118</v>
      </c>
      <c r="C20" s="10"/>
      <c r="D20" s="10"/>
      <c r="E20" s="10" t="s">
        <v>1118</v>
      </c>
      <c r="F20" s="4" t="s">
        <v>14</v>
      </c>
      <c r="G20" s="4">
        <v>1</v>
      </c>
      <c r="H20" s="4">
        <f t="shared" si="3"/>
        <v>550</v>
      </c>
      <c r="I20" s="4">
        <v>550</v>
      </c>
      <c r="J20" s="4">
        <f t="shared" si="11"/>
        <v>0</v>
      </c>
      <c r="K20" s="1">
        <v>550</v>
      </c>
      <c r="L20" s="12"/>
      <c r="M20" s="91">
        <f t="shared" ref="M20" si="12">O20-N20</f>
        <v>0</v>
      </c>
      <c r="N20" s="113"/>
      <c r="O20" s="114"/>
      <c r="P20" s="112"/>
    </row>
    <row r="21" spans="1:16" ht="30" customHeight="1" x14ac:dyDescent="0.3">
      <c r="A21" s="4">
        <v>6</v>
      </c>
      <c r="B21" s="10" t="s">
        <v>1118</v>
      </c>
      <c r="C21" s="10"/>
      <c r="D21" s="10"/>
      <c r="E21" s="10" t="s">
        <v>1118</v>
      </c>
      <c r="F21" s="4" t="s">
        <v>1114</v>
      </c>
      <c r="G21" s="4">
        <v>14</v>
      </c>
      <c r="H21" s="4">
        <f t="shared" si="3"/>
        <v>52285</v>
      </c>
      <c r="I21" s="4">
        <v>52285</v>
      </c>
      <c r="J21" s="4">
        <f t="shared" si="4"/>
        <v>0</v>
      </c>
      <c r="K21" s="1">
        <v>52285</v>
      </c>
      <c r="L21" s="12"/>
      <c r="M21" s="91">
        <f t="shared" si="2"/>
        <v>0</v>
      </c>
      <c r="N21" s="113"/>
      <c r="O21" s="114"/>
      <c r="P21" s="112"/>
    </row>
    <row r="22" spans="1:16" ht="30" customHeight="1" x14ac:dyDescent="0.3">
      <c r="A22" s="4">
        <v>6</v>
      </c>
      <c r="B22" s="10" t="s">
        <v>1118</v>
      </c>
      <c r="C22" s="10"/>
      <c r="D22" s="10"/>
      <c r="E22" s="10" t="s">
        <v>1118</v>
      </c>
      <c r="F22" s="4" t="s">
        <v>1117</v>
      </c>
      <c r="G22" s="4">
        <v>3</v>
      </c>
      <c r="H22" s="4">
        <f t="shared" si="3"/>
        <v>11453</v>
      </c>
      <c r="I22" s="4">
        <v>11453</v>
      </c>
      <c r="J22" s="4">
        <f t="shared" ref="J22:J23" si="13">K22-I22</f>
        <v>0</v>
      </c>
      <c r="K22" s="1">
        <v>11453</v>
      </c>
      <c r="L22" s="12"/>
      <c r="M22" s="91">
        <f t="shared" si="2"/>
        <v>0</v>
      </c>
      <c r="N22" s="113"/>
      <c r="O22" s="114"/>
      <c r="P22" s="112"/>
    </row>
    <row r="23" spans="1:16" ht="30" customHeight="1" x14ac:dyDescent="0.3">
      <c r="A23" s="4">
        <v>7</v>
      </c>
      <c r="B23" s="10" t="s">
        <v>1215</v>
      </c>
      <c r="C23" s="10"/>
      <c r="D23" s="10"/>
      <c r="E23" s="10" t="s">
        <v>1216</v>
      </c>
      <c r="F23" s="4" t="s">
        <v>14</v>
      </c>
      <c r="G23" s="4">
        <v>2</v>
      </c>
      <c r="H23" s="4">
        <f t="shared" si="3"/>
        <v>37252</v>
      </c>
      <c r="I23" s="4">
        <v>37252</v>
      </c>
      <c r="J23" s="4">
        <f t="shared" si="13"/>
        <v>0</v>
      </c>
      <c r="K23" s="1">
        <v>37252</v>
      </c>
      <c r="L23" s="12"/>
      <c r="M23" s="91">
        <f t="shared" ref="M23" si="14">O23-N23</f>
        <v>0</v>
      </c>
      <c r="N23" s="113"/>
      <c r="O23" s="114"/>
      <c r="P23" s="112">
        <v>1</v>
      </c>
    </row>
    <row r="24" spans="1:16" ht="30" customHeight="1" x14ac:dyDescent="0.3">
      <c r="A24" s="4">
        <v>8</v>
      </c>
      <c r="B24" s="10" t="s">
        <v>1245</v>
      </c>
      <c r="C24" s="10"/>
      <c r="D24" s="10"/>
      <c r="E24" s="10" t="s">
        <v>1246</v>
      </c>
      <c r="F24" s="4" t="s">
        <v>14</v>
      </c>
      <c r="G24" s="4">
        <v>1</v>
      </c>
      <c r="H24" s="4">
        <f t="shared" si="3"/>
        <v>2500</v>
      </c>
      <c r="I24" s="4">
        <v>2500</v>
      </c>
      <c r="J24" s="4">
        <f t="shared" si="4"/>
        <v>0</v>
      </c>
      <c r="K24" s="1">
        <v>2500</v>
      </c>
      <c r="L24" s="12"/>
      <c r="M24" s="91">
        <f t="shared" si="2"/>
        <v>0</v>
      </c>
      <c r="N24" s="113"/>
      <c r="O24" s="114"/>
      <c r="P24" s="112"/>
    </row>
    <row r="25" spans="1:16" ht="30" customHeight="1" x14ac:dyDescent="0.3">
      <c r="A25" s="4">
        <v>9</v>
      </c>
      <c r="B25" s="10" t="s">
        <v>1244</v>
      </c>
      <c r="C25" s="10"/>
      <c r="D25" s="10"/>
      <c r="E25" s="10" t="s">
        <v>1234</v>
      </c>
      <c r="F25" s="4" t="s">
        <v>14</v>
      </c>
      <c r="G25" s="4">
        <v>1</v>
      </c>
      <c r="H25" s="4">
        <f t="shared" si="3"/>
        <v>597190</v>
      </c>
      <c r="I25" s="4">
        <v>597190</v>
      </c>
      <c r="J25" s="4">
        <f t="shared" ref="J25" si="15">K25-I25</f>
        <v>0</v>
      </c>
      <c r="K25" s="1">
        <v>597190</v>
      </c>
      <c r="L25" s="12"/>
      <c r="M25" s="91">
        <f t="shared" ref="M25" si="16">O25-N25</f>
        <v>0</v>
      </c>
      <c r="N25" s="113"/>
      <c r="O25" s="114"/>
      <c r="P25" s="112"/>
    </row>
    <row r="26" spans="1:16" ht="30" customHeight="1" x14ac:dyDescent="0.3">
      <c r="A26" s="4">
        <v>9</v>
      </c>
      <c r="B26" s="10" t="s">
        <v>1576</v>
      </c>
      <c r="C26" s="10"/>
      <c r="D26" s="10"/>
      <c r="E26" s="10" t="s">
        <v>1577</v>
      </c>
      <c r="F26" s="4" t="s">
        <v>1114</v>
      </c>
      <c r="G26" s="4">
        <v>9</v>
      </c>
      <c r="H26" s="4">
        <f t="shared" si="3"/>
        <v>929188</v>
      </c>
      <c r="I26" s="4">
        <v>943688</v>
      </c>
      <c r="J26" s="4">
        <f t="shared" ref="J26:J28" si="17">K26-I26</f>
        <v>0</v>
      </c>
      <c r="K26" s="1">
        <v>943688</v>
      </c>
      <c r="L26" s="12"/>
      <c r="M26" s="91">
        <f t="shared" ref="M26:M28" si="18">O26-N26</f>
        <v>0</v>
      </c>
      <c r="N26" s="113">
        <v>14500</v>
      </c>
      <c r="O26" s="114">
        <v>14500</v>
      </c>
      <c r="P26" s="112" t="s">
        <v>1840</v>
      </c>
    </row>
    <row r="27" spans="1:16" ht="30" customHeight="1" x14ac:dyDescent="0.3">
      <c r="A27" s="4">
        <v>9</v>
      </c>
      <c r="B27" s="10" t="s">
        <v>1244</v>
      </c>
      <c r="C27" s="10"/>
      <c r="D27" s="10"/>
      <c r="E27" s="10" t="s">
        <v>1234</v>
      </c>
      <c r="F27" s="4" t="s">
        <v>1114</v>
      </c>
      <c r="G27" s="4">
        <v>13</v>
      </c>
      <c r="H27" s="4">
        <f t="shared" si="3"/>
        <v>3784660</v>
      </c>
      <c r="I27" s="4">
        <v>3856890</v>
      </c>
      <c r="J27" s="4">
        <f t="shared" si="17"/>
        <v>0</v>
      </c>
      <c r="K27" s="1">
        <v>3856890</v>
      </c>
      <c r="L27" s="12"/>
      <c r="M27" s="91">
        <f t="shared" si="18"/>
        <v>0</v>
      </c>
      <c r="N27" s="113">
        <v>72230</v>
      </c>
      <c r="O27" s="114">
        <v>72230</v>
      </c>
      <c r="P27" s="112">
        <v>1</v>
      </c>
    </row>
    <row r="28" spans="1:16" ht="30" customHeight="1" x14ac:dyDescent="0.3">
      <c r="A28" s="4">
        <v>10</v>
      </c>
      <c r="B28" s="10" t="s">
        <v>1303</v>
      </c>
      <c r="C28" s="10"/>
      <c r="D28" s="10"/>
      <c r="E28" s="10" t="s">
        <v>1304</v>
      </c>
      <c r="F28" s="4" t="s">
        <v>14</v>
      </c>
      <c r="G28" s="4">
        <v>2</v>
      </c>
      <c r="H28" s="4">
        <f t="shared" si="3"/>
        <v>12315</v>
      </c>
      <c r="I28" s="4">
        <v>12315</v>
      </c>
      <c r="J28" s="4">
        <f t="shared" si="17"/>
        <v>0</v>
      </c>
      <c r="K28" s="1">
        <v>12315</v>
      </c>
      <c r="L28" s="12"/>
      <c r="M28" s="91">
        <f t="shared" si="18"/>
        <v>0</v>
      </c>
      <c r="N28" s="113"/>
      <c r="O28" s="114"/>
      <c r="P28" s="112">
        <v>1</v>
      </c>
    </row>
    <row r="29" spans="1:16" ht="30" customHeight="1" x14ac:dyDescent="0.3">
      <c r="A29" s="4">
        <v>10</v>
      </c>
      <c r="B29" s="10" t="s">
        <v>1303</v>
      </c>
      <c r="C29" s="10"/>
      <c r="D29" s="10"/>
      <c r="E29" s="10" t="s">
        <v>1304</v>
      </c>
      <c r="F29" s="4" t="s">
        <v>1114</v>
      </c>
      <c r="G29" s="4">
        <v>2</v>
      </c>
      <c r="H29" s="4">
        <f t="shared" si="3"/>
        <v>176538</v>
      </c>
      <c r="I29" s="4">
        <v>176538</v>
      </c>
      <c r="J29" s="4">
        <f t="shared" si="4"/>
        <v>0</v>
      </c>
      <c r="K29" s="1">
        <v>176538</v>
      </c>
      <c r="L29" s="12"/>
      <c r="M29" s="91">
        <f t="shared" si="2"/>
        <v>0</v>
      </c>
      <c r="N29" s="113"/>
      <c r="O29" s="114"/>
      <c r="P29" s="112">
        <v>1</v>
      </c>
    </row>
    <row r="30" spans="1:16" ht="30" customHeight="1" x14ac:dyDescent="0.3">
      <c r="A30" s="4">
        <v>11</v>
      </c>
      <c r="B30" s="10" t="s">
        <v>1317</v>
      </c>
      <c r="C30" s="10"/>
      <c r="D30" s="10"/>
      <c r="E30" s="10" t="s">
        <v>1338</v>
      </c>
      <c r="F30" s="4" t="s">
        <v>1269</v>
      </c>
      <c r="G30" s="4">
        <v>2</v>
      </c>
      <c r="H30" s="4">
        <f t="shared" si="3"/>
        <v>156877</v>
      </c>
      <c r="I30" s="4">
        <v>156877</v>
      </c>
      <c r="J30" s="4">
        <f t="shared" si="4"/>
        <v>0</v>
      </c>
      <c r="K30" s="1">
        <v>156877</v>
      </c>
      <c r="L30" s="12"/>
      <c r="M30" s="91">
        <f t="shared" si="2"/>
        <v>0</v>
      </c>
      <c r="N30" s="113"/>
      <c r="O30" s="114"/>
      <c r="P30" s="112">
        <v>0.9</v>
      </c>
    </row>
    <row r="31" spans="1:16" ht="30" customHeight="1" x14ac:dyDescent="0.3">
      <c r="A31" s="4">
        <v>12</v>
      </c>
      <c r="B31" s="10" t="s">
        <v>1578</v>
      </c>
      <c r="C31" s="10"/>
      <c r="D31" s="10"/>
      <c r="E31" s="10" t="s">
        <v>1060</v>
      </c>
      <c r="F31" s="4" t="s">
        <v>14</v>
      </c>
      <c r="G31" s="4">
        <v>1</v>
      </c>
      <c r="H31" s="4">
        <f t="shared" si="3"/>
        <v>10000</v>
      </c>
      <c r="I31" s="4">
        <v>10000</v>
      </c>
      <c r="J31" s="4">
        <f t="shared" ref="J31:J36" si="19">K31-I31</f>
        <v>0</v>
      </c>
      <c r="K31" s="1">
        <v>10000</v>
      </c>
      <c r="L31" s="12"/>
      <c r="M31" s="91">
        <f t="shared" ref="M31:M36" si="20">O31-N31</f>
        <v>0</v>
      </c>
      <c r="N31" s="113">
        <v>0</v>
      </c>
      <c r="O31" s="114">
        <v>0</v>
      </c>
      <c r="P31" s="112">
        <v>0.9</v>
      </c>
    </row>
    <row r="32" spans="1:16" ht="30" customHeight="1" x14ac:dyDescent="0.3">
      <c r="A32" s="4">
        <v>7</v>
      </c>
      <c r="B32" s="10" t="s">
        <v>1833</v>
      </c>
      <c r="C32" s="10"/>
      <c r="D32" s="10"/>
      <c r="E32" s="10" t="s">
        <v>1684</v>
      </c>
      <c r="F32" s="4" t="s">
        <v>1114</v>
      </c>
      <c r="G32" s="4">
        <v>10</v>
      </c>
      <c r="H32" s="4">
        <f t="shared" si="3"/>
        <v>19200</v>
      </c>
      <c r="I32" s="4">
        <v>19200</v>
      </c>
      <c r="J32" s="4">
        <f t="shared" si="19"/>
        <v>0</v>
      </c>
      <c r="K32" s="1">
        <v>19200</v>
      </c>
      <c r="L32" s="12"/>
      <c r="M32" s="91">
        <f t="shared" si="20"/>
        <v>0</v>
      </c>
      <c r="N32" s="113"/>
      <c r="O32" s="114"/>
      <c r="P32" s="112">
        <v>1</v>
      </c>
    </row>
    <row r="33" spans="1:16" ht="30" customHeight="1" x14ac:dyDescent="0.3">
      <c r="A33" s="4">
        <v>14</v>
      </c>
      <c r="B33" s="10" t="s">
        <v>1733</v>
      </c>
      <c r="C33" s="10"/>
      <c r="D33" s="10"/>
      <c r="E33" s="10" t="s">
        <v>1734</v>
      </c>
      <c r="F33" s="4" t="s">
        <v>1114</v>
      </c>
      <c r="G33" s="4">
        <v>1</v>
      </c>
      <c r="H33" s="4">
        <f t="shared" si="3"/>
        <v>9750</v>
      </c>
      <c r="I33" s="4">
        <v>9750</v>
      </c>
      <c r="J33" s="4">
        <f t="shared" si="19"/>
        <v>0</v>
      </c>
      <c r="K33" s="1">
        <v>9750</v>
      </c>
      <c r="L33" s="12"/>
      <c r="M33" s="91">
        <f t="shared" si="20"/>
        <v>0</v>
      </c>
      <c r="N33" s="113"/>
      <c r="O33" s="114"/>
      <c r="P33" s="112">
        <v>1</v>
      </c>
    </row>
    <row r="34" spans="1:16" ht="30" customHeight="1" x14ac:dyDescent="0.3">
      <c r="A34" s="4">
        <v>15</v>
      </c>
      <c r="B34" s="10" t="s">
        <v>1735</v>
      </c>
      <c r="C34" s="10"/>
      <c r="D34" s="10"/>
      <c r="E34" s="10" t="s">
        <v>1736</v>
      </c>
      <c r="F34" s="4" t="s">
        <v>1114</v>
      </c>
      <c r="G34" s="4">
        <v>1</v>
      </c>
      <c r="H34" s="4">
        <f t="shared" si="3"/>
        <v>3500</v>
      </c>
      <c r="I34" s="4">
        <v>3500</v>
      </c>
      <c r="J34" s="4">
        <f t="shared" si="19"/>
        <v>0</v>
      </c>
      <c r="K34" s="1">
        <v>3500</v>
      </c>
      <c r="L34" s="12"/>
      <c r="M34" s="91">
        <f t="shared" si="20"/>
        <v>0</v>
      </c>
      <c r="N34" s="113"/>
      <c r="O34" s="114"/>
      <c r="P34" s="112">
        <v>1</v>
      </c>
    </row>
    <row r="35" spans="1:16" ht="30" customHeight="1" x14ac:dyDescent="0.3">
      <c r="A35" s="4">
        <v>16</v>
      </c>
      <c r="B35" s="167" t="s">
        <v>1737</v>
      </c>
      <c r="C35" s="10"/>
      <c r="D35" s="10"/>
      <c r="E35" s="10" t="s">
        <v>604</v>
      </c>
      <c r="F35" s="4" t="s">
        <v>1114</v>
      </c>
      <c r="G35" s="4">
        <v>3</v>
      </c>
      <c r="H35" s="4">
        <f t="shared" ref="H35:H36" si="21">I35-N35</f>
        <v>9100</v>
      </c>
      <c r="I35" s="4">
        <v>9100</v>
      </c>
      <c r="J35" s="4">
        <f t="shared" si="19"/>
        <v>0</v>
      </c>
      <c r="K35" s="1">
        <v>9100</v>
      </c>
      <c r="L35" s="12"/>
      <c r="M35" s="91">
        <f t="shared" si="20"/>
        <v>0</v>
      </c>
      <c r="N35" s="113"/>
      <c r="O35" s="114"/>
      <c r="P35" s="112">
        <v>0.65</v>
      </c>
    </row>
    <row r="36" spans="1:16" ht="30" customHeight="1" x14ac:dyDescent="0.3">
      <c r="A36" s="4">
        <v>17</v>
      </c>
      <c r="B36" s="10" t="s">
        <v>1825</v>
      </c>
      <c r="C36" s="10"/>
      <c r="D36" s="10"/>
      <c r="E36" s="10" t="s">
        <v>604</v>
      </c>
      <c r="F36" s="4" t="s">
        <v>1114</v>
      </c>
      <c r="G36" s="4">
        <v>2</v>
      </c>
      <c r="H36" s="4">
        <f t="shared" si="21"/>
        <v>6500</v>
      </c>
      <c r="I36" s="4">
        <v>6500</v>
      </c>
      <c r="J36" s="4">
        <f t="shared" si="19"/>
        <v>0</v>
      </c>
      <c r="K36" s="1">
        <v>6500</v>
      </c>
      <c r="L36" s="12"/>
      <c r="M36" s="91">
        <f t="shared" si="20"/>
        <v>0</v>
      </c>
      <c r="N36" s="113"/>
      <c r="O36" s="114"/>
      <c r="P36" s="112">
        <v>0.65</v>
      </c>
    </row>
    <row r="37" spans="1:16" ht="30" customHeight="1" x14ac:dyDescent="0.3">
      <c r="A37" s="4">
        <v>18</v>
      </c>
      <c r="B37" s="10" t="s">
        <v>1790</v>
      </c>
      <c r="C37" s="10"/>
      <c r="D37" s="10"/>
      <c r="E37" s="10" t="s">
        <v>1734</v>
      </c>
      <c r="F37" s="4" t="s">
        <v>1114</v>
      </c>
      <c r="G37" s="4">
        <v>1</v>
      </c>
      <c r="H37" s="4">
        <f t="shared" si="3"/>
        <v>6460</v>
      </c>
      <c r="I37" s="4">
        <v>6460</v>
      </c>
      <c r="J37" s="4">
        <f t="shared" ref="J37" si="22">K37-I37</f>
        <v>0</v>
      </c>
      <c r="K37" s="1">
        <v>6460</v>
      </c>
      <c r="L37" s="12"/>
      <c r="M37" s="91">
        <f t="shared" ref="M37" si="23">O37-N37</f>
        <v>0</v>
      </c>
      <c r="N37" s="113"/>
      <c r="O37" s="114"/>
      <c r="P37" s="112">
        <v>1</v>
      </c>
    </row>
    <row r="38" spans="1:16" ht="30" customHeight="1" x14ac:dyDescent="0.3">
      <c r="A38" s="4"/>
      <c r="B38" s="10"/>
      <c r="C38" s="10"/>
      <c r="D38" s="10"/>
      <c r="E38" s="10"/>
      <c r="F38" s="4"/>
      <c r="G38" s="4"/>
      <c r="H38" s="4"/>
      <c r="I38" s="4"/>
      <c r="J38" s="4"/>
      <c r="K38" s="1"/>
      <c r="L38" s="12"/>
      <c r="M38" s="91">
        <f t="shared" si="2"/>
        <v>0</v>
      </c>
      <c r="N38" s="113"/>
      <c r="O38" s="114"/>
      <c r="P38" s="112"/>
    </row>
    <row r="39" spans="1:16" ht="30" customHeight="1" x14ac:dyDescent="0.3">
      <c r="A39" s="4"/>
      <c r="B39" s="10"/>
      <c r="C39" s="10"/>
      <c r="D39" s="10"/>
      <c r="E39" s="10"/>
      <c r="F39" s="4"/>
      <c r="G39" s="4"/>
      <c r="H39" s="4"/>
      <c r="I39" s="4"/>
      <c r="J39" s="4"/>
      <c r="K39" s="1"/>
      <c r="L39" s="12"/>
      <c r="M39" s="91">
        <f t="shared" si="2"/>
        <v>0</v>
      </c>
      <c r="N39" s="113"/>
      <c r="O39" s="114"/>
      <c r="P39" s="112"/>
    </row>
    <row r="40" spans="1:16" ht="30" customHeight="1" x14ac:dyDescent="0.3">
      <c r="A40" s="4"/>
      <c r="B40" s="10"/>
      <c r="C40" s="10"/>
      <c r="D40" s="10"/>
      <c r="E40" s="10"/>
      <c r="F40" s="4"/>
      <c r="G40" s="4"/>
      <c r="H40" s="4"/>
      <c r="I40" s="4"/>
      <c r="J40" s="4"/>
      <c r="K40" s="1"/>
      <c r="L40" s="12"/>
      <c r="M40" s="91">
        <f t="shared" si="2"/>
        <v>0</v>
      </c>
      <c r="N40" s="113"/>
      <c r="O40" s="114"/>
      <c r="P40" s="112"/>
    </row>
    <row r="41" spans="1:16" ht="30" customHeight="1" x14ac:dyDescent="0.3">
      <c r="A41" s="4"/>
      <c r="B41" s="10"/>
      <c r="C41" s="10"/>
      <c r="D41" s="10"/>
      <c r="E41" s="10"/>
      <c r="F41" s="4"/>
      <c r="G41" s="4"/>
      <c r="H41" s="4"/>
      <c r="I41" s="4"/>
      <c r="J41" s="4"/>
      <c r="K41" s="1"/>
      <c r="L41" s="12"/>
      <c r="M41" s="91">
        <f t="shared" si="2"/>
        <v>0</v>
      </c>
      <c r="N41" s="113"/>
      <c r="O41" s="114"/>
      <c r="P41" s="112"/>
    </row>
    <row r="42" spans="1:16" ht="30" customHeight="1" x14ac:dyDescent="0.3">
      <c r="A42" s="4"/>
      <c r="B42" s="10"/>
      <c r="C42" s="10"/>
      <c r="D42" s="10"/>
      <c r="E42" s="10"/>
      <c r="F42" s="4"/>
      <c r="G42" s="4"/>
      <c r="H42" s="4"/>
      <c r="I42" s="4"/>
      <c r="J42" s="4"/>
      <c r="K42" s="1"/>
      <c r="L42" s="12"/>
      <c r="M42" s="91">
        <f t="shared" si="2"/>
        <v>0</v>
      </c>
      <c r="N42" s="113"/>
      <c r="O42" s="114"/>
      <c r="P42" s="112"/>
    </row>
    <row r="43" spans="1:16" ht="30" customHeight="1" x14ac:dyDescent="0.3">
      <c r="A43" s="4"/>
      <c r="B43" s="10"/>
      <c r="C43" s="10"/>
      <c r="D43" s="10"/>
      <c r="E43" s="10"/>
      <c r="F43" s="4"/>
      <c r="G43" s="4"/>
      <c r="H43" s="4"/>
      <c r="I43" s="4"/>
      <c r="J43" s="4"/>
      <c r="K43" s="1"/>
      <c r="L43" s="12"/>
      <c r="M43" s="91">
        <f t="shared" si="2"/>
        <v>0</v>
      </c>
      <c r="N43" s="113"/>
      <c r="O43" s="114"/>
      <c r="P43" s="112"/>
    </row>
    <row r="44" spans="1:16" ht="30" customHeight="1" x14ac:dyDescent="0.3">
      <c r="A44" s="4"/>
      <c r="B44" s="10"/>
      <c r="C44" s="10"/>
      <c r="D44" s="10"/>
      <c r="E44" s="10"/>
      <c r="F44" s="4"/>
      <c r="G44" s="4"/>
      <c r="H44" s="4"/>
      <c r="I44" s="4"/>
      <c r="J44" s="4"/>
      <c r="K44" s="1"/>
      <c r="L44" s="12"/>
      <c r="M44" s="91">
        <f t="shared" si="2"/>
        <v>0</v>
      </c>
      <c r="N44" s="113"/>
      <c r="O44" s="114"/>
      <c r="P44" s="112"/>
    </row>
    <row r="45" spans="1:16" ht="30" customHeight="1" x14ac:dyDescent="0.3">
      <c r="A45" s="4"/>
      <c r="B45" s="10"/>
      <c r="C45" s="10"/>
      <c r="D45" s="10"/>
      <c r="E45" s="10"/>
      <c r="F45" s="4"/>
      <c r="G45" s="4"/>
      <c r="H45" s="4"/>
      <c r="I45" s="4"/>
      <c r="J45" s="4"/>
      <c r="K45" s="1"/>
      <c r="L45" s="12"/>
      <c r="M45" s="91">
        <f t="shared" si="2"/>
        <v>0</v>
      </c>
      <c r="N45" s="113"/>
      <c r="O45" s="114"/>
      <c r="P45" s="112"/>
    </row>
    <row r="46" spans="1:16" ht="30" customHeight="1" x14ac:dyDescent="0.3">
      <c r="A46" s="4"/>
      <c r="B46" s="10"/>
      <c r="C46" s="10"/>
      <c r="D46" s="10"/>
      <c r="E46" s="10"/>
      <c r="F46" s="4"/>
      <c r="G46" s="4"/>
      <c r="H46" s="4"/>
      <c r="I46" s="4"/>
      <c r="J46" s="4"/>
      <c r="K46" s="1"/>
      <c r="L46" s="12"/>
      <c r="M46" s="91">
        <f t="shared" si="2"/>
        <v>0</v>
      </c>
      <c r="N46" s="113"/>
      <c r="O46" s="114"/>
      <c r="P46" s="112"/>
    </row>
    <row r="47" spans="1:16" ht="30" customHeight="1" x14ac:dyDescent="0.3">
      <c r="A47" s="4"/>
      <c r="B47" s="10"/>
      <c r="C47" s="10"/>
      <c r="D47" s="10"/>
      <c r="E47" s="10"/>
      <c r="F47" s="4"/>
      <c r="G47" s="4"/>
      <c r="H47" s="4"/>
      <c r="I47" s="4"/>
      <c r="J47" s="4"/>
      <c r="K47" s="1"/>
      <c r="L47" s="12"/>
      <c r="M47" s="91">
        <f t="shared" si="2"/>
        <v>0</v>
      </c>
      <c r="N47" s="113"/>
      <c r="O47" s="114"/>
      <c r="P47" s="112"/>
    </row>
    <row r="48" spans="1:16" ht="30" customHeight="1" x14ac:dyDescent="0.3">
      <c r="A48" s="4"/>
      <c r="B48" s="10"/>
      <c r="C48" s="10"/>
      <c r="D48" s="10"/>
      <c r="E48" s="10"/>
      <c r="F48" s="4"/>
      <c r="G48" s="4"/>
      <c r="H48" s="4"/>
      <c r="I48" s="4"/>
      <c r="J48" s="4"/>
      <c r="K48" s="1"/>
      <c r="L48" s="12"/>
      <c r="M48" s="91">
        <f t="shared" si="2"/>
        <v>0</v>
      </c>
      <c r="N48" s="113"/>
      <c r="O48" s="114"/>
      <c r="P48" s="112"/>
    </row>
    <row r="49" spans="1:16" ht="30" customHeight="1" x14ac:dyDescent="0.3">
      <c r="A49" s="4"/>
      <c r="B49" s="10"/>
      <c r="C49" s="10"/>
      <c r="D49" s="10"/>
      <c r="E49" s="10"/>
      <c r="F49" s="4"/>
      <c r="G49" s="4"/>
      <c r="H49" s="4"/>
      <c r="I49" s="4"/>
      <c r="J49" s="4"/>
      <c r="K49" s="1"/>
      <c r="L49" s="12"/>
      <c r="M49" s="91">
        <f t="shared" si="2"/>
        <v>0</v>
      </c>
      <c r="N49" s="113"/>
      <c r="O49" s="114"/>
      <c r="P49" s="112"/>
    </row>
    <row r="50" spans="1:16" ht="30" customHeight="1" x14ac:dyDescent="0.3">
      <c r="A50" s="4"/>
      <c r="B50" s="10"/>
      <c r="C50" s="10"/>
      <c r="D50" s="10"/>
      <c r="E50" s="10"/>
      <c r="F50" s="4"/>
      <c r="G50" s="4"/>
      <c r="H50" s="4"/>
      <c r="I50" s="4"/>
      <c r="J50" s="4"/>
      <c r="K50" s="1"/>
      <c r="L50" s="12"/>
      <c r="M50" s="91">
        <f t="shared" si="2"/>
        <v>0</v>
      </c>
      <c r="N50" s="113"/>
      <c r="O50" s="114"/>
      <c r="P50" s="112"/>
    </row>
    <row r="51" spans="1:16" ht="30" customHeight="1" x14ac:dyDescent="0.3">
      <c r="A51" s="4"/>
      <c r="B51" s="10"/>
      <c r="C51" s="10"/>
      <c r="D51" s="10"/>
      <c r="E51" s="10"/>
      <c r="F51" s="4"/>
      <c r="G51" s="4"/>
      <c r="H51" s="4"/>
      <c r="I51" s="4"/>
      <c r="J51" s="4"/>
      <c r="K51" s="1"/>
      <c r="L51" s="12"/>
      <c r="M51" s="91">
        <f t="shared" si="2"/>
        <v>0</v>
      </c>
      <c r="N51" s="113"/>
      <c r="O51" s="114"/>
      <c r="P51" s="112"/>
    </row>
    <row r="52" spans="1:16" ht="30" customHeight="1" x14ac:dyDescent="0.3">
      <c r="A52" s="4"/>
      <c r="B52" s="10"/>
      <c r="C52" s="10"/>
      <c r="D52" s="10"/>
      <c r="E52" s="10"/>
      <c r="F52" s="4"/>
      <c r="G52" s="4"/>
      <c r="H52" s="4"/>
      <c r="I52" s="4"/>
      <c r="J52" s="4"/>
      <c r="K52" s="1"/>
      <c r="L52" s="12"/>
      <c r="M52" s="91">
        <f t="shared" si="2"/>
        <v>0</v>
      </c>
      <c r="N52" s="113"/>
      <c r="O52" s="114"/>
      <c r="P52" s="112"/>
    </row>
    <row r="53" spans="1:16" ht="30" customHeight="1" x14ac:dyDescent="0.3">
      <c r="A53" s="4"/>
      <c r="B53" s="10"/>
      <c r="C53" s="10"/>
      <c r="D53" s="10"/>
      <c r="E53" s="10"/>
      <c r="F53" s="4"/>
      <c r="G53" s="4"/>
      <c r="H53" s="4"/>
      <c r="I53" s="4"/>
      <c r="J53" s="4"/>
      <c r="K53" s="1"/>
      <c r="L53" s="12"/>
      <c r="M53" s="91">
        <f t="shared" si="2"/>
        <v>0</v>
      </c>
      <c r="N53" s="113"/>
      <c r="O53" s="114"/>
      <c r="P53" s="112"/>
    </row>
    <row r="54" spans="1:16" ht="30" customHeight="1" x14ac:dyDescent="0.3">
      <c r="A54" s="4"/>
      <c r="B54" s="10"/>
      <c r="C54" s="10"/>
      <c r="D54" s="10"/>
      <c r="E54" s="10"/>
      <c r="F54" s="4"/>
      <c r="G54" s="4"/>
      <c r="H54" s="4"/>
      <c r="I54" s="4"/>
      <c r="J54" s="4"/>
      <c r="K54" s="1"/>
      <c r="L54" s="12"/>
      <c r="M54" s="91">
        <f t="shared" si="2"/>
        <v>0</v>
      </c>
      <c r="N54" s="113"/>
      <c r="O54" s="114"/>
      <c r="P54" s="112"/>
    </row>
    <row r="55" spans="1:16" ht="30" customHeight="1" x14ac:dyDescent="0.3">
      <c r="A55" s="4"/>
      <c r="B55" s="10"/>
      <c r="C55" s="10"/>
      <c r="D55" s="10"/>
      <c r="E55" s="10"/>
      <c r="F55" s="4"/>
      <c r="G55" s="4"/>
      <c r="H55" s="4"/>
      <c r="I55" s="4"/>
      <c r="J55" s="4"/>
      <c r="K55" s="1"/>
      <c r="L55" s="12"/>
      <c r="M55" s="91">
        <f t="shared" si="2"/>
        <v>0</v>
      </c>
      <c r="N55" s="113"/>
      <c r="O55" s="114"/>
      <c r="P55" s="112"/>
    </row>
    <row r="56" spans="1:16" ht="30" customHeight="1" x14ac:dyDescent="0.3">
      <c r="A56" s="4"/>
      <c r="B56" s="10"/>
      <c r="C56" s="10"/>
      <c r="D56" s="10"/>
      <c r="E56" s="10"/>
      <c r="F56" s="4"/>
      <c r="G56" s="4"/>
      <c r="H56" s="4"/>
      <c r="I56" s="4"/>
      <c r="J56" s="4"/>
      <c r="K56" s="1"/>
      <c r="L56" s="12"/>
      <c r="M56" s="91">
        <f t="shared" si="2"/>
        <v>0</v>
      </c>
      <c r="N56" s="113"/>
      <c r="O56" s="114"/>
      <c r="P56" s="112"/>
    </row>
    <row r="57" spans="1:16" ht="30" customHeight="1" x14ac:dyDescent="0.3">
      <c r="A57" s="4"/>
      <c r="B57" s="10"/>
      <c r="C57" s="10"/>
      <c r="D57" s="10"/>
      <c r="E57" s="10"/>
      <c r="F57" s="4"/>
      <c r="G57" s="4"/>
      <c r="H57" s="4"/>
      <c r="I57" s="4"/>
      <c r="J57" s="4"/>
      <c r="K57" s="1"/>
      <c r="L57" s="12"/>
      <c r="M57" s="91">
        <f t="shared" si="2"/>
        <v>0</v>
      </c>
      <c r="N57" s="113"/>
      <c r="O57" s="114"/>
      <c r="P57" s="112"/>
    </row>
    <row r="58" spans="1:16" ht="30" customHeight="1" x14ac:dyDescent="0.3">
      <c r="A58" s="4"/>
      <c r="B58" s="10"/>
      <c r="C58" s="10"/>
      <c r="D58" s="10"/>
      <c r="E58" s="10"/>
      <c r="F58" s="4"/>
      <c r="G58" s="4"/>
      <c r="H58" s="4"/>
      <c r="I58" s="4"/>
      <c r="J58" s="4"/>
      <c r="K58" s="1"/>
      <c r="L58" s="12"/>
      <c r="M58" s="91">
        <f t="shared" si="2"/>
        <v>0</v>
      </c>
      <c r="N58" s="113"/>
      <c r="O58" s="114"/>
      <c r="P58" s="112"/>
    </row>
    <row r="59" spans="1:16" ht="30" customHeight="1" x14ac:dyDescent="0.3">
      <c r="A59" s="4"/>
      <c r="B59" s="10"/>
      <c r="C59" s="10"/>
      <c r="D59" s="10"/>
      <c r="E59" s="10"/>
      <c r="F59" s="4"/>
      <c r="G59" s="4"/>
      <c r="H59" s="4"/>
      <c r="I59" s="4"/>
      <c r="J59" s="4"/>
      <c r="K59" s="1"/>
      <c r="L59" s="12"/>
      <c r="M59" s="91">
        <f t="shared" si="2"/>
        <v>0</v>
      </c>
      <c r="N59" s="113"/>
      <c r="O59" s="114"/>
      <c r="P59" s="112"/>
    </row>
    <row r="60" spans="1:16" ht="39.9" customHeight="1" x14ac:dyDescent="0.3">
      <c r="A60" s="4"/>
      <c r="B60" s="10"/>
      <c r="C60" s="10"/>
      <c r="D60" s="10"/>
      <c r="E60" s="10"/>
      <c r="F60" s="4"/>
      <c r="G60" s="4"/>
      <c r="H60" s="4"/>
      <c r="I60" s="4"/>
      <c r="J60" s="4"/>
      <c r="K60" s="1"/>
      <c r="L60" s="12"/>
      <c r="M60" s="91">
        <f t="shared" si="2"/>
        <v>0</v>
      </c>
      <c r="N60" s="113"/>
      <c r="O60" s="114"/>
      <c r="P60" s="112"/>
    </row>
    <row r="61" spans="1:16" ht="84.6" customHeight="1" x14ac:dyDescent="0.3">
      <c r="A61" s="4"/>
      <c r="B61" s="10"/>
      <c r="C61" s="10"/>
      <c r="D61" s="10"/>
      <c r="E61" s="10"/>
      <c r="F61" s="4"/>
      <c r="G61" s="4"/>
      <c r="H61" s="4"/>
      <c r="I61" s="4"/>
      <c r="J61" s="4"/>
      <c r="K61" s="1"/>
      <c r="L61" s="12"/>
      <c r="M61" s="91">
        <f t="shared" si="2"/>
        <v>0</v>
      </c>
      <c r="N61" s="113"/>
      <c r="O61" s="114"/>
      <c r="P61" s="112"/>
    </row>
    <row r="62" spans="1:16" ht="57.6" customHeight="1" x14ac:dyDescent="0.3">
      <c r="A62" s="4"/>
      <c r="B62" s="10"/>
      <c r="C62" s="10"/>
      <c r="D62" s="10"/>
      <c r="E62" s="10"/>
      <c r="F62" s="4"/>
      <c r="G62" s="4"/>
      <c r="H62" s="4"/>
      <c r="I62" s="4"/>
      <c r="J62" s="4"/>
      <c r="K62" s="1"/>
      <c r="L62" s="12"/>
      <c r="M62" s="91">
        <f t="shared" si="2"/>
        <v>0</v>
      </c>
      <c r="N62" s="113"/>
      <c r="O62" s="114"/>
      <c r="P62" s="112"/>
    </row>
    <row r="63" spans="1:16" ht="68.400000000000006" customHeight="1" x14ac:dyDescent="0.3">
      <c r="A63" s="4"/>
      <c r="B63" s="10"/>
      <c r="C63" s="10"/>
      <c r="D63" s="10"/>
      <c r="E63" s="10"/>
      <c r="F63" s="4"/>
      <c r="G63" s="4"/>
      <c r="H63" s="4"/>
      <c r="I63" s="4"/>
      <c r="J63" s="4"/>
      <c r="K63" s="1"/>
      <c r="L63" s="12"/>
      <c r="M63" s="91">
        <f t="shared" si="2"/>
        <v>0</v>
      </c>
      <c r="N63" s="113"/>
      <c r="O63" s="114"/>
      <c r="P63" s="112"/>
    </row>
    <row r="64" spans="1:16" ht="71.400000000000006" customHeight="1" x14ac:dyDescent="0.3">
      <c r="A64" s="4"/>
      <c r="B64" s="10"/>
      <c r="C64" s="10"/>
      <c r="D64" s="10"/>
      <c r="E64" s="10"/>
      <c r="F64" s="4"/>
      <c r="G64" s="4"/>
      <c r="H64" s="4"/>
      <c r="I64" s="4"/>
      <c r="J64" s="4"/>
      <c r="K64" s="1"/>
      <c r="L64" s="12"/>
      <c r="M64" s="91">
        <f t="shared" si="2"/>
        <v>0</v>
      </c>
      <c r="N64" s="113"/>
      <c r="O64" s="114"/>
      <c r="P64" s="112"/>
    </row>
    <row r="65" spans="1:16" ht="39.9" customHeight="1" x14ac:dyDescent="0.3">
      <c r="A65" s="4"/>
      <c r="B65" s="10"/>
      <c r="C65" s="10"/>
      <c r="D65" s="10"/>
      <c r="E65" s="10"/>
      <c r="F65" s="4"/>
      <c r="G65" s="4"/>
      <c r="H65" s="4"/>
      <c r="I65" s="4"/>
      <c r="J65" s="4"/>
      <c r="K65" s="1"/>
      <c r="L65" s="12"/>
      <c r="M65" s="91">
        <f t="shared" si="2"/>
        <v>0</v>
      </c>
      <c r="N65" s="113"/>
      <c r="O65" s="114"/>
      <c r="P65" s="112"/>
    </row>
    <row r="66" spans="1:16" ht="39.9" customHeight="1" x14ac:dyDescent="0.3">
      <c r="A66" s="4"/>
      <c r="B66" s="10"/>
      <c r="C66" s="10"/>
      <c r="D66" s="10"/>
      <c r="E66" s="10"/>
      <c r="F66" s="4"/>
      <c r="G66" s="4"/>
      <c r="H66" s="4"/>
      <c r="I66" s="4"/>
      <c r="J66" s="4"/>
      <c r="K66" s="1"/>
      <c r="L66" s="12"/>
      <c r="M66" s="91">
        <f t="shared" si="2"/>
        <v>0</v>
      </c>
      <c r="N66" s="113"/>
      <c r="O66" s="114"/>
      <c r="P66" s="112"/>
    </row>
    <row r="67" spans="1:16" ht="31.2" x14ac:dyDescent="0.3">
      <c r="A67" s="4"/>
      <c r="B67" s="10"/>
      <c r="C67" s="10"/>
      <c r="D67" s="10"/>
      <c r="E67" s="10"/>
      <c r="F67" s="4"/>
      <c r="G67" s="4"/>
      <c r="H67" s="4"/>
      <c r="I67" s="4"/>
      <c r="J67" s="4"/>
      <c r="K67" s="1"/>
      <c r="L67" s="12"/>
      <c r="M67" s="91">
        <f t="shared" si="2"/>
        <v>0</v>
      </c>
      <c r="N67" s="113"/>
      <c r="O67" s="114"/>
      <c r="P67" s="112"/>
    </row>
    <row r="68" spans="1:16" ht="31.2" x14ac:dyDescent="0.3">
      <c r="A68" s="4"/>
      <c r="B68" s="10"/>
      <c r="C68" s="10"/>
      <c r="D68" s="10"/>
      <c r="E68" s="10"/>
      <c r="F68" s="4"/>
      <c r="G68" s="4"/>
      <c r="H68" s="4"/>
      <c r="I68" s="4"/>
      <c r="J68" s="4"/>
      <c r="K68" s="1"/>
      <c r="L68" s="12"/>
      <c r="M68" s="91">
        <f t="shared" si="2"/>
        <v>0</v>
      </c>
      <c r="N68" s="113"/>
      <c r="O68" s="114"/>
      <c r="P68" s="112"/>
    </row>
    <row r="69" spans="1:16" ht="31.2" x14ac:dyDescent="0.3">
      <c r="A69" s="4"/>
      <c r="B69" s="10"/>
      <c r="C69" s="10"/>
      <c r="D69" s="10"/>
      <c r="E69" s="10"/>
      <c r="F69" s="4"/>
      <c r="G69" s="4"/>
      <c r="H69" s="4"/>
      <c r="I69" s="4"/>
      <c r="J69" s="4"/>
      <c r="K69" s="1"/>
      <c r="L69" s="12"/>
      <c r="M69" s="91">
        <f t="shared" si="2"/>
        <v>0</v>
      </c>
      <c r="N69" s="113"/>
      <c r="O69" s="114"/>
      <c r="P69" s="112"/>
    </row>
    <row r="70" spans="1:16" ht="31.2" x14ac:dyDescent="0.3">
      <c r="A70" s="4"/>
      <c r="B70" s="10"/>
      <c r="C70" s="10"/>
      <c r="D70" s="10"/>
      <c r="E70" s="10"/>
      <c r="F70" s="4"/>
      <c r="G70" s="4"/>
      <c r="H70" s="4"/>
      <c r="I70" s="4"/>
      <c r="J70" s="4"/>
      <c r="K70" s="1"/>
      <c r="L70" s="12"/>
      <c r="M70" s="91">
        <f t="shared" si="2"/>
        <v>0</v>
      </c>
      <c r="N70" s="113"/>
      <c r="O70" s="114"/>
      <c r="P70" s="112"/>
    </row>
    <row r="71" spans="1:16" ht="31.2" x14ac:dyDescent="0.3">
      <c r="A71" s="4"/>
      <c r="B71" s="10"/>
      <c r="C71" s="10"/>
      <c r="D71" s="10"/>
      <c r="E71" s="10"/>
      <c r="F71" s="4"/>
      <c r="G71" s="4"/>
      <c r="H71" s="4"/>
      <c r="I71" s="4"/>
      <c r="J71" s="4"/>
      <c r="K71" s="1"/>
      <c r="L71" s="12"/>
      <c r="M71" s="91">
        <f t="shared" si="2"/>
        <v>0</v>
      </c>
      <c r="N71" s="113"/>
      <c r="O71" s="114"/>
      <c r="P71" s="112"/>
    </row>
    <row r="72" spans="1:16" ht="31.2" x14ac:dyDescent="0.3">
      <c r="A72" s="4"/>
      <c r="B72" s="10"/>
      <c r="C72" s="10"/>
      <c r="D72" s="10"/>
      <c r="E72" s="10"/>
      <c r="F72" s="4"/>
      <c r="G72" s="4"/>
      <c r="H72" s="4"/>
      <c r="I72" s="4"/>
      <c r="J72" s="4"/>
      <c r="K72" s="1"/>
      <c r="L72" s="12"/>
      <c r="M72" s="91">
        <f t="shared" si="2"/>
        <v>0</v>
      </c>
      <c r="N72" s="113"/>
      <c r="O72" s="114"/>
      <c r="P72" s="112"/>
    </row>
    <row r="73" spans="1:16" ht="31.2" x14ac:dyDescent="0.3">
      <c r="A73" s="4"/>
      <c r="B73" s="10"/>
      <c r="C73" s="10"/>
      <c r="D73" s="10"/>
      <c r="E73" s="10"/>
      <c r="F73" s="4"/>
      <c r="G73" s="4"/>
      <c r="H73" s="4"/>
      <c r="I73" s="4"/>
      <c r="J73" s="4"/>
      <c r="K73" s="1"/>
      <c r="L73" s="12"/>
      <c r="M73" s="91">
        <f t="shared" si="2"/>
        <v>0</v>
      </c>
      <c r="N73" s="113"/>
      <c r="O73" s="114"/>
      <c r="P73" s="112"/>
    </row>
    <row r="74" spans="1:16" ht="31.2" x14ac:dyDescent="0.3">
      <c r="A74" s="4"/>
      <c r="B74" s="10"/>
      <c r="C74" s="10"/>
      <c r="D74" s="10"/>
      <c r="E74" s="10"/>
      <c r="F74" s="4"/>
      <c r="G74" s="4"/>
      <c r="H74" s="4"/>
      <c r="I74" s="4"/>
      <c r="J74" s="4"/>
      <c r="K74" s="1"/>
      <c r="L74" s="12"/>
      <c r="M74" s="91">
        <f t="shared" si="2"/>
        <v>0</v>
      </c>
      <c r="N74" s="113"/>
      <c r="O74" s="114"/>
      <c r="P74" s="112"/>
    </row>
    <row r="75" spans="1:16" ht="31.2" x14ac:dyDescent="0.3">
      <c r="A75" s="4"/>
      <c r="B75" s="10"/>
      <c r="C75" s="10"/>
      <c r="D75" s="10"/>
      <c r="E75" s="10"/>
      <c r="F75" s="4"/>
      <c r="G75" s="4"/>
      <c r="H75" s="4"/>
      <c r="I75" s="4"/>
      <c r="J75" s="4"/>
      <c r="K75" s="1"/>
      <c r="L75" s="12"/>
      <c r="M75" s="91">
        <f t="shared" si="2"/>
        <v>0</v>
      </c>
      <c r="N75" s="113"/>
      <c r="O75" s="114"/>
      <c r="P75" s="112"/>
    </row>
    <row r="76" spans="1:16" ht="31.2" x14ac:dyDescent="0.3">
      <c r="A76" s="4"/>
      <c r="B76" s="10"/>
      <c r="C76" s="10"/>
      <c r="D76" s="10"/>
      <c r="E76" s="10"/>
      <c r="F76" s="4"/>
      <c r="G76" s="4"/>
      <c r="H76" s="4"/>
      <c r="I76" s="4"/>
      <c r="J76" s="4"/>
      <c r="K76" s="1"/>
      <c r="L76" s="12"/>
      <c r="M76" s="91">
        <f t="shared" si="2"/>
        <v>0</v>
      </c>
      <c r="N76" s="113"/>
      <c r="O76" s="114"/>
      <c r="P76" s="112"/>
    </row>
    <row r="77" spans="1:16" ht="31.2" x14ac:dyDescent="0.3">
      <c r="A77" s="4"/>
      <c r="B77" s="10"/>
      <c r="C77" s="10"/>
      <c r="D77" s="10"/>
      <c r="E77" s="10"/>
      <c r="F77" s="4"/>
      <c r="G77" s="4"/>
      <c r="H77" s="4"/>
      <c r="I77" s="4"/>
      <c r="J77" s="4"/>
      <c r="K77" s="1"/>
      <c r="L77" s="12"/>
      <c r="M77" s="91">
        <f t="shared" si="2"/>
        <v>0</v>
      </c>
      <c r="N77" s="113"/>
      <c r="O77" s="114"/>
      <c r="P77" s="112"/>
    </row>
    <row r="78" spans="1:16" ht="31.2" x14ac:dyDescent="0.3">
      <c r="A78" s="4"/>
      <c r="B78" s="10"/>
      <c r="C78" s="10"/>
      <c r="D78" s="10"/>
      <c r="E78" s="10"/>
      <c r="F78" s="4"/>
      <c r="G78" s="4"/>
      <c r="H78" s="4"/>
      <c r="I78" s="4"/>
      <c r="J78" s="4"/>
      <c r="K78" s="1"/>
      <c r="L78" s="12"/>
      <c r="M78" s="91">
        <f t="shared" si="2"/>
        <v>0</v>
      </c>
      <c r="N78" s="113"/>
      <c r="O78" s="114"/>
      <c r="P78" s="112"/>
    </row>
    <row r="79" spans="1:16" ht="39.9" customHeight="1" x14ac:dyDescent="0.3">
      <c r="A79" s="4"/>
      <c r="B79" s="10"/>
      <c r="C79" s="10"/>
      <c r="D79" s="10"/>
      <c r="E79" s="10"/>
      <c r="F79" s="4"/>
      <c r="G79" s="4"/>
      <c r="H79" s="4"/>
      <c r="I79" s="4"/>
      <c r="J79" s="4"/>
      <c r="K79" s="1"/>
      <c r="L79" s="12"/>
      <c r="M79" s="91">
        <f t="shared" si="2"/>
        <v>0</v>
      </c>
      <c r="N79" s="113"/>
      <c r="O79" s="114"/>
      <c r="P79" s="112"/>
    </row>
    <row r="80" spans="1:16" ht="39.9" customHeight="1" x14ac:dyDescent="0.3">
      <c r="A80" s="4"/>
      <c r="B80" s="10"/>
      <c r="C80" s="10"/>
      <c r="D80" s="10"/>
      <c r="E80" s="10"/>
      <c r="F80" s="4"/>
      <c r="G80" s="4"/>
      <c r="H80" s="4"/>
      <c r="I80" s="4"/>
      <c r="J80" s="4"/>
      <c r="K80" s="1"/>
      <c r="L80" s="12"/>
      <c r="M80" s="91">
        <f t="shared" si="2"/>
        <v>0</v>
      </c>
      <c r="N80" s="113"/>
      <c r="O80" s="114"/>
      <c r="P80" s="112"/>
    </row>
    <row r="81" spans="1:16" ht="39.9" customHeight="1" x14ac:dyDescent="0.3">
      <c r="A81" s="4"/>
      <c r="B81" s="10"/>
      <c r="C81" s="10"/>
      <c r="D81" s="10"/>
      <c r="E81" s="10"/>
      <c r="F81" s="4"/>
      <c r="G81" s="4"/>
      <c r="H81" s="44"/>
      <c r="I81" s="4"/>
      <c r="J81" s="4"/>
      <c r="K81" s="1"/>
      <c r="L81" s="12"/>
      <c r="M81" s="91">
        <f t="shared" si="2"/>
        <v>0</v>
      </c>
      <c r="N81" s="113"/>
      <c r="O81" s="114"/>
      <c r="P81" s="112"/>
    </row>
    <row r="82" spans="1:16" ht="39.9" customHeight="1" x14ac:dyDescent="0.3">
      <c r="A82" s="4"/>
      <c r="B82" s="10"/>
      <c r="C82" s="10"/>
      <c r="D82" s="10"/>
      <c r="E82" s="10"/>
      <c r="F82" s="4"/>
      <c r="G82" s="4"/>
      <c r="H82" s="4"/>
      <c r="I82" s="4"/>
      <c r="J82" s="4"/>
      <c r="K82" s="1"/>
      <c r="L82" s="12"/>
      <c r="M82" s="91">
        <f t="shared" si="2"/>
        <v>0</v>
      </c>
      <c r="N82" s="113"/>
      <c r="O82" s="114"/>
      <c r="P82" s="112"/>
    </row>
    <row r="83" spans="1:16" ht="39.9" customHeight="1" x14ac:dyDescent="0.3">
      <c r="A83" s="4"/>
      <c r="B83" s="10"/>
      <c r="C83" s="10"/>
      <c r="D83" s="10"/>
      <c r="E83" s="10"/>
      <c r="F83" s="4"/>
      <c r="G83" s="4"/>
      <c r="H83" s="4"/>
      <c r="I83" s="4"/>
      <c r="J83" s="4"/>
      <c r="K83" s="1"/>
      <c r="L83" s="12"/>
      <c r="M83" s="91">
        <f t="shared" ref="M83:M129" si="24">O83-N83</f>
        <v>0</v>
      </c>
      <c r="N83" s="113"/>
      <c r="O83" s="114"/>
      <c r="P83" s="112"/>
    </row>
    <row r="84" spans="1:16" ht="39.9" customHeight="1" x14ac:dyDescent="0.3">
      <c r="A84" s="4"/>
      <c r="B84" s="10"/>
      <c r="C84" s="10"/>
      <c r="D84" s="10"/>
      <c r="E84" s="10"/>
      <c r="F84" s="4"/>
      <c r="G84" s="4"/>
      <c r="H84" s="4"/>
      <c r="I84" s="4"/>
      <c r="J84" s="4"/>
      <c r="K84" s="1"/>
      <c r="L84" s="12"/>
      <c r="M84" s="91">
        <f t="shared" si="24"/>
        <v>0</v>
      </c>
      <c r="N84" s="113"/>
      <c r="O84" s="114"/>
      <c r="P84" s="112"/>
    </row>
    <row r="85" spans="1:16" ht="39.9" customHeight="1" x14ac:dyDescent="0.3">
      <c r="A85" s="4"/>
      <c r="B85" s="10"/>
      <c r="C85" s="10"/>
      <c r="D85" s="10"/>
      <c r="E85" s="10"/>
      <c r="F85" s="4"/>
      <c r="G85" s="4"/>
      <c r="H85" s="4"/>
      <c r="I85" s="4"/>
      <c r="J85" s="4"/>
      <c r="K85" s="1"/>
      <c r="L85" s="12"/>
      <c r="M85" s="91">
        <f t="shared" si="24"/>
        <v>0</v>
      </c>
      <c r="N85" s="113"/>
      <c r="O85" s="114"/>
      <c r="P85" s="112"/>
    </row>
    <row r="86" spans="1:16" ht="39.9" customHeight="1" x14ac:dyDescent="0.3">
      <c r="A86" s="4"/>
      <c r="B86" s="10"/>
      <c r="C86" s="10"/>
      <c r="D86" s="10"/>
      <c r="E86" s="10"/>
      <c r="F86" s="4"/>
      <c r="G86" s="4"/>
      <c r="H86" s="4"/>
      <c r="I86" s="4"/>
      <c r="J86" s="4"/>
      <c r="K86" s="1"/>
      <c r="L86" s="12"/>
      <c r="M86" s="91">
        <f t="shared" si="24"/>
        <v>0</v>
      </c>
      <c r="N86" s="113"/>
      <c r="O86" s="114"/>
      <c r="P86" s="112"/>
    </row>
    <row r="87" spans="1:16" ht="39.9" customHeight="1" x14ac:dyDescent="0.3">
      <c r="A87" s="4"/>
      <c r="B87" s="10"/>
      <c r="C87" s="10"/>
      <c r="D87" s="10"/>
      <c r="E87" s="10"/>
      <c r="F87" s="4"/>
      <c r="G87" s="4"/>
      <c r="H87" s="4"/>
      <c r="I87" s="4"/>
      <c r="J87" s="4"/>
      <c r="K87" s="1"/>
      <c r="L87" s="12"/>
      <c r="M87" s="91">
        <f t="shared" si="24"/>
        <v>0</v>
      </c>
      <c r="N87" s="113"/>
      <c r="O87" s="114"/>
      <c r="P87" s="112"/>
    </row>
    <row r="88" spans="1:16" ht="39.9" customHeight="1" x14ac:dyDescent="0.3">
      <c r="A88" s="4"/>
      <c r="B88" s="10"/>
      <c r="C88" s="10"/>
      <c r="D88" s="10"/>
      <c r="E88" s="10"/>
      <c r="F88" s="4"/>
      <c r="G88" s="4"/>
      <c r="H88" s="4"/>
      <c r="I88" s="4"/>
      <c r="J88" s="4"/>
      <c r="K88" s="1"/>
      <c r="L88" s="12"/>
      <c r="M88" s="91">
        <f t="shared" si="24"/>
        <v>0</v>
      </c>
      <c r="N88" s="113"/>
      <c r="O88" s="114"/>
      <c r="P88" s="112"/>
    </row>
    <row r="89" spans="1:16" ht="39.9" customHeight="1" x14ac:dyDescent="0.3">
      <c r="A89" s="4"/>
      <c r="B89" s="10"/>
      <c r="C89" s="10"/>
      <c r="D89" s="10"/>
      <c r="E89" s="10"/>
      <c r="F89" s="4"/>
      <c r="G89" s="4"/>
      <c r="H89" s="4"/>
      <c r="I89" s="4"/>
      <c r="J89" s="4"/>
      <c r="K89" s="1"/>
      <c r="L89" s="12"/>
      <c r="M89" s="91">
        <f t="shared" si="24"/>
        <v>0</v>
      </c>
      <c r="N89" s="113"/>
      <c r="O89" s="114"/>
      <c r="P89" s="112"/>
    </row>
    <row r="90" spans="1:16" ht="39.9" customHeight="1" x14ac:dyDescent="0.3">
      <c r="A90" s="4"/>
      <c r="B90" s="10"/>
      <c r="C90" s="10"/>
      <c r="D90" s="10"/>
      <c r="E90" s="10"/>
      <c r="F90" s="4"/>
      <c r="G90" s="4"/>
      <c r="H90" s="4"/>
      <c r="I90" s="4"/>
      <c r="J90" s="4"/>
      <c r="K90" s="1"/>
      <c r="L90" s="12"/>
      <c r="M90" s="91">
        <f t="shared" si="24"/>
        <v>0</v>
      </c>
      <c r="N90" s="113"/>
      <c r="O90" s="114"/>
      <c r="P90" s="112"/>
    </row>
    <row r="91" spans="1:16" ht="39.9" customHeight="1" x14ac:dyDescent="0.3">
      <c r="A91" s="4"/>
      <c r="B91" s="10"/>
      <c r="C91" s="10"/>
      <c r="D91" s="10"/>
      <c r="E91" s="10"/>
      <c r="F91" s="4"/>
      <c r="G91" s="4"/>
      <c r="H91" s="4"/>
      <c r="I91" s="4"/>
      <c r="J91" s="4"/>
      <c r="K91" s="1"/>
      <c r="L91" s="12"/>
      <c r="M91" s="91">
        <f t="shared" si="24"/>
        <v>0</v>
      </c>
      <c r="N91" s="113"/>
      <c r="O91" s="114"/>
      <c r="P91" s="112"/>
    </row>
    <row r="92" spans="1:16" ht="63.6" customHeight="1" x14ac:dyDescent="0.3">
      <c r="A92" s="4"/>
      <c r="B92" s="10"/>
      <c r="C92" s="10"/>
      <c r="D92" s="10"/>
      <c r="E92" s="10"/>
      <c r="F92" s="4"/>
      <c r="G92" s="4"/>
      <c r="H92" s="4"/>
      <c r="I92" s="4"/>
      <c r="J92" s="4"/>
      <c r="K92" s="1"/>
      <c r="L92" s="12"/>
      <c r="M92" s="91">
        <f t="shared" si="24"/>
        <v>0</v>
      </c>
      <c r="N92" s="113"/>
      <c r="O92" s="114"/>
      <c r="P92" s="112"/>
    </row>
    <row r="93" spans="1:16" ht="39.9" customHeight="1" x14ac:dyDescent="0.3">
      <c r="A93" s="4"/>
      <c r="B93" s="10"/>
      <c r="C93" s="10"/>
      <c r="D93" s="10"/>
      <c r="E93" s="10"/>
      <c r="F93" s="4"/>
      <c r="G93" s="4"/>
      <c r="H93" s="4"/>
      <c r="I93" s="4"/>
      <c r="J93" s="4"/>
      <c r="K93" s="1"/>
      <c r="L93" s="12"/>
      <c r="M93" s="91">
        <f t="shared" si="24"/>
        <v>0</v>
      </c>
      <c r="N93" s="113"/>
      <c r="O93" s="114"/>
      <c r="P93" s="112"/>
    </row>
    <row r="94" spans="1:16" ht="39.9" customHeight="1" x14ac:dyDescent="0.3">
      <c r="A94" s="4"/>
      <c r="B94" s="10"/>
      <c r="C94" s="10"/>
      <c r="D94" s="10"/>
      <c r="E94" s="10"/>
      <c r="F94" s="4"/>
      <c r="G94" s="4"/>
      <c r="H94" s="4"/>
      <c r="I94" s="4"/>
      <c r="J94" s="4"/>
      <c r="K94" s="1"/>
      <c r="L94" s="12"/>
      <c r="M94" s="91">
        <f t="shared" si="24"/>
        <v>0</v>
      </c>
      <c r="N94" s="113"/>
      <c r="O94" s="114"/>
      <c r="P94" s="112"/>
    </row>
    <row r="95" spans="1:16" ht="39.9" customHeight="1" x14ac:dyDescent="0.3">
      <c r="A95" s="4"/>
      <c r="B95" s="10"/>
      <c r="C95" s="10"/>
      <c r="D95" s="10"/>
      <c r="E95" s="10"/>
      <c r="F95" s="4"/>
      <c r="G95" s="4"/>
      <c r="H95" s="4"/>
      <c r="I95" s="4"/>
      <c r="J95" s="4"/>
      <c r="K95" s="1"/>
      <c r="L95" s="12"/>
      <c r="M95" s="91">
        <f t="shared" si="24"/>
        <v>0</v>
      </c>
      <c r="N95" s="113"/>
      <c r="O95" s="114"/>
      <c r="P95" s="112"/>
    </row>
    <row r="96" spans="1:16" ht="39.6" customHeight="1" x14ac:dyDescent="0.3">
      <c r="A96" s="4"/>
      <c r="B96" s="10"/>
      <c r="C96" s="10"/>
      <c r="D96" s="10"/>
      <c r="E96" s="10"/>
      <c r="F96" s="4"/>
      <c r="G96" s="4"/>
      <c r="H96" s="4"/>
      <c r="I96" s="4"/>
      <c r="J96" s="4"/>
      <c r="K96" s="1"/>
      <c r="L96" s="12"/>
      <c r="M96" s="91">
        <f t="shared" si="24"/>
        <v>0</v>
      </c>
      <c r="N96" s="113"/>
      <c r="O96" s="114"/>
      <c r="P96" s="112"/>
    </row>
    <row r="97" spans="1:16" ht="39.6" customHeight="1" x14ac:dyDescent="0.3">
      <c r="A97" s="4"/>
      <c r="B97" s="10"/>
      <c r="C97" s="10"/>
      <c r="D97" s="10"/>
      <c r="E97" s="10"/>
      <c r="F97" s="4"/>
      <c r="G97" s="4"/>
      <c r="H97" s="4"/>
      <c r="I97" s="4"/>
      <c r="J97" s="4"/>
      <c r="K97" s="1"/>
      <c r="L97" s="12"/>
      <c r="M97" s="91">
        <f t="shared" si="24"/>
        <v>0</v>
      </c>
      <c r="N97" s="113"/>
      <c r="O97" s="114"/>
      <c r="P97" s="112"/>
    </row>
    <row r="98" spans="1:16" ht="39.9" customHeight="1" x14ac:dyDescent="0.3">
      <c r="A98" s="4"/>
      <c r="B98" s="10"/>
      <c r="C98" s="10"/>
      <c r="D98" s="10"/>
      <c r="E98" s="10"/>
      <c r="F98" s="4"/>
      <c r="G98" s="4"/>
      <c r="H98" s="4"/>
      <c r="I98" s="4"/>
      <c r="J98" s="4"/>
      <c r="K98" s="1"/>
      <c r="L98" s="12"/>
      <c r="M98" s="91">
        <f t="shared" si="24"/>
        <v>0</v>
      </c>
      <c r="N98" s="113"/>
      <c r="O98" s="114"/>
      <c r="P98" s="112"/>
    </row>
    <row r="99" spans="1:16" ht="39.9" customHeight="1" x14ac:dyDescent="0.3">
      <c r="A99" s="4"/>
      <c r="B99" s="10"/>
      <c r="C99" s="10"/>
      <c r="D99" s="10"/>
      <c r="E99" s="10"/>
      <c r="F99" s="4"/>
      <c r="G99" s="4"/>
      <c r="H99" s="4"/>
      <c r="I99" s="4"/>
      <c r="J99" s="4"/>
      <c r="K99" s="1"/>
      <c r="L99" s="12"/>
      <c r="M99" s="91">
        <f t="shared" si="24"/>
        <v>0</v>
      </c>
      <c r="N99" s="113"/>
      <c r="O99" s="114"/>
      <c r="P99" s="112"/>
    </row>
    <row r="100" spans="1:16" ht="39.6" customHeight="1" x14ac:dyDescent="0.3">
      <c r="A100" s="4"/>
      <c r="B100" s="10"/>
      <c r="C100" s="10"/>
      <c r="D100" s="10"/>
      <c r="E100" s="10"/>
      <c r="F100" s="4"/>
      <c r="G100" s="4"/>
      <c r="H100" s="4"/>
      <c r="I100" s="4"/>
      <c r="J100" s="4"/>
      <c r="K100" s="1"/>
      <c r="L100" s="12"/>
      <c r="M100" s="91">
        <f t="shared" si="24"/>
        <v>0</v>
      </c>
      <c r="N100" s="113"/>
      <c r="O100" s="114"/>
      <c r="P100" s="112"/>
    </row>
    <row r="101" spans="1:16" ht="39.9" customHeight="1" x14ac:dyDescent="0.3">
      <c r="A101" s="4"/>
      <c r="B101" s="10"/>
      <c r="C101" s="10"/>
      <c r="D101" s="10"/>
      <c r="E101" s="10"/>
      <c r="F101" s="4"/>
      <c r="G101" s="4"/>
      <c r="H101" s="4"/>
      <c r="I101" s="4"/>
      <c r="J101" s="4"/>
      <c r="K101" s="1"/>
      <c r="L101" s="12"/>
      <c r="M101" s="91">
        <f t="shared" si="24"/>
        <v>0</v>
      </c>
      <c r="N101" s="113"/>
      <c r="O101" s="114"/>
      <c r="P101" s="112"/>
    </row>
    <row r="102" spans="1:16" ht="39.9" customHeight="1" x14ac:dyDescent="0.3">
      <c r="A102" s="4"/>
      <c r="B102" s="10"/>
      <c r="C102" s="10"/>
      <c r="D102" s="10"/>
      <c r="E102" s="10"/>
      <c r="F102" s="4"/>
      <c r="G102" s="4"/>
      <c r="H102" s="4"/>
      <c r="I102" s="4"/>
      <c r="J102" s="4"/>
      <c r="K102" s="1"/>
      <c r="L102" s="12"/>
      <c r="M102" s="91">
        <f t="shared" si="24"/>
        <v>0</v>
      </c>
      <c r="N102" s="113"/>
      <c r="O102" s="114"/>
      <c r="P102" s="112"/>
    </row>
    <row r="103" spans="1:16" ht="39.9" customHeight="1" x14ac:dyDescent="0.3">
      <c r="A103" s="4"/>
      <c r="B103" s="10"/>
      <c r="C103" s="10"/>
      <c r="D103" s="10"/>
      <c r="E103" s="10"/>
      <c r="F103" s="4"/>
      <c r="G103" s="4"/>
      <c r="H103" s="4"/>
      <c r="I103" s="4"/>
      <c r="J103" s="4"/>
      <c r="K103" s="1"/>
      <c r="L103" s="12"/>
      <c r="M103" s="91">
        <f t="shared" si="24"/>
        <v>0</v>
      </c>
      <c r="N103" s="113"/>
      <c r="O103" s="114"/>
      <c r="P103" s="112"/>
    </row>
    <row r="104" spans="1:16" ht="39.9" customHeight="1" x14ac:dyDescent="0.3">
      <c r="A104" s="4"/>
      <c r="B104" s="10"/>
      <c r="C104" s="10"/>
      <c r="D104" s="10"/>
      <c r="E104" s="10"/>
      <c r="F104" s="4"/>
      <c r="G104" s="4"/>
      <c r="H104" s="4"/>
      <c r="I104" s="4"/>
      <c r="J104" s="4"/>
      <c r="K104" s="1"/>
      <c r="L104" s="12"/>
      <c r="M104" s="91">
        <f t="shared" si="24"/>
        <v>0</v>
      </c>
      <c r="N104" s="113"/>
      <c r="O104" s="114"/>
      <c r="P104" s="112"/>
    </row>
    <row r="105" spans="1:16" ht="39.9" customHeight="1" x14ac:dyDescent="0.3">
      <c r="A105" s="4"/>
      <c r="B105" s="10"/>
      <c r="C105" s="10"/>
      <c r="D105" s="10"/>
      <c r="E105" s="10"/>
      <c r="F105" s="4"/>
      <c r="G105" s="4"/>
      <c r="H105" s="4"/>
      <c r="I105" s="4"/>
      <c r="J105" s="4"/>
      <c r="K105" s="1"/>
      <c r="L105" s="12"/>
      <c r="M105" s="91">
        <f t="shared" si="24"/>
        <v>0</v>
      </c>
      <c r="N105" s="113"/>
      <c r="O105" s="114"/>
      <c r="P105" s="112"/>
    </row>
    <row r="106" spans="1:16" ht="39.9" customHeight="1" x14ac:dyDescent="0.3">
      <c r="A106" s="4"/>
      <c r="B106" s="10"/>
      <c r="C106" s="10"/>
      <c r="D106" s="10"/>
      <c r="E106" s="10"/>
      <c r="F106" s="4"/>
      <c r="G106" s="4"/>
      <c r="H106" s="4"/>
      <c r="I106" s="4"/>
      <c r="J106" s="4"/>
      <c r="K106" s="1"/>
      <c r="L106" s="12"/>
      <c r="M106" s="91">
        <f t="shared" si="24"/>
        <v>0</v>
      </c>
      <c r="N106" s="113"/>
      <c r="O106" s="114"/>
      <c r="P106" s="112"/>
    </row>
    <row r="107" spans="1:16" ht="39.9" customHeight="1" x14ac:dyDescent="0.3">
      <c r="A107" s="4"/>
      <c r="B107" s="10"/>
      <c r="C107" s="10"/>
      <c r="D107" s="10"/>
      <c r="E107" s="10"/>
      <c r="F107" s="4"/>
      <c r="G107" s="4"/>
      <c r="H107" s="4"/>
      <c r="I107" s="4"/>
      <c r="J107" s="4"/>
      <c r="K107" s="1"/>
      <c r="L107" s="12"/>
      <c r="M107" s="91">
        <f t="shared" si="24"/>
        <v>0</v>
      </c>
      <c r="N107" s="113"/>
      <c r="O107" s="114"/>
      <c r="P107" s="112"/>
    </row>
    <row r="108" spans="1:16" ht="39.9" customHeight="1" x14ac:dyDescent="0.3">
      <c r="A108" s="4"/>
      <c r="B108" s="10"/>
      <c r="C108" s="10"/>
      <c r="D108" s="10"/>
      <c r="E108" s="10"/>
      <c r="F108" s="4"/>
      <c r="G108" s="4"/>
      <c r="H108" s="4"/>
      <c r="I108" s="4"/>
      <c r="J108" s="4"/>
      <c r="K108" s="1"/>
      <c r="L108" s="12"/>
      <c r="M108" s="91">
        <f t="shared" si="24"/>
        <v>0</v>
      </c>
      <c r="N108" s="113"/>
      <c r="O108" s="114"/>
      <c r="P108" s="112"/>
    </row>
    <row r="109" spans="1:16" ht="39.9" customHeight="1" x14ac:dyDescent="0.3">
      <c r="A109" s="4"/>
      <c r="B109" s="10"/>
      <c r="C109" s="10"/>
      <c r="D109" s="10"/>
      <c r="E109" s="10"/>
      <c r="F109" s="4"/>
      <c r="G109" s="4"/>
      <c r="H109" s="4"/>
      <c r="I109" s="4"/>
      <c r="J109" s="4"/>
      <c r="K109" s="1"/>
      <c r="L109" s="12"/>
      <c r="M109" s="91">
        <f t="shared" si="24"/>
        <v>0</v>
      </c>
      <c r="N109" s="113"/>
      <c r="O109" s="114"/>
      <c r="P109" s="112"/>
    </row>
    <row r="110" spans="1:16" ht="39.9" customHeight="1" x14ac:dyDescent="0.3">
      <c r="A110" s="4"/>
      <c r="B110" s="10"/>
      <c r="C110" s="10"/>
      <c r="D110" s="10"/>
      <c r="E110" s="10"/>
      <c r="F110" s="4"/>
      <c r="G110" s="4"/>
      <c r="H110" s="4"/>
      <c r="I110" s="4"/>
      <c r="J110" s="4"/>
      <c r="K110" s="1"/>
      <c r="L110" s="12"/>
      <c r="M110" s="91">
        <f t="shared" si="24"/>
        <v>0</v>
      </c>
      <c r="N110" s="113"/>
      <c r="O110" s="114"/>
      <c r="P110" s="112"/>
    </row>
    <row r="111" spans="1:16" ht="39.9" customHeight="1" x14ac:dyDescent="0.3">
      <c r="A111" s="4"/>
      <c r="B111" s="10"/>
      <c r="C111" s="10"/>
      <c r="D111" s="10"/>
      <c r="E111" s="10"/>
      <c r="F111" s="4"/>
      <c r="G111" s="4"/>
      <c r="H111" s="4"/>
      <c r="I111" s="4"/>
      <c r="J111" s="4"/>
      <c r="K111" s="1"/>
      <c r="L111" s="12"/>
      <c r="M111" s="91">
        <f t="shared" si="24"/>
        <v>0</v>
      </c>
      <c r="N111" s="113"/>
      <c r="O111" s="114"/>
      <c r="P111" s="112"/>
    </row>
    <row r="112" spans="1:16" ht="39.9" customHeight="1" x14ac:dyDescent="0.3">
      <c r="A112" s="4"/>
      <c r="B112" s="10"/>
      <c r="C112" s="10"/>
      <c r="D112" s="10"/>
      <c r="E112" s="10"/>
      <c r="F112" s="4"/>
      <c r="G112" s="4"/>
      <c r="H112" s="4"/>
      <c r="I112" s="4"/>
      <c r="J112" s="4"/>
      <c r="K112" s="1"/>
      <c r="L112" s="12"/>
      <c r="M112" s="91">
        <f t="shared" si="24"/>
        <v>0</v>
      </c>
      <c r="N112" s="113"/>
      <c r="O112" s="114"/>
      <c r="P112" s="112"/>
    </row>
    <row r="113" spans="1:16" ht="39.9" customHeight="1" x14ac:dyDescent="0.3">
      <c r="A113" s="4"/>
      <c r="B113" s="10"/>
      <c r="C113" s="10"/>
      <c r="D113" s="10"/>
      <c r="E113" s="10"/>
      <c r="F113" s="4"/>
      <c r="G113" s="4"/>
      <c r="H113" s="4"/>
      <c r="I113" s="4"/>
      <c r="J113" s="4"/>
      <c r="K113" s="1"/>
      <c r="L113" s="12"/>
      <c r="M113" s="91">
        <f t="shared" si="24"/>
        <v>0</v>
      </c>
      <c r="N113" s="113"/>
      <c r="O113" s="114"/>
      <c r="P113" s="112"/>
    </row>
    <row r="114" spans="1:16" ht="39.9" customHeight="1" x14ac:dyDescent="0.3">
      <c r="A114" s="4"/>
      <c r="B114" s="10"/>
      <c r="C114" s="10"/>
      <c r="D114" s="10"/>
      <c r="E114" s="10"/>
      <c r="F114" s="4"/>
      <c r="G114" s="4"/>
      <c r="H114" s="4"/>
      <c r="I114" s="4"/>
      <c r="J114" s="4"/>
      <c r="K114" s="1"/>
      <c r="L114" s="12"/>
      <c r="M114" s="91">
        <f t="shared" si="24"/>
        <v>0</v>
      </c>
      <c r="N114" s="113"/>
      <c r="O114" s="114"/>
      <c r="P114" s="112"/>
    </row>
    <row r="115" spans="1:16" ht="39.9" customHeight="1" x14ac:dyDescent="0.3">
      <c r="A115" s="4"/>
      <c r="B115" s="10"/>
      <c r="C115" s="10"/>
      <c r="D115" s="10"/>
      <c r="E115" s="10"/>
      <c r="F115" s="4"/>
      <c r="G115" s="4"/>
      <c r="H115" s="4"/>
      <c r="I115" s="4"/>
      <c r="J115" s="4"/>
      <c r="K115" s="1"/>
      <c r="L115" s="12"/>
      <c r="M115" s="91">
        <f t="shared" si="24"/>
        <v>0</v>
      </c>
      <c r="N115" s="113"/>
      <c r="O115" s="114"/>
      <c r="P115" s="112"/>
    </row>
    <row r="116" spans="1:16" ht="39.9" customHeight="1" x14ac:dyDescent="0.3">
      <c r="A116" s="4"/>
      <c r="B116" s="10"/>
      <c r="C116" s="10"/>
      <c r="D116" s="10"/>
      <c r="E116" s="10"/>
      <c r="F116" s="4"/>
      <c r="G116" s="4"/>
      <c r="H116" s="4"/>
      <c r="I116" s="4"/>
      <c r="J116" s="4"/>
      <c r="K116" s="1"/>
      <c r="L116" s="12"/>
      <c r="M116" s="91">
        <f t="shared" si="24"/>
        <v>0</v>
      </c>
      <c r="N116" s="113"/>
      <c r="O116" s="114"/>
      <c r="P116" s="112"/>
    </row>
    <row r="117" spans="1:16" ht="39.9" customHeight="1" x14ac:dyDescent="0.3">
      <c r="A117" s="4"/>
      <c r="B117" s="10"/>
      <c r="C117" s="10"/>
      <c r="D117" s="10"/>
      <c r="E117" s="10"/>
      <c r="F117" s="4"/>
      <c r="G117" s="4"/>
      <c r="H117" s="4"/>
      <c r="I117" s="4"/>
      <c r="J117" s="4"/>
      <c r="K117" s="1"/>
      <c r="L117" s="12"/>
      <c r="M117" s="91">
        <f t="shared" si="24"/>
        <v>0</v>
      </c>
      <c r="N117" s="113"/>
      <c r="O117" s="114"/>
      <c r="P117" s="112"/>
    </row>
    <row r="118" spans="1:16" ht="39.9" customHeight="1" x14ac:dyDescent="0.3">
      <c r="A118" s="4"/>
      <c r="B118" s="10"/>
      <c r="C118" s="10"/>
      <c r="D118" s="10"/>
      <c r="E118" s="10"/>
      <c r="F118" s="4"/>
      <c r="G118" s="4"/>
      <c r="H118" s="4"/>
      <c r="I118" s="4"/>
      <c r="J118" s="4"/>
      <c r="K118" s="1"/>
      <c r="L118" s="12"/>
      <c r="M118" s="91">
        <f t="shared" si="24"/>
        <v>0</v>
      </c>
      <c r="N118" s="113"/>
      <c r="O118" s="114"/>
      <c r="P118" s="112"/>
    </row>
    <row r="119" spans="1:16" ht="39.9" customHeight="1" x14ac:dyDescent="0.3">
      <c r="A119" s="4"/>
      <c r="B119" s="10"/>
      <c r="C119" s="10"/>
      <c r="D119" s="10"/>
      <c r="E119" s="10"/>
      <c r="F119" s="4"/>
      <c r="G119" s="4"/>
      <c r="H119" s="4"/>
      <c r="I119" s="4"/>
      <c r="J119" s="4"/>
      <c r="K119" s="1"/>
      <c r="L119" s="12"/>
      <c r="M119" s="91">
        <f t="shared" si="24"/>
        <v>0</v>
      </c>
      <c r="N119" s="113"/>
      <c r="O119" s="114"/>
      <c r="P119" s="112"/>
    </row>
    <row r="120" spans="1:16" ht="39.9" customHeight="1" x14ac:dyDescent="0.3">
      <c r="A120" s="4"/>
      <c r="B120" s="10"/>
      <c r="C120" s="10"/>
      <c r="D120" s="10"/>
      <c r="E120" s="10"/>
      <c r="F120" s="4"/>
      <c r="G120" s="4"/>
      <c r="H120" s="4"/>
      <c r="I120" s="4"/>
      <c r="J120" s="4"/>
      <c r="K120" s="1"/>
      <c r="L120" s="12"/>
      <c r="M120" s="91">
        <f t="shared" si="24"/>
        <v>0</v>
      </c>
      <c r="N120" s="113"/>
      <c r="O120" s="114"/>
      <c r="P120" s="112"/>
    </row>
    <row r="121" spans="1:16" ht="39.9" customHeight="1" x14ac:dyDescent="0.3">
      <c r="A121" s="4"/>
      <c r="B121" s="10"/>
      <c r="C121" s="10"/>
      <c r="D121" s="10"/>
      <c r="E121" s="10"/>
      <c r="F121" s="4"/>
      <c r="G121" s="4"/>
      <c r="H121" s="4"/>
      <c r="I121" s="4"/>
      <c r="J121" s="4"/>
      <c r="K121" s="1"/>
      <c r="L121" s="12"/>
      <c r="M121" s="91">
        <f t="shared" si="24"/>
        <v>0</v>
      </c>
      <c r="N121" s="113"/>
      <c r="O121" s="114"/>
      <c r="P121" s="112"/>
    </row>
    <row r="122" spans="1:16" ht="39.9" customHeight="1" x14ac:dyDescent="0.3">
      <c r="A122" s="4"/>
      <c r="B122" s="10"/>
      <c r="C122" s="10"/>
      <c r="D122" s="10"/>
      <c r="E122" s="10"/>
      <c r="F122" s="4"/>
      <c r="G122" s="4"/>
      <c r="H122" s="4"/>
      <c r="I122" s="4"/>
      <c r="J122" s="4"/>
      <c r="K122" s="1"/>
      <c r="L122" s="12"/>
      <c r="M122" s="91">
        <f t="shared" si="24"/>
        <v>0</v>
      </c>
      <c r="N122" s="113"/>
      <c r="O122" s="114"/>
      <c r="P122" s="112"/>
    </row>
    <row r="123" spans="1:16" ht="39.9" customHeight="1" x14ac:dyDescent="0.3">
      <c r="A123" s="4"/>
      <c r="B123" s="10"/>
      <c r="C123" s="10"/>
      <c r="D123" s="10"/>
      <c r="E123" s="10"/>
      <c r="F123" s="4"/>
      <c r="G123" s="4"/>
      <c r="H123" s="4"/>
      <c r="I123" s="4"/>
      <c r="J123" s="4"/>
      <c r="K123" s="1"/>
      <c r="L123" s="12"/>
      <c r="M123" s="91">
        <f t="shared" si="24"/>
        <v>0</v>
      </c>
      <c r="N123" s="113"/>
      <c r="O123" s="114"/>
      <c r="P123" s="112"/>
    </row>
    <row r="124" spans="1:16" ht="39.9" customHeight="1" x14ac:dyDescent="0.3">
      <c r="A124" s="4"/>
      <c r="B124" s="10"/>
      <c r="C124" s="10"/>
      <c r="D124" s="10"/>
      <c r="E124" s="10"/>
      <c r="F124" s="4"/>
      <c r="G124" s="4"/>
      <c r="H124" s="4"/>
      <c r="I124" s="4"/>
      <c r="J124" s="4"/>
      <c r="K124" s="1"/>
      <c r="L124" s="12"/>
      <c r="M124" s="91">
        <f t="shared" si="24"/>
        <v>0</v>
      </c>
      <c r="N124" s="113"/>
      <c r="O124" s="114"/>
      <c r="P124" s="112"/>
    </row>
    <row r="125" spans="1:16" ht="39.9" customHeight="1" x14ac:dyDescent="0.3">
      <c r="A125" s="4"/>
      <c r="B125" s="10"/>
      <c r="C125" s="10"/>
      <c r="D125" s="10"/>
      <c r="E125" s="10"/>
      <c r="F125" s="4"/>
      <c r="G125" s="4"/>
      <c r="H125" s="4"/>
      <c r="I125" s="4"/>
      <c r="J125" s="4"/>
      <c r="K125" s="1"/>
      <c r="L125" s="12"/>
      <c r="M125" s="91">
        <f t="shared" si="24"/>
        <v>0</v>
      </c>
      <c r="N125" s="113"/>
      <c r="O125" s="114"/>
      <c r="P125" s="112"/>
    </row>
    <row r="126" spans="1:16" ht="39.9" customHeight="1" x14ac:dyDescent="0.3">
      <c r="A126" s="4"/>
      <c r="B126" s="10"/>
      <c r="C126" s="10"/>
      <c r="D126" s="10"/>
      <c r="E126" s="10"/>
      <c r="F126" s="4"/>
      <c r="G126" s="4"/>
      <c r="H126" s="4"/>
      <c r="I126" s="4"/>
      <c r="J126" s="4"/>
      <c r="K126" s="1"/>
      <c r="L126" s="12"/>
      <c r="M126" s="91">
        <f t="shared" si="24"/>
        <v>0</v>
      </c>
      <c r="N126" s="113"/>
      <c r="O126" s="114"/>
      <c r="P126" s="112"/>
    </row>
    <row r="127" spans="1:16" ht="39.9" customHeight="1" x14ac:dyDescent="0.3">
      <c r="A127" s="4"/>
      <c r="B127" s="10"/>
      <c r="C127" s="10"/>
      <c r="D127" s="10"/>
      <c r="E127" s="10"/>
      <c r="F127" s="4"/>
      <c r="G127" s="4"/>
      <c r="H127" s="4"/>
      <c r="I127" s="4"/>
      <c r="J127" s="4"/>
      <c r="K127" s="1"/>
      <c r="L127" s="12"/>
      <c r="M127" s="91">
        <f t="shared" si="24"/>
        <v>0</v>
      </c>
      <c r="N127" s="113"/>
      <c r="O127" s="114"/>
      <c r="P127" s="112"/>
    </row>
    <row r="128" spans="1:16" ht="39.9" customHeight="1" x14ac:dyDescent="0.3">
      <c r="A128" s="4"/>
      <c r="B128" s="10"/>
      <c r="C128" s="10"/>
      <c r="D128" s="10"/>
      <c r="E128" s="10"/>
      <c r="F128" s="4"/>
      <c r="G128" s="4"/>
      <c r="H128" s="4"/>
      <c r="I128" s="4"/>
      <c r="J128" s="4"/>
      <c r="K128" s="1"/>
      <c r="L128" s="12"/>
      <c r="M128" s="91">
        <f t="shared" si="24"/>
        <v>0</v>
      </c>
      <c r="N128" s="113"/>
      <c r="O128" s="114"/>
      <c r="P128" s="112"/>
    </row>
    <row r="129" spans="1:16" ht="39.9" customHeight="1" x14ac:dyDescent="0.3">
      <c r="A129" s="4"/>
      <c r="B129" s="10"/>
      <c r="C129" s="10"/>
      <c r="D129" s="10"/>
      <c r="E129" s="10"/>
      <c r="F129" s="4"/>
      <c r="G129" s="4"/>
      <c r="H129" s="4"/>
      <c r="I129" s="4"/>
      <c r="J129" s="4"/>
      <c r="K129" s="1"/>
      <c r="L129" s="12"/>
      <c r="M129" s="91">
        <f t="shared" si="24"/>
        <v>0</v>
      </c>
      <c r="N129" s="113"/>
      <c r="O129" s="114"/>
      <c r="P129" s="112"/>
    </row>
    <row r="130" spans="1:16" ht="39.9" customHeight="1" x14ac:dyDescent="0.3">
      <c r="A130" s="440" t="s">
        <v>3</v>
      </c>
      <c r="B130" s="441"/>
      <c r="C130" s="441"/>
      <c r="D130" s="441"/>
      <c r="E130" s="441"/>
      <c r="F130" s="441"/>
      <c r="G130" s="442"/>
      <c r="H130" s="4">
        <f t="shared" ref="H130:O130" si="25">SUM(H7:H129)</f>
        <v>7478073</v>
      </c>
      <c r="I130" s="4">
        <f t="shared" si="25"/>
        <v>7565453</v>
      </c>
      <c r="J130" s="4">
        <f t="shared" si="25"/>
        <v>0</v>
      </c>
      <c r="K130" s="4">
        <f t="shared" si="25"/>
        <v>7565453</v>
      </c>
      <c r="L130" s="4">
        <f t="shared" si="25"/>
        <v>0</v>
      </c>
      <c r="M130" s="4">
        <f t="shared" si="25"/>
        <v>0</v>
      </c>
      <c r="N130" s="4">
        <f t="shared" si="25"/>
        <v>87380</v>
      </c>
      <c r="O130" s="4">
        <f t="shared" si="25"/>
        <v>87380</v>
      </c>
      <c r="P130" s="112"/>
    </row>
    <row r="1531" spans="10:10" x14ac:dyDescent="0.3">
      <c r="J1531" s="6">
        <v>163550</v>
      </c>
    </row>
  </sheetData>
  <autoFilter ref="A4:P130" xr:uid="{10AA8398-410C-44E3-815C-9E33FF534763}"/>
  <mergeCells count="3">
    <mergeCell ref="A1:P2"/>
    <mergeCell ref="A3:G3"/>
    <mergeCell ref="A130:G130"/>
  </mergeCells>
  <phoneticPr fontId="5" type="noConversion"/>
  <printOptions horizontalCentered="1"/>
  <pageMargins left="0" right="0" top="0" bottom="0" header="0" footer="0"/>
  <pageSetup paperSize="9" scale="31" fitToWidth="5" fitToHeight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263B-A9E7-497E-99FA-1DDBE6FE0605}">
  <dimension ref="A1:T101"/>
  <sheetViews>
    <sheetView rightToLeft="1" view="pageBreakPreview" zoomScale="40" zoomScaleNormal="40" zoomScaleSheetLayoutView="40" workbookViewId="0">
      <pane xSplit="1" ySplit="4" topLeftCell="B23" activePane="bottomRight" state="frozen"/>
      <selection activeCell="G55" sqref="G55"/>
      <selection pane="topRight" activeCell="G55" sqref="G55"/>
      <selection pane="bottomLeft" activeCell="G55" sqref="G55"/>
      <selection pane="bottomRight" activeCell="A5" sqref="A5:XFD5"/>
    </sheetView>
  </sheetViews>
  <sheetFormatPr defaultColWidth="8.88671875" defaultRowHeight="28.8" x14ac:dyDescent="0.55000000000000004"/>
  <cols>
    <col min="1" max="1" width="10.109375" style="6" customWidth="1"/>
    <col min="2" max="2" width="56.88671875" style="6" customWidth="1"/>
    <col min="3" max="3" width="48.88671875" style="6" customWidth="1"/>
    <col min="4" max="4" width="26" style="6" customWidth="1"/>
    <col min="5" max="5" width="21.6640625" style="6" customWidth="1"/>
    <col min="6" max="6" width="35.33203125" style="6" customWidth="1"/>
    <col min="7" max="7" width="32" style="6" customWidth="1"/>
    <col min="8" max="8" width="27.33203125" style="6" customWidth="1"/>
    <col min="9" max="9" width="27.33203125" style="9" bestFit="1" customWidth="1"/>
    <col min="10" max="10" width="27.33203125" style="9" customWidth="1"/>
    <col min="11" max="11" width="17.5546875" style="3" customWidth="1"/>
    <col min="12" max="12" width="20.44140625" style="3" customWidth="1"/>
    <col min="13" max="13" width="31.33203125" style="55" customWidth="1"/>
    <col min="14" max="14" width="24.109375" style="55" customWidth="1"/>
    <col min="15" max="15" width="25.88671875" style="55" customWidth="1"/>
    <col min="16" max="16" width="26.33203125" style="55" customWidth="1"/>
    <col min="17" max="17" width="17.109375" style="55" customWidth="1"/>
    <col min="18" max="18" width="8.88671875" style="6"/>
    <col min="19" max="19" width="34.33203125" style="6" customWidth="1"/>
    <col min="20" max="16384" width="8.88671875" style="6"/>
  </cols>
  <sheetData>
    <row r="1" spans="1:20" ht="63.75" customHeight="1" x14ac:dyDescent="0.3">
      <c r="A1" s="433" t="s">
        <v>1708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</row>
    <row r="2" spans="1:20" ht="63.75" customHeight="1" x14ac:dyDescent="0.3">
      <c r="A2" s="439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</row>
    <row r="3" spans="1:20" ht="63" customHeight="1" thickBot="1" x14ac:dyDescent="0.6">
      <c r="A3" s="134"/>
      <c r="B3" s="134"/>
      <c r="C3" s="134"/>
      <c r="D3" s="134"/>
      <c r="E3" s="134"/>
      <c r="F3" s="65">
        <f>F100</f>
        <v>919296.8</v>
      </c>
      <c r="G3" s="65">
        <f>G100</f>
        <v>924926.8</v>
      </c>
      <c r="H3" s="65">
        <f>H100</f>
        <v>0</v>
      </c>
      <c r="I3" s="65">
        <f>I100</f>
        <v>924926.8</v>
      </c>
      <c r="J3" s="65"/>
      <c r="K3" s="65">
        <f t="shared" ref="K3:P3" si="0">K100</f>
        <v>5630</v>
      </c>
      <c r="L3" s="65">
        <f t="shared" si="0"/>
        <v>5630</v>
      </c>
      <c r="M3" s="65">
        <f t="shared" si="0"/>
        <v>212536.3</v>
      </c>
      <c r="N3" s="65">
        <f t="shared" si="0"/>
        <v>460620</v>
      </c>
      <c r="O3" s="65">
        <f t="shared" si="0"/>
        <v>677346.3</v>
      </c>
      <c r="P3" s="65">
        <f t="shared" si="0"/>
        <v>241950.5</v>
      </c>
    </row>
    <row r="4" spans="1:20" ht="63" thickBot="1" x14ac:dyDescent="0.35">
      <c r="A4" s="137" t="s">
        <v>1</v>
      </c>
      <c r="B4" s="138" t="s">
        <v>481</v>
      </c>
      <c r="C4" s="138" t="s">
        <v>5</v>
      </c>
      <c r="D4" s="28" t="s">
        <v>492</v>
      </c>
      <c r="E4" s="111" t="s">
        <v>970</v>
      </c>
      <c r="F4" s="138" t="s">
        <v>484</v>
      </c>
      <c r="G4" s="139" t="s">
        <v>60</v>
      </c>
      <c r="H4" s="138" t="s">
        <v>61</v>
      </c>
      <c r="I4" s="139" t="s">
        <v>2</v>
      </c>
      <c r="J4" s="140" t="s">
        <v>1241</v>
      </c>
      <c r="K4" s="141" t="s">
        <v>1240</v>
      </c>
      <c r="L4" s="142" t="s">
        <v>1207</v>
      </c>
      <c r="M4" s="143" t="s">
        <v>1689</v>
      </c>
      <c r="N4" s="234" t="s">
        <v>1420</v>
      </c>
      <c r="O4" s="143" t="s">
        <v>1477</v>
      </c>
      <c r="P4" s="143" t="s">
        <v>1479</v>
      </c>
      <c r="Q4" s="143" t="s">
        <v>1142</v>
      </c>
    </row>
    <row r="5" spans="1:20" ht="30" customHeight="1" x14ac:dyDescent="0.4">
      <c r="A5" s="57">
        <v>0</v>
      </c>
      <c r="B5" s="58" t="s">
        <v>1305</v>
      </c>
      <c r="C5" s="58" t="s">
        <v>1305</v>
      </c>
      <c r="D5" s="167" t="s">
        <v>1673</v>
      </c>
      <c r="E5" s="57">
        <v>7</v>
      </c>
      <c r="F5" s="57">
        <f>160000+29000+15000+29700-9050</f>
        <v>224650</v>
      </c>
      <c r="G5" s="57">
        <v>221491.25</v>
      </c>
      <c r="H5" s="57">
        <f>I5-G5</f>
        <v>1075</v>
      </c>
      <c r="I5" s="56">
        <v>222566.25</v>
      </c>
      <c r="J5" s="135"/>
      <c r="K5" s="136"/>
      <c r="L5" s="74"/>
      <c r="M5" s="4"/>
      <c r="N5" s="4"/>
      <c r="O5" s="4">
        <f>F5</f>
        <v>224650</v>
      </c>
      <c r="P5" s="4">
        <f>O5-I5</f>
        <v>2083.75</v>
      </c>
      <c r="Q5" s="118"/>
      <c r="T5" s="145"/>
    </row>
    <row r="6" spans="1:20" ht="30" customHeight="1" x14ac:dyDescent="0.3">
      <c r="A6" s="57">
        <v>1</v>
      </c>
      <c r="B6" s="10" t="s">
        <v>1217</v>
      </c>
      <c r="C6" s="10" t="s">
        <v>1312</v>
      </c>
      <c r="D6" s="167" t="s">
        <v>1673</v>
      </c>
      <c r="E6" s="4">
        <v>4</v>
      </c>
      <c r="F6" s="4">
        <f t="shared" ref="F6:F44" si="1">G6-L6</f>
        <v>22225</v>
      </c>
      <c r="G6" s="4">
        <v>22225</v>
      </c>
      <c r="H6" s="4">
        <f t="shared" ref="H6:H44" si="2">I6-G6</f>
        <v>0</v>
      </c>
      <c r="I6" s="1">
        <v>22225</v>
      </c>
      <c r="J6" s="135">
        <f t="shared" ref="J6:J44" si="3">L6-K6</f>
        <v>0</v>
      </c>
      <c r="K6" s="132"/>
      <c r="L6" s="2"/>
      <c r="M6" s="169">
        <f>360+3910+11135</f>
        <v>15405</v>
      </c>
      <c r="N6" s="4">
        <f>2630</f>
        <v>2630</v>
      </c>
      <c r="O6" s="4">
        <f>N6+M6+4190</f>
        <v>22225</v>
      </c>
      <c r="P6" s="4">
        <f>I6-L6-O6</f>
        <v>0</v>
      </c>
      <c r="Q6" s="112"/>
      <c r="S6" s="165"/>
    </row>
    <row r="7" spans="1:20" ht="30" customHeight="1" x14ac:dyDescent="0.3">
      <c r="A7" s="4">
        <v>2</v>
      </c>
      <c r="B7" s="10" t="s">
        <v>1690</v>
      </c>
      <c r="C7" s="10" t="s">
        <v>1674</v>
      </c>
      <c r="D7" s="167" t="s">
        <v>1673</v>
      </c>
      <c r="E7" s="4">
        <v>1</v>
      </c>
      <c r="F7" s="4">
        <f t="shared" si="1"/>
        <v>3000</v>
      </c>
      <c r="G7" s="4">
        <v>3000</v>
      </c>
      <c r="H7" s="4">
        <f t="shared" si="2"/>
        <v>0</v>
      </c>
      <c r="I7" s="1">
        <v>3000</v>
      </c>
      <c r="J7" s="135">
        <f t="shared" si="3"/>
        <v>0</v>
      </c>
      <c r="K7" s="132"/>
      <c r="L7" s="2"/>
      <c r="M7" s="169">
        <f>3000</f>
        <v>3000</v>
      </c>
      <c r="N7" s="4"/>
      <c r="O7" s="4">
        <f t="shared" ref="O7:O39" si="4">N7+M7</f>
        <v>3000</v>
      </c>
      <c r="P7" s="168">
        <f t="shared" ref="P7:P44" si="5">I7-L7-O7</f>
        <v>0</v>
      </c>
      <c r="Q7" s="112">
        <v>1</v>
      </c>
      <c r="S7" s="165"/>
    </row>
    <row r="8" spans="1:20" ht="30" customHeight="1" x14ac:dyDescent="0.3">
      <c r="A8" s="4">
        <v>3</v>
      </c>
      <c r="B8" s="10" t="s">
        <v>1675</v>
      </c>
      <c r="C8" s="10" t="s">
        <v>1676</v>
      </c>
      <c r="D8" s="167" t="s">
        <v>1673</v>
      </c>
      <c r="E8" s="4">
        <v>1</v>
      </c>
      <c r="F8" s="4">
        <f t="shared" si="1"/>
        <v>7000</v>
      </c>
      <c r="G8" s="4">
        <v>7000</v>
      </c>
      <c r="H8" s="4">
        <f t="shared" si="2"/>
        <v>0</v>
      </c>
      <c r="I8" s="1">
        <v>7000</v>
      </c>
      <c r="J8" s="135">
        <f t="shared" si="3"/>
        <v>0</v>
      </c>
      <c r="K8" s="132"/>
      <c r="L8" s="2"/>
      <c r="M8" s="169">
        <f>7000</f>
        <v>7000</v>
      </c>
      <c r="N8" s="4"/>
      <c r="O8" s="4">
        <f t="shared" si="4"/>
        <v>7000</v>
      </c>
      <c r="P8" s="4">
        <f t="shared" si="5"/>
        <v>0</v>
      </c>
      <c r="Q8" s="112">
        <v>1</v>
      </c>
      <c r="S8" s="165"/>
    </row>
    <row r="9" spans="1:20" ht="30" customHeight="1" x14ac:dyDescent="0.3">
      <c r="A9" s="4">
        <v>4</v>
      </c>
      <c r="B9" s="10" t="s">
        <v>647</v>
      </c>
      <c r="C9" s="10" t="s">
        <v>1376</v>
      </c>
      <c r="D9" s="167" t="s">
        <v>1673</v>
      </c>
      <c r="E9" s="4">
        <v>6</v>
      </c>
      <c r="F9" s="4">
        <f t="shared" si="1"/>
        <v>62450</v>
      </c>
      <c r="G9" s="4">
        <v>62750</v>
      </c>
      <c r="H9" s="4">
        <f t="shared" si="2"/>
        <v>0</v>
      </c>
      <c r="I9" s="1">
        <v>62750</v>
      </c>
      <c r="J9" s="135">
        <f t="shared" si="3"/>
        <v>0</v>
      </c>
      <c r="K9" s="132">
        <v>300</v>
      </c>
      <c r="L9" s="2">
        <v>300</v>
      </c>
      <c r="M9" s="169">
        <f>2000+7500+1000+1000</f>
        <v>11500</v>
      </c>
      <c r="N9" s="4">
        <f>15000+15000+16000+4950</f>
        <v>50950</v>
      </c>
      <c r="O9" s="4">
        <f t="shared" si="4"/>
        <v>62450</v>
      </c>
      <c r="P9" s="4">
        <f t="shared" si="5"/>
        <v>0</v>
      </c>
      <c r="Q9" s="112">
        <v>1</v>
      </c>
    </row>
    <row r="10" spans="1:20" ht="30" customHeight="1" x14ac:dyDescent="0.3">
      <c r="A10" s="4">
        <v>5</v>
      </c>
      <c r="B10" s="10" t="s">
        <v>1691</v>
      </c>
      <c r="C10" s="10" t="s">
        <v>1692</v>
      </c>
      <c r="D10" s="167" t="s">
        <v>1673</v>
      </c>
      <c r="E10" s="4">
        <v>1</v>
      </c>
      <c r="F10" s="4">
        <f t="shared" si="1"/>
        <v>2800</v>
      </c>
      <c r="G10" s="4">
        <v>2800</v>
      </c>
      <c r="H10" s="4">
        <f t="shared" si="2"/>
        <v>0</v>
      </c>
      <c r="I10" s="1">
        <v>2800</v>
      </c>
      <c r="J10" s="135">
        <f t="shared" si="3"/>
        <v>0</v>
      </c>
      <c r="K10" s="132"/>
      <c r="L10" s="2"/>
      <c r="M10" s="169">
        <f>2800</f>
        <v>2800</v>
      </c>
      <c r="N10" s="4"/>
      <c r="O10" s="4">
        <f t="shared" si="4"/>
        <v>2800</v>
      </c>
      <c r="P10" s="4">
        <f t="shared" si="5"/>
        <v>0</v>
      </c>
      <c r="Q10" s="112">
        <v>1</v>
      </c>
    </row>
    <row r="11" spans="1:20" ht="30" customHeight="1" x14ac:dyDescent="0.3">
      <c r="A11" s="4">
        <v>6</v>
      </c>
      <c r="B11" s="10" t="s">
        <v>1693</v>
      </c>
      <c r="C11" s="10" t="s">
        <v>1186</v>
      </c>
      <c r="D11" s="167" t="s">
        <v>1673</v>
      </c>
      <c r="E11" s="4">
        <v>7</v>
      </c>
      <c r="F11" s="4">
        <f t="shared" si="1"/>
        <v>86031.3</v>
      </c>
      <c r="G11" s="4">
        <v>86031.3</v>
      </c>
      <c r="H11" s="4">
        <f t="shared" si="2"/>
        <v>0</v>
      </c>
      <c r="I11" s="1">
        <v>86031.3</v>
      </c>
      <c r="J11" s="135">
        <f t="shared" si="3"/>
        <v>0</v>
      </c>
      <c r="K11" s="132"/>
      <c r="L11" s="2"/>
      <c r="M11" s="169">
        <f>6423+15994.5+17368+13529+24377.8+7264+1075</f>
        <v>86031.3</v>
      </c>
      <c r="N11" s="4"/>
      <c r="O11" s="4">
        <f t="shared" si="4"/>
        <v>86031.3</v>
      </c>
      <c r="P11" s="4">
        <f t="shared" si="5"/>
        <v>0</v>
      </c>
      <c r="Q11" s="112">
        <v>1</v>
      </c>
    </row>
    <row r="12" spans="1:20" ht="30" customHeight="1" x14ac:dyDescent="0.3">
      <c r="A12" s="4">
        <v>7</v>
      </c>
      <c r="B12" s="10" t="s">
        <v>19</v>
      </c>
      <c r="C12" s="10" t="s">
        <v>1694</v>
      </c>
      <c r="D12" s="167" t="s">
        <v>1673</v>
      </c>
      <c r="E12" s="4">
        <v>1</v>
      </c>
      <c r="F12" s="4">
        <f t="shared" si="1"/>
        <v>10415</v>
      </c>
      <c r="G12" s="4">
        <v>10415</v>
      </c>
      <c r="H12" s="4">
        <f t="shared" si="2"/>
        <v>0</v>
      </c>
      <c r="I12" s="1">
        <v>10415</v>
      </c>
      <c r="J12" s="135">
        <f t="shared" si="3"/>
        <v>0</v>
      </c>
      <c r="K12" s="132"/>
      <c r="L12" s="2"/>
      <c r="M12" s="169"/>
      <c r="N12" s="4">
        <v>10415</v>
      </c>
      <c r="O12" s="4">
        <f t="shared" si="4"/>
        <v>10415</v>
      </c>
      <c r="P12" s="4">
        <f t="shared" si="5"/>
        <v>0</v>
      </c>
      <c r="Q12" s="112">
        <v>1</v>
      </c>
    </row>
    <row r="13" spans="1:20" ht="30" customHeight="1" x14ac:dyDescent="0.3">
      <c r="A13" s="4">
        <v>8</v>
      </c>
      <c r="B13" s="10" t="s">
        <v>1344</v>
      </c>
      <c r="C13" s="10" t="s">
        <v>1695</v>
      </c>
      <c r="D13" s="167" t="s">
        <v>1673</v>
      </c>
      <c r="E13" s="4">
        <v>3</v>
      </c>
      <c r="F13" s="4">
        <f t="shared" si="1"/>
        <v>49810</v>
      </c>
      <c r="G13" s="4">
        <v>49810</v>
      </c>
      <c r="H13" s="4">
        <f t="shared" si="2"/>
        <v>0</v>
      </c>
      <c r="I13" s="1">
        <v>49810</v>
      </c>
      <c r="J13" s="135">
        <f t="shared" si="3"/>
        <v>0</v>
      </c>
      <c r="K13" s="132"/>
      <c r="L13" s="2"/>
      <c r="M13" s="169">
        <f>30000+2000</f>
        <v>32000</v>
      </c>
      <c r="N13" s="4"/>
      <c r="O13" s="4">
        <f t="shared" si="4"/>
        <v>32000</v>
      </c>
      <c r="P13" s="4">
        <f t="shared" si="5"/>
        <v>17810</v>
      </c>
      <c r="Q13" s="112">
        <v>1</v>
      </c>
    </row>
    <row r="14" spans="1:20" ht="30" customHeight="1" x14ac:dyDescent="0.3">
      <c r="A14" s="4">
        <v>9</v>
      </c>
      <c r="B14" s="10" t="s">
        <v>1696</v>
      </c>
      <c r="C14" s="10" t="s">
        <v>891</v>
      </c>
      <c r="D14" s="167" t="s">
        <v>1673</v>
      </c>
      <c r="E14" s="4">
        <v>3</v>
      </c>
      <c r="F14" s="4">
        <f t="shared" si="1"/>
        <v>49688</v>
      </c>
      <c r="G14" s="4">
        <v>49688</v>
      </c>
      <c r="H14" s="4">
        <f t="shared" si="2"/>
        <v>0</v>
      </c>
      <c r="I14" s="1">
        <v>49688</v>
      </c>
      <c r="J14" s="135">
        <f t="shared" si="3"/>
        <v>0</v>
      </c>
      <c r="K14" s="132"/>
      <c r="L14" s="2"/>
      <c r="M14" s="169">
        <f>10000+20000</f>
        <v>30000</v>
      </c>
      <c r="N14" s="4">
        <f>13000+6680</f>
        <v>19680</v>
      </c>
      <c r="O14" s="4">
        <f t="shared" si="4"/>
        <v>49680</v>
      </c>
      <c r="P14" s="4">
        <f t="shared" si="5"/>
        <v>8</v>
      </c>
      <c r="Q14" s="112">
        <v>1</v>
      </c>
    </row>
    <row r="15" spans="1:20" ht="30" customHeight="1" x14ac:dyDescent="0.3">
      <c r="A15" s="4">
        <v>10</v>
      </c>
      <c r="B15" s="10" t="s">
        <v>1697</v>
      </c>
      <c r="C15" s="10" t="s">
        <v>1698</v>
      </c>
      <c r="D15" s="167" t="s">
        <v>1673</v>
      </c>
      <c r="E15" s="4">
        <v>1</v>
      </c>
      <c r="F15" s="4">
        <f t="shared" si="1"/>
        <v>1500</v>
      </c>
      <c r="G15" s="4">
        <v>1500</v>
      </c>
      <c r="H15" s="4">
        <f t="shared" si="2"/>
        <v>0</v>
      </c>
      <c r="I15" s="1">
        <v>1500</v>
      </c>
      <c r="J15" s="135">
        <f t="shared" si="3"/>
        <v>0</v>
      </c>
      <c r="K15" s="132"/>
      <c r="L15" s="2"/>
      <c r="M15" s="169">
        <f>1500</f>
        <v>1500</v>
      </c>
      <c r="N15" s="4"/>
      <c r="O15" s="4">
        <f t="shared" si="4"/>
        <v>1500</v>
      </c>
      <c r="P15" s="4">
        <f t="shared" si="5"/>
        <v>0</v>
      </c>
      <c r="Q15" s="112">
        <v>0.95</v>
      </c>
    </row>
    <row r="16" spans="1:20" ht="30" customHeight="1" x14ac:dyDescent="0.3">
      <c r="A16" s="4">
        <v>11</v>
      </c>
      <c r="B16" s="10" t="s">
        <v>1699</v>
      </c>
      <c r="C16" s="10" t="s">
        <v>1698</v>
      </c>
      <c r="D16" s="167" t="s">
        <v>1673</v>
      </c>
      <c r="E16" s="4">
        <v>3</v>
      </c>
      <c r="F16" s="4">
        <f t="shared" si="1"/>
        <v>21242</v>
      </c>
      <c r="G16" s="4">
        <v>22742</v>
      </c>
      <c r="H16" s="4">
        <f t="shared" si="2"/>
        <v>0</v>
      </c>
      <c r="I16" s="1">
        <v>22742</v>
      </c>
      <c r="J16" s="135">
        <f t="shared" si="3"/>
        <v>0</v>
      </c>
      <c r="K16" s="132">
        <v>1500</v>
      </c>
      <c r="L16" s="2">
        <v>1500</v>
      </c>
      <c r="M16" s="169">
        <f>800+500</f>
        <v>1300</v>
      </c>
      <c r="N16" s="4">
        <f>6800+13140</f>
        <v>19940</v>
      </c>
      <c r="O16" s="4">
        <f t="shared" si="4"/>
        <v>21240</v>
      </c>
      <c r="P16" s="4">
        <f t="shared" si="5"/>
        <v>2</v>
      </c>
      <c r="Q16" s="112">
        <v>1</v>
      </c>
    </row>
    <row r="17" spans="1:17" ht="30" customHeight="1" x14ac:dyDescent="0.3">
      <c r="A17" s="4">
        <v>12</v>
      </c>
      <c r="B17" s="10" t="s">
        <v>1700</v>
      </c>
      <c r="C17" s="10" t="s">
        <v>1701</v>
      </c>
      <c r="D17" s="167" t="s">
        <v>1673</v>
      </c>
      <c r="E17" s="4">
        <v>4</v>
      </c>
      <c r="F17" s="4">
        <f t="shared" si="1"/>
        <v>35720</v>
      </c>
      <c r="G17" s="4">
        <v>38400</v>
      </c>
      <c r="H17" s="4">
        <f t="shared" si="2"/>
        <v>0</v>
      </c>
      <c r="I17" s="1">
        <v>38400</v>
      </c>
      <c r="J17" s="135">
        <f t="shared" si="3"/>
        <v>0</v>
      </c>
      <c r="K17" s="132">
        <v>2680</v>
      </c>
      <c r="L17" s="2">
        <v>2680</v>
      </c>
      <c r="M17" s="169">
        <f>5000+5000+2000+4000+5000</f>
        <v>21000</v>
      </c>
      <c r="N17" s="4">
        <f>6000+5410</f>
        <v>11410</v>
      </c>
      <c r="O17" s="4">
        <f t="shared" si="4"/>
        <v>32410</v>
      </c>
      <c r="P17" s="4">
        <f t="shared" si="5"/>
        <v>3310</v>
      </c>
      <c r="Q17" s="112">
        <v>1</v>
      </c>
    </row>
    <row r="18" spans="1:17" ht="30" customHeight="1" x14ac:dyDescent="0.3">
      <c r="A18" s="424">
        <v>13</v>
      </c>
      <c r="B18" s="10" t="s">
        <v>373</v>
      </c>
      <c r="C18" s="10" t="s">
        <v>1709</v>
      </c>
      <c r="D18" s="167" t="s">
        <v>1673</v>
      </c>
      <c r="E18" s="4">
        <v>3</v>
      </c>
      <c r="F18" s="4">
        <f t="shared" si="1"/>
        <v>78775</v>
      </c>
      <c r="G18" s="4">
        <v>78775</v>
      </c>
      <c r="H18" s="4">
        <f t="shared" si="2"/>
        <v>0</v>
      </c>
      <c r="I18" s="1">
        <v>78775</v>
      </c>
      <c r="J18" s="135">
        <f t="shared" si="3"/>
        <v>0</v>
      </c>
      <c r="K18" s="132"/>
      <c r="L18" s="2"/>
      <c r="M18" s="169"/>
      <c r="N18" s="4">
        <f>10000+20000</f>
        <v>30000</v>
      </c>
      <c r="O18" s="4">
        <f t="shared" si="4"/>
        <v>30000</v>
      </c>
      <c r="P18" s="4">
        <f t="shared" si="5"/>
        <v>48775</v>
      </c>
      <c r="Q18" s="112">
        <v>0.9</v>
      </c>
    </row>
    <row r="19" spans="1:17" ht="30" customHeight="1" x14ac:dyDescent="0.3">
      <c r="A19" s="425"/>
      <c r="B19" s="10" t="s">
        <v>373</v>
      </c>
      <c r="C19" s="10" t="s">
        <v>1710</v>
      </c>
      <c r="D19" s="167" t="s">
        <v>1673</v>
      </c>
      <c r="E19" s="4">
        <v>2</v>
      </c>
      <c r="F19" s="4">
        <f t="shared" si="1"/>
        <v>2100</v>
      </c>
      <c r="G19" s="4">
        <v>2100</v>
      </c>
      <c r="H19" s="4">
        <f t="shared" si="2"/>
        <v>0</v>
      </c>
      <c r="I19" s="1">
        <v>2100</v>
      </c>
      <c r="J19" s="135">
        <f t="shared" si="3"/>
        <v>0</v>
      </c>
      <c r="K19" s="132"/>
      <c r="L19" s="2"/>
      <c r="M19" s="169"/>
      <c r="N19" s="4"/>
      <c r="O19" s="4">
        <f t="shared" si="4"/>
        <v>0</v>
      </c>
      <c r="P19" s="4">
        <f t="shared" si="5"/>
        <v>2100</v>
      </c>
      <c r="Q19" s="112">
        <v>1</v>
      </c>
    </row>
    <row r="20" spans="1:17" ht="30" customHeight="1" x14ac:dyDescent="0.3">
      <c r="A20" s="425"/>
      <c r="B20" s="10" t="s">
        <v>373</v>
      </c>
      <c r="C20" s="10" t="s">
        <v>1729</v>
      </c>
      <c r="D20" s="167" t="s">
        <v>1673</v>
      </c>
      <c r="E20" s="4">
        <v>2</v>
      </c>
      <c r="F20" s="4">
        <f t="shared" si="1"/>
        <v>9750</v>
      </c>
      <c r="G20" s="4">
        <v>9750</v>
      </c>
      <c r="H20" s="4">
        <f t="shared" si="2"/>
        <v>0</v>
      </c>
      <c r="I20" s="1">
        <v>9750</v>
      </c>
      <c r="J20" s="135">
        <f t="shared" si="3"/>
        <v>0</v>
      </c>
      <c r="K20" s="132"/>
      <c r="L20" s="2"/>
      <c r="M20" s="169"/>
      <c r="N20" s="4"/>
      <c r="O20" s="4">
        <f t="shared" si="4"/>
        <v>0</v>
      </c>
      <c r="P20" s="4">
        <f t="shared" si="5"/>
        <v>9750</v>
      </c>
      <c r="Q20" s="112">
        <v>1</v>
      </c>
    </row>
    <row r="21" spans="1:17" ht="30" customHeight="1" x14ac:dyDescent="0.3">
      <c r="A21" s="426"/>
      <c r="B21" s="10" t="s">
        <v>373</v>
      </c>
      <c r="C21" s="10" t="s">
        <v>1711</v>
      </c>
      <c r="D21" s="167" t="s">
        <v>1673</v>
      </c>
      <c r="E21" s="4">
        <v>2</v>
      </c>
      <c r="F21" s="4">
        <f t="shared" si="1"/>
        <v>12276</v>
      </c>
      <c r="G21" s="4">
        <v>12276</v>
      </c>
      <c r="H21" s="4">
        <f t="shared" si="2"/>
        <v>0</v>
      </c>
      <c r="I21" s="1">
        <v>12276</v>
      </c>
      <c r="J21" s="135">
        <f t="shared" si="3"/>
        <v>0</v>
      </c>
      <c r="K21" s="132"/>
      <c r="L21" s="2"/>
      <c r="M21" s="169"/>
      <c r="N21" s="4"/>
      <c r="O21" s="4">
        <f t="shared" si="4"/>
        <v>0</v>
      </c>
      <c r="P21" s="4">
        <f t="shared" si="5"/>
        <v>12276</v>
      </c>
      <c r="Q21" s="112">
        <v>0.9</v>
      </c>
    </row>
    <row r="22" spans="1:17" ht="30" customHeight="1" x14ac:dyDescent="0.3">
      <c r="A22" s="4">
        <v>14</v>
      </c>
      <c r="B22" s="10" t="s">
        <v>1712</v>
      </c>
      <c r="C22" s="10" t="s">
        <v>1711</v>
      </c>
      <c r="D22" s="167" t="s">
        <v>1673</v>
      </c>
      <c r="E22" s="4">
        <v>3</v>
      </c>
      <c r="F22" s="4">
        <f t="shared" si="1"/>
        <v>144100</v>
      </c>
      <c r="G22" s="4">
        <v>144100</v>
      </c>
      <c r="H22" s="4">
        <f t="shared" si="2"/>
        <v>0</v>
      </c>
      <c r="I22" s="1">
        <v>144100</v>
      </c>
      <c r="J22" s="135">
        <f t="shared" si="3"/>
        <v>0</v>
      </c>
      <c r="K22" s="132"/>
      <c r="L22" s="2"/>
      <c r="M22" s="169"/>
      <c r="N22" s="4">
        <f>60000</f>
        <v>60000</v>
      </c>
      <c r="O22" s="4">
        <f t="shared" si="4"/>
        <v>60000</v>
      </c>
      <c r="P22" s="4">
        <f t="shared" si="5"/>
        <v>84100</v>
      </c>
      <c r="Q22" s="112">
        <v>1</v>
      </c>
    </row>
    <row r="23" spans="1:17" ht="30" customHeight="1" x14ac:dyDescent="0.3">
      <c r="A23" s="4">
        <v>15</v>
      </c>
      <c r="B23" s="10" t="s">
        <v>1313</v>
      </c>
      <c r="C23" s="10" t="s">
        <v>1713</v>
      </c>
      <c r="D23" s="167" t="s">
        <v>1673</v>
      </c>
      <c r="E23" s="4">
        <v>2</v>
      </c>
      <c r="F23" s="4">
        <f t="shared" si="1"/>
        <v>39000</v>
      </c>
      <c r="G23" s="4">
        <v>39000</v>
      </c>
      <c r="H23" s="4">
        <f t="shared" si="2"/>
        <v>0</v>
      </c>
      <c r="I23" s="1">
        <v>39000</v>
      </c>
      <c r="J23" s="135">
        <f t="shared" si="3"/>
        <v>0</v>
      </c>
      <c r="K23" s="132"/>
      <c r="L23" s="2"/>
      <c r="M23" s="169"/>
      <c r="N23" s="4">
        <f>25000+14000</f>
        <v>39000</v>
      </c>
      <c r="O23" s="4">
        <f t="shared" si="4"/>
        <v>39000</v>
      </c>
      <c r="P23" s="4">
        <f t="shared" si="5"/>
        <v>0</v>
      </c>
      <c r="Q23" s="112">
        <v>1</v>
      </c>
    </row>
    <row r="24" spans="1:17" ht="30" customHeight="1" x14ac:dyDescent="0.3">
      <c r="A24" s="4">
        <v>16</v>
      </c>
      <c r="B24" s="10" t="s">
        <v>1714</v>
      </c>
      <c r="C24" s="10" t="s">
        <v>1476</v>
      </c>
      <c r="D24" s="167" t="s">
        <v>1673</v>
      </c>
      <c r="E24" s="4">
        <v>2</v>
      </c>
      <c r="F24" s="4">
        <f t="shared" si="1"/>
        <v>16355</v>
      </c>
      <c r="G24" s="4">
        <v>16355</v>
      </c>
      <c r="H24" s="4">
        <f t="shared" si="2"/>
        <v>0</v>
      </c>
      <c r="I24" s="1">
        <v>16355</v>
      </c>
      <c r="J24" s="135">
        <f t="shared" si="3"/>
        <v>0</v>
      </c>
      <c r="K24" s="132"/>
      <c r="L24" s="2"/>
      <c r="M24" s="169"/>
      <c r="N24" s="4">
        <f>4000</f>
        <v>4000</v>
      </c>
      <c r="O24" s="4">
        <f t="shared" si="4"/>
        <v>4000</v>
      </c>
      <c r="P24" s="4">
        <f t="shared" si="5"/>
        <v>12355</v>
      </c>
      <c r="Q24" s="112">
        <v>1</v>
      </c>
    </row>
    <row r="25" spans="1:17" ht="30" customHeight="1" x14ac:dyDescent="0.3">
      <c r="A25" s="4">
        <v>17</v>
      </c>
      <c r="B25" s="10" t="s">
        <v>1715</v>
      </c>
      <c r="C25" s="10" t="s">
        <v>575</v>
      </c>
      <c r="D25" s="167" t="s">
        <v>1673</v>
      </c>
      <c r="E25" s="4">
        <v>1</v>
      </c>
      <c r="F25" s="4">
        <f t="shared" si="1"/>
        <v>6804.5</v>
      </c>
      <c r="G25" s="4">
        <v>6804.5</v>
      </c>
      <c r="H25" s="4">
        <f t="shared" si="2"/>
        <v>0</v>
      </c>
      <c r="I25" s="1">
        <v>6804.5</v>
      </c>
      <c r="J25" s="135">
        <f t="shared" si="3"/>
        <v>0</v>
      </c>
      <c r="K25" s="132"/>
      <c r="L25" s="2"/>
      <c r="M25" s="169"/>
      <c r="N25" s="4"/>
      <c r="O25" s="4">
        <f t="shared" si="4"/>
        <v>0</v>
      </c>
      <c r="P25" s="4">
        <f t="shared" si="5"/>
        <v>6804.5</v>
      </c>
      <c r="Q25" s="112">
        <v>1</v>
      </c>
    </row>
    <row r="26" spans="1:17" ht="30" customHeight="1" x14ac:dyDescent="0.3">
      <c r="A26" s="4">
        <v>18</v>
      </c>
      <c r="B26" s="10" t="s">
        <v>1716</v>
      </c>
      <c r="C26" s="10" t="s">
        <v>575</v>
      </c>
      <c r="D26" s="167" t="s">
        <v>1673</v>
      </c>
      <c r="E26" s="4">
        <v>2</v>
      </c>
      <c r="F26" s="4">
        <f t="shared" si="1"/>
        <v>17750</v>
      </c>
      <c r="G26" s="4">
        <v>17750</v>
      </c>
      <c r="H26" s="4">
        <f t="shared" si="2"/>
        <v>0</v>
      </c>
      <c r="I26" s="1">
        <v>17750</v>
      </c>
      <c r="J26" s="135">
        <f t="shared" si="3"/>
        <v>0</v>
      </c>
      <c r="K26" s="132"/>
      <c r="L26" s="2"/>
      <c r="M26" s="169"/>
      <c r="N26" s="4"/>
      <c r="O26" s="4">
        <f t="shared" si="4"/>
        <v>0</v>
      </c>
      <c r="P26" s="4">
        <f t="shared" si="5"/>
        <v>17750</v>
      </c>
      <c r="Q26" s="112">
        <v>1</v>
      </c>
    </row>
    <row r="27" spans="1:17" ht="30" customHeight="1" x14ac:dyDescent="0.3">
      <c r="A27" s="4">
        <v>19</v>
      </c>
      <c r="B27" s="10" t="s">
        <v>883</v>
      </c>
      <c r="C27" s="10" t="s">
        <v>1717</v>
      </c>
      <c r="D27" s="167" t="s">
        <v>1673</v>
      </c>
      <c r="E27" s="4">
        <v>2</v>
      </c>
      <c r="F27" s="4">
        <f t="shared" si="1"/>
        <v>42215</v>
      </c>
      <c r="G27" s="4">
        <v>42515</v>
      </c>
      <c r="H27" s="4">
        <f t="shared" si="2"/>
        <v>0</v>
      </c>
      <c r="I27" s="1">
        <v>42515</v>
      </c>
      <c r="J27" s="135">
        <f t="shared" si="3"/>
        <v>0</v>
      </c>
      <c r="K27" s="132">
        <v>300</v>
      </c>
      <c r="L27" s="2">
        <v>300</v>
      </c>
      <c r="M27" s="169"/>
      <c r="N27" s="4">
        <f>19000+23215</f>
        <v>42215</v>
      </c>
      <c r="O27" s="4">
        <f t="shared" si="4"/>
        <v>42215</v>
      </c>
      <c r="P27" s="4">
        <f t="shared" si="5"/>
        <v>0</v>
      </c>
      <c r="Q27" s="112">
        <v>1</v>
      </c>
    </row>
    <row r="28" spans="1:17" ht="30" customHeight="1" x14ac:dyDescent="0.3">
      <c r="A28" s="4">
        <v>20</v>
      </c>
      <c r="B28" s="10" t="s">
        <v>568</v>
      </c>
      <c r="C28" s="10" t="s">
        <v>989</v>
      </c>
      <c r="D28" s="167" t="s">
        <v>1673</v>
      </c>
      <c r="E28" s="4">
        <v>1</v>
      </c>
      <c r="F28" s="4">
        <f t="shared" si="1"/>
        <v>33800</v>
      </c>
      <c r="G28" s="4">
        <v>33800</v>
      </c>
      <c r="H28" s="4">
        <f t="shared" si="2"/>
        <v>0</v>
      </c>
      <c r="I28" s="1">
        <v>33800</v>
      </c>
      <c r="J28" s="135">
        <f t="shared" si="3"/>
        <v>0</v>
      </c>
      <c r="K28" s="132"/>
      <c r="L28" s="2"/>
      <c r="M28" s="169"/>
      <c r="N28" s="4">
        <v>33800</v>
      </c>
      <c r="O28" s="4">
        <f t="shared" si="4"/>
        <v>33800</v>
      </c>
      <c r="P28" s="4">
        <f t="shared" si="5"/>
        <v>0</v>
      </c>
      <c r="Q28" s="112">
        <v>1</v>
      </c>
    </row>
    <row r="29" spans="1:17" ht="30" customHeight="1" x14ac:dyDescent="0.3">
      <c r="A29" s="4">
        <v>21</v>
      </c>
      <c r="B29" s="10" t="s">
        <v>1718</v>
      </c>
      <c r="C29" s="10" t="s">
        <v>1719</v>
      </c>
      <c r="D29" s="167" t="s">
        <v>1673</v>
      </c>
      <c r="E29" s="4">
        <v>2</v>
      </c>
      <c r="F29" s="4">
        <f t="shared" si="1"/>
        <v>5100</v>
      </c>
      <c r="G29" s="4">
        <v>5100</v>
      </c>
      <c r="H29" s="4">
        <f t="shared" si="2"/>
        <v>0</v>
      </c>
      <c r="I29" s="1">
        <v>5100</v>
      </c>
      <c r="J29" s="135">
        <f t="shared" si="3"/>
        <v>0</v>
      </c>
      <c r="K29" s="132"/>
      <c r="L29" s="2"/>
      <c r="M29" s="169"/>
      <c r="N29" s="4">
        <f>4600+500</f>
        <v>5100</v>
      </c>
      <c r="O29" s="4">
        <f t="shared" si="4"/>
        <v>5100</v>
      </c>
      <c r="P29" s="4">
        <f t="shared" si="5"/>
        <v>0</v>
      </c>
      <c r="Q29" s="112">
        <v>1</v>
      </c>
    </row>
    <row r="30" spans="1:17" ht="30" customHeight="1" x14ac:dyDescent="0.3">
      <c r="A30" s="4">
        <v>22</v>
      </c>
      <c r="B30" s="10" t="s">
        <v>1720</v>
      </c>
      <c r="C30" s="10" t="s">
        <v>988</v>
      </c>
      <c r="D30" s="167" t="s">
        <v>1673</v>
      </c>
      <c r="E30" s="4">
        <v>2</v>
      </c>
      <c r="F30" s="4">
        <f t="shared" si="1"/>
        <v>1850</v>
      </c>
      <c r="G30" s="4">
        <v>1850</v>
      </c>
      <c r="H30" s="4">
        <f t="shared" si="2"/>
        <v>0</v>
      </c>
      <c r="I30" s="1">
        <v>1850</v>
      </c>
      <c r="J30" s="135">
        <f t="shared" si="3"/>
        <v>0</v>
      </c>
      <c r="K30" s="132"/>
      <c r="L30" s="2"/>
      <c r="M30" s="169"/>
      <c r="N30" s="4">
        <f>900+950</f>
        <v>1850</v>
      </c>
      <c r="O30" s="4">
        <f t="shared" si="4"/>
        <v>1850</v>
      </c>
      <c r="P30" s="4">
        <f t="shared" si="5"/>
        <v>0</v>
      </c>
      <c r="Q30" s="112">
        <v>1</v>
      </c>
    </row>
    <row r="31" spans="1:17" ht="30" customHeight="1" x14ac:dyDescent="0.3">
      <c r="A31" s="4">
        <v>23</v>
      </c>
      <c r="B31" s="10" t="s">
        <v>457</v>
      </c>
      <c r="C31" s="10" t="s">
        <v>1721</v>
      </c>
      <c r="D31" s="167" t="s">
        <v>1673</v>
      </c>
      <c r="E31" s="4">
        <v>3</v>
      </c>
      <c r="F31" s="4">
        <f t="shared" si="1"/>
        <v>37505</v>
      </c>
      <c r="G31" s="4">
        <v>37505</v>
      </c>
      <c r="H31" s="4">
        <f t="shared" si="2"/>
        <v>0</v>
      </c>
      <c r="I31" s="1">
        <v>37505</v>
      </c>
      <c r="J31" s="135">
        <f t="shared" si="3"/>
        <v>0</v>
      </c>
      <c r="K31" s="132"/>
      <c r="L31" s="2"/>
      <c r="M31" s="169"/>
      <c r="N31" s="4">
        <f>15000+20630</f>
        <v>35630</v>
      </c>
      <c r="O31" s="4">
        <f t="shared" si="4"/>
        <v>35630</v>
      </c>
      <c r="P31" s="4">
        <f t="shared" si="5"/>
        <v>1875</v>
      </c>
      <c r="Q31" s="112">
        <v>1</v>
      </c>
    </row>
    <row r="32" spans="1:17" ht="30" customHeight="1" x14ac:dyDescent="0.3">
      <c r="A32" s="4">
        <v>24</v>
      </c>
      <c r="B32" s="10" t="s">
        <v>1722</v>
      </c>
      <c r="C32" s="10" t="s">
        <v>1723</v>
      </c>
      <c r="D32" s="167" t="s">
        <v>1673</v>
      </c>
      <c r="E32" s="4">
        <v>2</v>
      </c>
      <c r="F32" s="4">
        <f t="shared" si="1"/>
        <v>4430</v>
      </c>
      <c r="G32" s="4">
        <v>4430</v>
      </c>
      <c r="H32" s="4">
        <f t="shared" si="2"/>
        <v>0</v>
      </c>
      <c r="I32" s="1">
        <v>4430</v>
      </c>
      <c r="J32" s="135">
        <f t="shared" si="3"/>
        <v>0</v>
      </c>
      <c r="K32" s="132"/>
      <c r="L32" s="2"/>
      <c r="M32" s="169"/>
      <c r="N32" s="4">
        <f>2300+2130</f>
        <v>4430</v>
      </c>
      <c r="O32" s="4">
        <f t="shared" si="4"/>
        <v>4430</v>
      </c>
      <c r="P32" s="4">
        <f t="shared" si="5"/>
        <v>0</v>
      </c>
      <c r="Q32" s="112">
        <v>1</v>
      </c>
    </row>
    <row r="33" spans="1:17" ht="30" customHeight="1" x14ac:dyDescent="0.3">
      <c r="A33" s="4">
        <v>25</v>
      </c>
      <c r="B33" s="10" t="s">
        <v>1724</v>
      </c>
      <c r="C33" s="10" t="s">
        <v>1181</v>
      </c>
      <c r="D33" s="167" t="s">
        <v>1673</v>
      </c>
      <c r="E33" s="4">
        <v>2</v>
      </c>
      <c r="F33" s="4">
        <f t="shared" si="1"/>
        <v>3300</v>
      </c>
      <c r="G33" s="4">
        <v>3300</v>
      </c>
      <c r="H33" s="4">
        <f t="shared" si="2"/>
        <v>0</v>
      </c>
      <c r="I33" s="1">
        <v>3300</v>
      </c>
      <c r="J33" s="135">
        <f t="shared" si="3"/>
        <v>0</v>
      </c>
      <c r="K33" s="132"/>
      <c r="L33" s="2"/>
      <c r="M33" s="169">
        <f>1000</f>
        <v>1000</v>
      </c>
      <c r="N33" s="4">
        <f>1800+500</f>
        <v>2300</v>
      </c>
      <c r="O33" s="4">
        <f t="shared" si="4"/>
        <v>3300</v>
      </c>
      <c r="P33" s="4">
        <f t="shared" si="5"/>
        <v>0</v>
      </c>
      <c r="Q33" s="112">
        <v>1</v>
      </c>
    </row>
    <row r="34" spans="1:17" ht="30" customHeight="1" x14ac:dyDescent="0.3">
      <c r="A34" s="4">
        <v>26</v>
      </c>
      <c r="B34" s="10" t="s">
        <v>1725</v>
      </c>
      <c r="C34" s="10" t="s">
        <v>604</v>
      </c>
      <c r="D34" s="167" t="s">
        <v>1673</v>
      </c>
      <c r="E34" s="4">
        <v>2</v>
      </c>
      <c r="F34" s="4">
        <f t="shared" si="1"/>
        <v>8960</v>
      </c>
      <c r="G34" s="4">
        <v>9160</v>
      </c>
      <c r="H34" s="4">
        <f t="shared" si="2"/>
        <v>0</v>
      </c>
      <c r="I34" s="1">
        <v>9160</v>
      </c>
      <c r="J34" s="135">
        <f t="shared" si="3"/>
        <v>0</v>
      </c>
      <c r="K34" s="132">
        <v>200</v>
      </c>
      <c r="L34" s="2">
        <v>200</v>
      </c>
      <c r="M34" s="169"/>
      <c r="N34" s="4">
        <f>2100+6800</f>
        <v>8900</v>
      </c>
      <c r="O34" s="4">
        <f t="shared" si="4"/>
        <v>8900</v>
      </c>
      <c r="P34" s="4">
        <f t="shared" si="5"/>
        <v>60</v>
      </c>
      <c r="Q34" s="112">
        <v>1</v>
      </c>
    </row>
    <row r="35" spans="1:17" ht="30" customHeight="1" x14ac:dyDescent="0.3">
      <c r="A35" s="4">
        <v>27</v>
      </c>
      <c r="B35" s="10" t="s">
        <v>1153</v>
      </c>
      <c r="C35" s="10" t="s">
        <v>1726</v>
      </c>
      <c r="D35" s="167" t="s">
        <v>1673</v>
      </c>
      <c r="E35" s="4">
        <v>2</v>
      </c>
      <c r="F35" s="4">
        <f t="shared" si="1"/>
        <v>13265</v>
      </c>
      <c r="G35" s="4">
        <v>13715</v>
      </c>
      <c r="H35" s="4">
        <f t="shared" si="2"/>
        <v>0</v>
      </c>
      <c r="I35" s="1">
        <v>13715</v>
      </c>
      <c r="J35" s="135">
        <f t="shared" si="3"/>
        <v>0</v>
      </c>
      <c r="K35" s="132">
        <v>450</v>
      </c>
      <c r="L35" s="2">
        <v>450</v>
      </c>
      <c r="M35" s="169"/>
      <c r="N35" s="4"/>
      <c r="O35" s="4">
        <f t="shared" si="4"/>
        <v>0</v>
      </c>
      <c r="P35" s="4">
        <f t="shared" si="5"/>
        <v>13265</v>
      </c>
      <c r="Q35" s="112">
        <v>0.9</v>
      </c>
    </row>
    <row r="36" spans="1:17" ht="30" customHeight="1" x14ac:dyDescent="0.3">
      <c r="A36" s="424">
        <v>28</v>
      </c>
      <c r="B36" s="10" t="s">
        <v>1727</v>
      </c>
      <c r="C36" s="10" t="s">
        <v>1728</v>
      </c>
      <c r="D36" s="167" t="s">
        <v>1673</v>
      </c>
      <c r="E36" s="4">
        <v>3</v>
      </c>
      <c r="F36" s="4">
        <f t="shared" si="1"/>
        <v>40400</v>
      </c>
      <c r="G36" s="4">
        <v>40400</v>
      </c>
      <c r="H36" s="4">
        <f t="shared" si="2"/>
        <v>0</v>
      </c>
      <c r="I36" s="1">
        <v>40400</v>
      </c>
      <c r="J36" s="135">
        <f t="shared" si="3"/>
        <v>0</v>
      </c>
      <c r="K36" s="132"/>
      <c r="L36" s="2"/>
      <c r="M36" s="169"/>
      <c r="N36" s="4">
        <f>20000+16360</f>
        <v>36360</v>
      </c>
      <c r="O36" s="4">
        <f t="shared" si="4"/>
        <v>36360</v>
      </c>
      <c r="P36" s="4">
        <f>I36-L36-O36</f>
        <v>4040</v>
      </c>
      <c r="Q36" s="112">
        <v>1</v>
      </c>
    </row>
    <row r="37" spans="1:17" ht="30" customHeight="1" x14ac:dyDescent="0.3">
      <c r="A37" s="425"/>
      <c r="B37" s="10" t="s">
        <v>1727</v>
      </c>
      <c r="C37" s="10" t="s">
        <v>1741</v>
      </c>
      <c r="D37" s="167" t="s">
        <v>1673</v>
      </c>
      <c r="E37" s="4">
        <v>2</v>
      </c>
      <c r="F37" s="4">
        <f t="shared" si="1"/>
        <v>7950</v>
      </c>
      <c r="G37" s="4">
        <v>7950</v>
      </c>
      <c r="H37" s="4">
        <f t="shared" si="2"/>
        <v>0</v>
      </c>
      <c r="I37" s="1">
        <v>7950</v>
      </c>
      <c r="J37" s="135">
        <f t="shared" si="3"/>
        <v>0</v>
      </c>
      <c r="K37" s="132"/>
      <c r="L37" s="2"/>
      <c r="M37" s="169"/>
      <c r="N37" s="4">
        <v>4950</v>
      </c>
      <c r="O37" s="4">
        <f t="shared" si="4"/>
        <v>4950</v>
      </c>
      <c r="P37" s="4">
        <f t="shared" si="5"/>
        <v>3000</v>
      </c>
      <c r="Q37" s="112">
        <v>1</v>
      </c>
    </row>
    <row r="38" spans="1:17" ht="30" customHeight="1" x14ac:dyDescent="0.3">
      <c r="A38" s="425"/>
      <c r="B38" s="10" t="s">
        <v>1727</v>
      </c>
      <c r="C38" s="10" t="s">
        <v>1754</v>
      </c>
      <c r="D38" s="167" t="s">
        <v>1673</v>
      </c>
      <c r="E38" s="4">
        <v>1</v>
      </c>
      <c r="F38" s="4">
        <f t="shared" ref="F38" si="6">G38-L38</f>
        <v>2020</v>
      </c>
      <c r="G38" s="4">
        <v>2020</v>
      </c>
      <c r="H38" s="4">
        <f t="shared" ref="H38" si="7">I38-G38</f>
        <v>0</v>
      </c>
      <c r="I38" s="1">
        <v>2020</v>
      </c>
      <c r="J38" s="135">
        <f t="shared" ref="J38" si="8">L38-K38</f>
        <v>0</v>
      </c>
      <c r="K38" s="132"/>
      <c r="L38" s="2"/>
      <c r="M38" s="169"/>
      <c r="N38" s="4"/>
      <c r="O38" s="4"/>
      <c r="P38" s="4">
        <f t="shared" ref="P38" si="9">I38-L38-O38</f>
        <v>2020</v>
      </c>
      <c r="Q38" s="112">
        <v>1</v>
      </c>
    </row>
    <row r="39" spans="1:17" ht="30" customHeight="1" x14ac:dyDescent="0.3">
      <c r="A39" s="426"/>
      <c r="B39" s="10" t="s">
        <v>1727</v>
      </c>
      <c r="C39" s="10" t="s">
        <v>1742</v>
      </c>
      <c r="D39" s="167" t="s">
        <v>1673</v>
      </c>
      <c r="E39" s="4">
        <v>2</v>
      </c>
      <c r="F39" s="4">
        <f t="shared" si="1"/>
        <v>4600</v>
      </c>
      <c r="G39" s="4">
        <v>4600</v>
      </c>
      <c r="H39" s="4">
        <f t="shared" si="2"/>
        <v>0</v>
      </c>
      <c r="I39" s="1">
        <v>4600</v>
      </c>
      <c r="J39" s="135">
        <f t="shared" si="3"/>
        <v>0</v>
      </c>
      <c r="K39" s="132"/>
      <c r="L39" s="2"/>
      <c r="M39" s="169"/>
      <c r="N39" s="4">
        <v>3000</v>
      </c>
      <c r="O39" s="4">
        <f t="shared" si="4"/>
        <v>3000</v>
      </c>
      <c r="P39" s="4">
        <f t="shared" si="5"/>
        <v>1600</v>
      </c>
      <c r="Q39" s="112">
        <v>1</v>
      </c>
    </row>
    <row r="40" spans="1:17" ht="30" customHeight="1" x14ac:dyDescent="0.3">
      <c r="A40" s="4">
        <v>29</v>
      </c>
      <c r="B40" s="10" t="s">
        <v>1743</v>
      </c>
      <c r="C40" s="10" t="s">
        <v>1744</v>
      </c>
      <c r="D40" s="167" t="s">
        <v>1673</v>
      </c>
      <c r="E40" s="4">
        <v>1</v>
      </c>
      <c r="F40" s="4">
        <f t="shared" si="1"/>
        <v>2000</v>
      </c>
      <c r="G40" s="4">
        <v>2200</v>
      </c>
      <c r="H40" s="4">
        <f t="shared" si="2"/>
        <v>0</v>
      </c>
      <c r="I40" s="1">
        <v>2200</v>
      </c>
      <c r="J40" s="135">
        <f t="shared" si="3"/>
        <v>0</v>
      </c>
      <c r="K40" s="132">
        <v>200</v>
      </c>
      <c r="L40" s="2">
        <v>200</v>
      </c>
      <c r="M40" s="169"/>
      <c r="N40" s="4">
        <f>2000</f>
        <v>2000</v>
      </c>
      <c r="O40" s="4">
        <f t="shared" ref="O40:O44" si="10">N40+M40</f>
        <v>2000</v>
      </c>
      <c r="P40" s="4">
        <f t="shared" si="5"/>
        <v>0</v>
      </c>
      <c r="Q40" s="112">
        <v>1</v>
      </c>
    </row>
    <row r="41" spans="1:17" ht="30" customHeight="1" x14ac:dyDescent="0.3">
      <c r="A41" s="4">
        <v>30</v>
      </c>
      <c r="B41" s="10" t="s">
        <v>1745</v>
      </c>
      <c r="C41" s="10" t="s">
        <v>1746</v>
      </c>
      <c r="D41" s="167" t="s">
        <v>1673</v>
      </c>
      <c r="E41" s="4">
        <v>1</v>
      </c>
      <c r="F41" s="4">
        <f t="shared" si="1"/>
        <v>23100</v>
      </c>
      <c r="G41" s="4">
        <v>23100</v>
      </c>
      <c r="H41" s="4">
        <f t="shared" si="2"/>
        <v>0</v>
      </c>
      <c r="I41" s="1">
        <v>23100</v>
      </c>
      <c r="J41" s="135">
        <f t="shared" si="3"/>
        <v>0</v>
      </c>
      <c r="K41" s="132"/>
      <c r="L41" s="2"/>
      <c r="M41" s="169"/>
      <c r="N41" s="4">
        <f>15000+8000</f>
        <v>23000</v>
      </c>
      <c r="O41" s="4">
        <f t="shared" si="10"/>
        <v>23000</v>
      </c>
      <c r="P41" s="4">
        <f t="shared" si="5"/>
        <v>100</v>
      </c>
      <c r="Q41" s="112">
        <v>1</v>
      </c>
    </row>
    <row r="42" spans="1:17" ht="30" customHeight="1" x14ac:dyDescent="0.3">
      <c r="A42" s="4">
        <v>31</v>
      </c>
      <c r="B42" s="10" t="s">
        <v>1747</v>
      </c>
      <c r="C42" s="10" t="s">
        <v>891</v>
      </c>
      <c r="D42" s="167" t="s">
        <v>1673</v>
      </c>
      <c r="E42" s="4">
        <v>1</v>
      </c>
      <c r="F42" s="4">
        <f t="shared" si="1"/>
        <v>540</v>
      </c>
      <c r="G42" s="4">
        <v>540</v>
      </c>
      <c r="H42" s="4">
        <f t="shared" si="2"/>
        <v>0</v>
      </c>
      <c r="I42" s="1">
        <v>540</v>
      </c>
      <c r="J42" s="135">
        <f t="shared" si="3"/>
        <v>0</v>
      </c>
      <c r="K42" s="132"/>
      <c r="L42" s="2"/>
      <c r="M42" s="169"/>
      <c r="N42" s="4">
        <v>540</v>
      </c>
      <c r="O42" s="4">
        <f t="shared" si="10"/>
        <v>540</v>
      </c>
      <c r="P42" s="4">
        <f t="shared" si="5"/>
        <v>0</v>
      </c>
      <c r="Q42" s="112">
        <v>1</v>
      </c>
    </row>
    <row r="43" spans="1:17" ht="30" customHeight="1" x14ac:dyDescent="0.3">
      <c r="A43" s="4">
        <v>32</v>
      </c>
      <c r="B43" s="10" t="s">
        <v>485</v>
      </c>
      <c r="C43" s="10" t="s">
        <v>1739</v>
      </c>
      <c r="D43" s="167" t="s">
        <v>1673</v>
      </c>
      <c r="E43" s="4">
        <v>2</v>
      </c>
      <c r="F43" s="4">
        <f t="shared" si="1"/>
        <v>8550</v>
      </c>
      <c r="G43" s="4">
        <v>8550</v>
      </c>
      <c r="H43" s="4">
        <f t="shared" si="2"/>
        <v>0</v>
      </c>
      <c r="I43" s="1">
        <v>8550</v>
      </c>
      <c r="J43" s="135">
        <f t="shared" si="3"/>
        <v>0</v>
      </c>
      <c r="K43" s="132"/>
      <c r="L43" s="2"/>
      <c r="M43" s="169"/>
      <c r="N43" s="4">
        <v>7600</v>
      </c>
      <c r="O43" s="4">
        <f t="shared" si="10"/>
        <v>7600</v>
      </c>
      <c r="P43" s="4">
        <f t="shared" si="5"/>
        <v>950</v>
      </c>
      <c r="Q43" s="112">
        <v>1</v>
      </c>
    </row>
    <row r="44" spans="1:17" ht="30" customHeight="1" x14ac:dyDescent="0.3">
      <c r="A44" s="4">
        <v>33</v>
      </c>
      <c r="B44" s="10" t="s">
        <v>1748</v>
      </c>
      <c r="C44" s="10" t="s">
        <v>604</v>
      </c>
      <c r="D44" s="167" t="s">
        <v>1673</v>
      </c>
      <c r="E44" s="4">
        <v>1</v>
      </c>
      <c r="F44" s="4">
        <f t="shared" si="1"/>
        <v>920</v>
      </c>
      <c r="G44" s="4">
        <v>920</v>
      </c>
      <c r="H44" s="4">
        <f t="shared" si="2"/>
        <v>0</v>
      </c>
      <c r="I44" s="1">
        <v>920</v>
      </c>
      <c r="J44" s="135">
        <f t="shared" si="3"/>
        <v>0</v>
      </c>
      <c r="K44" s="132"/>
      <c r="L44" s="2"/>
      <c r="M44" s="169"/>
      <c r="N44" s="4">
        <v>920</v>
      </c>
      <c r="O44" s="4">
        <f t="shared" si="10"/>
        <v>920</v>
      </c>
      <c r="P44" s="4">
        <f t="shared" si="5"/>
        <v>0</v>
      </c>
      <c r="Q44" s="112">
        <v>1</v>
      </c>
    </row>
    <row r="45" spans="1:17" ht="30" customHeight="1" x14ac:dyDescent="0.55000000000000004">
      <c r="A45" s="4"/>
      <c r="B45" s="10"/>
      <c r="C45" s="10"/>
      <c r="D45" s="4"/>
      <c r="E45" s="4"/>
      <c r="F45" s="4"/>
      <c r="G45" s="4"/>
      <c r="H45" s="4"/>
      <c r="I45" s="1"/>
      <c r="J45" s="93"/>
      <c r="K45" s="132"/>
      <c r="L45" s="2"/>
      <c r="M45" s="144"/>
      <c r="N45" s="144" t="s">
        <v>1062</v>
      </c>
      <c r="O45" s="144"/>
      <c r="P45" s="144"/>
      <c r="Q45" s="144"/>
    </row>
    <row r="46" spans="1:17" ht="30" customHeight="1" x14ac:dyDescent="0.55000000000000004">
      <c r="A46" s="4"/>
      <c r="B46" s="10"/>
      <c r="C46" s="10"/>
      <c r="D46" s="4"/>
      <c r="E46" s="4"/>
      <c r="F46" s="4"/>
      <c r="G46" s="4"/>
      <c r="H46" s="4"/>
      <c r="I46" s="1"/>
      <c r="J46" s="93"/>
      <c r="K46" s="132"/>
      <c r="L46" s="2"/>
      <c r="M46" s="144"/>
      <c r="N46" s="144"/>
      <c r="O46" s="144"/>
      <c r="P46" s="144"/>
      <c r="Q46" s="144"/>
    </row>
    <row r="47" spans="1:17" ht="30" customHeight="1" x14ac:dyDescent="0.55000000000000004">
      <c r="A47" s="4"/>
      <c r="B47" s="10"/>
      <c r="C47" s="10"/>
      <c r="D47" s="4"/>
      <c r="E47" s="4"/>
      <c r="F47" s="4"/>
      <c r="G47" s="4"/>
      <c r="H47" s="4"/>
      <c r="I47" s="1"/>
      <c r="J47" s="93"/>
      <c r="K47" s="132"/>
      <c r="L47" s="2"/>
      <c r="M47" s="144"/>
      <c r="N47" s="144"/>
      <c r="O47" s="144"/>
      <c r="P47" s="144"/>
      <c r="Q47" s="144"/>
    </row>
    <row r="48" spans="1:17" ht="30" customHeight="1" x14ac:dyDescent="0.55000000000000004">
      <c r="A48" s="4"/>
      <c r="B48" s="10"/>
      <c r="C48" s="10"/>
      <c r="D48" s="4"/>
      <c r="E48" s="4"/>
      <c r="F48" s="4"/>
      <c r="G48" s="4"/>
      <c r="H48" s="4"/>
      <c r="I48" s="1"/>
      <c r="J48" s="93"/>
      <c r="K48" s="132"/>
      <c r="L48" s="2"/>
      <c r="M48" s="144"/>
      <c r="N48" s="144"/>
      <c r="O48" s="144"/>
      <c r="P48" s="144"/>
      <c r="Q48" s="144"/>
    </row>
    <row r="49" spans="1:17" ht="30" customHeight="1" x14ac:dyDescent="0.55000000000000004">
      <c r="A49" s="4"/>
      <c r="B49" s="10"/>
      <c r="C49" s="10"/>
      <c r="D49" s="4"/>
      <c r="E49" s="4"/>
      <c r="F49" s="4"/>
      <c r="G49" s="4"/>
      <c r="H49" s="4"/>
      <c r="I49" s="1"/>
      <c r="J49" s="93"/>
      <c r="K49" s="132"/>
      <c r="L49" s="2"/>
      <c r="M49" s="144"/>
      <c r="N49" s="144"/>
      <c r="O49" s="144"/>
      <c r="P49" s="144"/>
      <c r="Q49" s="144"/>
    </row>
    <row r="50" spans="1:17" ht="30" customHeight="1" x14ac:dyDescent="0.55000000000000004">
      <c r="A50" s="4"/>
      <c r="B50" s="10"/>
      <c r="C50" s="10"/>
      <c r="D50" s="4"/>
      <c r="E50" s="4"/>
      <c r="F50" s="44"/>
      <c r="G50" s="4"/>
      <c r="H50" s="4"/>
      <c r="I50" s="1"/>
      <c r="J50" s="93"/>
      <c r="K50" s="132"/>
      <c r="L50" s="2"/>
      <c r="M50" s="144"/>
      <c r="N50" s="144"/>
      <c r="O50" s="144"/>
      <c r="P50" s="144"/>
      <c r="Q50" s="144"/>
    </row>
    <row r="51" spans="1:17" ht="30" customHeight="1" x14ac:dyDescent="0.55000000000000004">
      <c r="A51" s="4"/>
      <c r="B51" s="10"/>
      <c r="C51" s="10"/>
      <c r="D51" s="4"/>
      <c r="E51" s="4"/>
      <c r="F51" s="4"/>
      <c r="G51" s="4"/>
      <c r="H51" s="4"/>
      <c r="I51" s="1"/>
      <c r="J51" s="93"/>
      <c r="K51" s="132"/>
      <c r="L51" s="2"/>
      <c r="M51" s="144"/>
      <c r="N51" s="144"/>
      <c r="O51" s="144"/>
      <c r="P51" s="144"/>
      <c r="Q51" s="144"/>
    </row>
    <row r="52" spans="1:17" ht="30" customHeight="1" x14ac:dyDescent="0.55000000000000004">
      <c r="A52" s="4"/>
      <c r="B52" s="10"/>
      <c r="C52" s="10"/>
      <c r="D52" s="4"/>
      <c r="E52" s="4"/>
      <c r="F52" s="4"/>
      <c r="G52" s="4"/>
      <c r="H52" s="4"/>
      <c r="I52" s="1"/>
      <c r="J52" s="93"/>
      <c r="K52" s="132"/>
      <c r="L52" s="2"/>
      <c r="M52" s="144"/>
      <c r="N52" s="144"/>
      <c r="O52" s="144"/>
      <c r="P52" s="144"/>
      <c r="Q52" s="144"/>
    </row>
    <row r="53" spans="1:17" ht="30" customHeight="1" x14ac:dyDescent="0.55000000000000004">
      <c r="A53" s="4"/>
      <c r="B53" s="10"/>
      <c r="C53" s="10"/>
      <c r="D53" s="4"/>
      <c r="E53" s="4"/>
      <c r="F53" s="4"/>
      <c r="G53" s="4"/>
      <c r="H53" s="4"/>
      <c r="I53" s="1"/>
      <c r="J53" s="93"/>
      <c r="K53" s="132"/>
      <c r="L53" s="2"/>
      <c r="M53" s="144"/>
      <c r="N53" s="144"/>
      <c r="O53" s="144"/>
      <c r="P53" s="144"/>
      <c r="Q53" s="144"/>
    </row>
    <row r="54" spans="1:17" ht="30" customHeight="1" x14ac:dyDescent="0.55000000000000004">
      <c r="A54" s="4"/>
      <c r="B54" s="10"/>
      <c r="C54" s="10"/>
      <c r="D54" s="4"/>
      <c r="E54" s="4"/>
      <c r="F54" s="4"/>
      <c r="G54" s="4"/>
      <c r="H54" s="4"/>
      <c r="I54" s="1"/>
      <c r="J54" s="93"/>
      <c r="K54" s="132"/>
      <c r="L54" s="2"/>
      <c r="M54" s="144"/>
      <c r="N54" s="144"/>
      <c r="O54" s="144"/>
      <c r="P54" s="144"/>
      <c r="Q54" s="144"/>
    </row>
    <row r="55" spans="1:17" ht="30" customHeight="1" x14ac:dyDescent="0.55000000000000004">
      <c r="A55" s="4"/>
      <c r="B55" s="10"/>
      <c r="C55" s="10"/>
      <c r="D55" s="4"/>
      <c r="E55" s="4"/>
      <c r="F55" s="4"/>
      <c r="G55" s="4"/>
      <c r="H55" s="4"/>
      <c r="I55" s="1"/>
      <c r="J55" s="93"/>
      <c r="K55" s="132"/>
      <c r="L55" s="2"/>
      <c r="M55" s="144"/>
      <c r="N55" s="144"/>
      <c r="O55" s="144"/>
      <c r="P55" s="144"/>
      <c r="Q55" s="144"/>
    </row>
    <row r="56" spans="1:17" ht="30" customHeight="1" x14ac:dyDescent="0.55000000000000004">
      <c r="A56" s="4"/>
      <c r="B56" s="10"/>
      <c r="C56" s="10"/>
      <c r="D56" s="4"/>
      <c r="E56" s="4"/>
      <c r="F56" s="4"/>
      <c r="G56" s="4"/>
      <c r="H56" s="4"/>
      <c r="I56" s="1"/>
      <c r="J56" s="93"/>
      <c r="K56" s="132"/>
      <c r="L56" s="2"/>
      <c r="M56" s="144"/>
      <c r="N56" s="144"/>
      <c r="O56" s="144"/>
      <c r="P56" s="144"/>
      <c r="Q56" s="144"/>
    </row>
    <row r="57" spans="1:17" ht="30" customHeight="1" x14ac:dyDescent="0.55000000000000004">
      <c r="A57" s="4"/>
      <c r="B57" s="10"/>
      <c r="C57" s="10"/>
      <c r="D57" s="4"/>
      <c r="E57" s="4"/>
      <c r="F57" s="4"/>
      <c r="G57" s="4"/>
      <c r="H57" s="4"/>
      <c r="I57" s="1"/>
      <c r="J57" s="93"/>
      <c r="K57" s="132"/>
      <c r="L57" s="2"/>
      <c r="M57" s="144"/>
      <c r="N57" s="144"/>
      <c r="O57" s="144"/>
      <c r="P57" s="144"/>
      <c r="Q57" s="144"/>
    </row>
    <row r="58" spans="1:17" ht="30" customHeight="1" x14ac:dyDescent="0.55000000000000004">
      <c r="A58" s="4"/>
      <c r="B58" s="10"/>
      <c r="C58" s="10"/>
      <c r="D58" s="4"/>
      <c r="E58" s="4"/>
      <c r="F58" s="4"/>
      <c r="G58" s="4"/>
      <c r="H58" s="4"/>
      <c r="I58" s="1"/>
      <c r="J58" s="93"/>
      <c r="K58" s="132"/>
      <c r="L58" s="2"/>
      <c r="M58" s="144"/>
      <c r="N58" s="144"/>
      <c r="O58" s="144"/>
      <c r="P58" s="144"/>
      <c r="Q58" s="144"/>
    </row>
    <row r="59" spans="1:17" ht="30" customHeight="1" x14ac:dyDescent="0.55000000000000004">
      <c r="A59" s="4"/>
      <c r="B59" s="10"/>
      <c r="C59" s="10"/>
      <c r="D59" s="4"/>
      <c r="E59" s="4"/>
      <c r="F59" s="4"/>
      <c r="G59" s="4"/>
      <c r="H59" s="4"/>
      <c r="I59" s="1"/>
      <c r="J59" s="93"/>
      <c r="K59" s="132"/>
      <c r="L59" s="2"/>
      <c r="M59" s="144"/>
      <c r="N59" s="144"/>
      <c r="O59" s="144"/>
      <c r="P59" s="144"/>
      <c r="Q59" s="144"/>
    </row>
    <row r="60" spans="1:17" ht="30" customHeight="1" x14ac:dyDescent="0.55000000000000004">
      <c r="A60" s="4"/>
      <c r="B60" s="10"/>
      <c r="C60" s="10"/>
      <c r="D60" s="4"/>
      <c r="E60" s="4"/>
      <c r="F60" s="4"/>
      <c r="G60" s="4"/>
      <c r="H60" s="4"/>
      <c r="I60" s="1"/>
      <c r="J60" s="93"/>
      <c r="K60" s="132"/>
      <c r="L60" s="2"/>
      <c r="M60" s="144"/>
      <c r="N60" s="144"/>
      <c r="O60" s="144"/>
      <c r="P60" s="144"/>
      <c r="Q60" s="144"/>
    </row>
    <row r="61" spans="1:17" ht="30" customHeight="1" x14ac:dyDescent="0.55000000000000004">
      <c r="A61" s="4"/>
      <c r="B61" s="10"/>
      <c r="C61" s="10"/>
      <c r="D61" s="4"/>
      <c r="E61" s="4"/>
      <c r="F61" s="4"/>
      <c r="G61" s="4"/>
      <c r="H61" s="4"/>
      <c r="I61" s="1"/>
      <c r="J61" s="93"/>
      <c r="K61" s="132"/>
      <c r="L61" s="2"/>
      <c r="M61" s="144"/>
      <c r="N61" s="144"/>
      <c r="O61" s="144"/>
      <c r="P61" s="144"/>
      <c r="Q61" s="144"/>
    </row>
    <row r="62" spans="1:17" ht="30" customHeight="1" x14ac:dyDescent="0.55000000000000004">
      <c r="A62" s="4"/>
      <c r="B62" s="10"/>
      <c r="C62" s="10"/>
      <c r="D62" s="4"/>
      <c r="E62" s="4"/>
      <c r="F62" s="4"/>
      <c r="G62" s="4"/>
      <c r="H62" s="4"/>
      <c r="I62" s="1"/>
      <c r="J62" s="93"/>
      <c r="K62" s="132"/>
      <c r="L62" s="2"/>
      <c r="M62" s="144"/>
      <c r="N62" s="144"/>
      <c r="O62" s="144"/>
      <c r="P62" s="144"/>
      <c r="Q62" s="144"/>
    </row>
    <row r="63" spans="1:17" ht="30" customHeight="1" x14ac:dyDescent="0.55000000000000004">
      <c r="A63" s="4"/>
      <c r="B63" s="10"/>
      <c r="C63" s="10"/>
      <c r="D63" s="4"/>
      <c r="E63" s="4"/>
      <c r="F63" s="4"/>
      <c r="G63" s="4"/>
      <c r="H63" s="4"/>
      <c r="I63" s="1"/>
      <c r="J63" s="93"/>
      <c r="K63" s="132"/>
      <c r="L63" s="2"/>
      <c r="M63" s="144"/>
      <c r="N63" s="144"/>
      <c r="O63" s="144"/>
      <c r="P63" s="144"/>
      <c r="Q63" s="144"/>
    </row>
    <row r="64" spans="1:17" ht="30" customHeight="1" x14ac:dyDescent="0.55000000000000004">
      <c r="A64" s="4"/>
      <c r="B64" s="10"/>
      <c r="C64" s="10"/>
      <c r="D64" s="4"/>
      <c r="E64" s="4"/>
      <c r="F64" s="4"/>
      <c r="G64" s="4"/>
      <c r="H64" s="4"/>
      <c r="I64" s="1"/>
      <c r="J64" s="93"/>
      <c r="K64" s="132"/>
      <c r="L64" s="2"/>
      <c r="M64" s="144"/>
      <c r="N64" s="144"/>
      <c r="O64" s="144"/>
      <c r="P64" s="144"/>
      <c r="Q64" s="144"/>
    </row>
    <row r="65" spans="1:17" ht="30" customHeight="1" x14ac:dyDescent="0.55000000000000004">
      <c r="A65" s="4"/>
      <c r="B65" s="10"/>
      <c r="C65" s="10"/>
      <c r="D65" s="4"/>
      <c r="E65" s="4"/>
      <c r="F65" s="4"/>
      <c r="G65" s="4"/>
      <c r="H65" s="4"/>
      <c r="I65" s="1"/>
      <c r="J65" s="93"/>
      <c r="K65" s="132"/>
      <c r="L65" s="2"/>
      <c r="M65" s="144"/>
      <c r="N65" s="144"/>
      <c r="O65" s="144"/>
      <c r="P65" s="144"/>
      <c r="Q65" s="144"/>
    </row>
    <row r="66" spans="1:17" ht="30" customHeight="1" x14ac:dyDescent="0.55000000000000004">
      <c r="A66" s="4"/>
      <c r="B66" s="10"/>
      <c r="C66" s="10"/>
      <c r="D66" s="4"/>
      <c r="E66" s="4"/>
      <c r="F66" s="4"/>
      <c r="G66" s="4"/>
      <c r="H66" s="4"/>
      <c r="I66" s="1"/>
      <c r="J66" s="93"/>
      <c r="K66" s="132"/>
      <c r="L66" s="2"/>
      <c r="M66" s="144"/>
      <c r="N66" s="144"/>
      <c r="O66" s="144"/>
      <c r="P66" s="144"/>
      <c r="Q66" s="144"/>
    </row>
    <row r="67" spans="1:17" ht="30" customHeight="1" x14ac:dyDescent="0.55000000000000004">
      <c r="A67" s="4"/>
      <c r="B67" s="10"/>
      <c r="C67" s="10"/>
      <c r="D67" s="4"/>
      <c r="E67" s="4"/>
      <c r="F67" s="4"/>
      <c r="G67" s="4"/>
      <c r="H67" s="4"/>
      <c r="I67" s="1"/>
      <c r="J67" s="93"/>
      <c r="K67" s="132"/>
      <c r="L67" s="2"/>
      <c r="M67" s="144"/>
      <c r="N67" s="144"/>
      <c r="O67" s="144"/>
      <c r="P67" s="144"/>
      <c r="Q67" s="144"/>
    </row>
    <row r="68" spans="1:17" ht="39.9" customHeight="1" x14ac:dyDescent="0.55000000000000004">
      <c r="A68" s="4"/>
      <c r="B68" s="10"/>
      <c r="C68" s="10"/>
      <c r="D68" s="4"/>
      <c r="E68" s="4"/>
      <c r="F68" s="4"/>
      <c r="G68" s="4"/>
      <c r="H68" s="4"/>
      <c r="I68" s="1"/>
      <c r="J68" s="93"/>
      <c r="K68" s="132"/>
      <c r="L68" s="2"/>
      <c r="M68" s="144"/>
      <c r="N68" s="144"/>
      <c r="O68" s="144"/>
      <c r="P68" s="144"/>
      <c r="Q68" s="144"/>
    </row>
    <row r="69" spans="1:17" ht="39.6" customHeight="1" x14ac:dyDescent="0.55000000000000004">
      <c r="A69" s="4"/>
      <c r="B69" s="10"/>
      <c r="C69" s="10"/>
      <c r="D69" s="4"/>
      <c r="E69" s="4"/>
      <c r="F69" s="4"/>
      <c r="G69" s="4"/>
      <c r="H69" s="4"/>
      <c r="I69" s="1"/>
      <c r="J69" s="93"/>
      <c r="K69" s="132"/>
      <c r="L69" s="2"/>
      <c r="M69" s="144"/>
      <c r="N69" s="144"/>
      <c r="O69" s="144"/>
      <c r="P69" s="144"/>
      <c r="Q69" s="144"/>
    </row>
    <row r="70" spans="1:17" ht="39.9" customHeight="1" x14ac:dyDescent="0.55000000000000004">
      <c r="A70" s="4"/>
      <c r="B70" s="10"/>
      <c r="C70" s="10"/>
      <c r="D70" s="4"/>
      <c r="E70" s="4"/>
      <c r="F70" s="4"/>
      <c r="G70" s="4"/>
      <c r="H70" s="4"/>
      <c r="I70" s="1"/>
      <c r="J70" s="93"/>
      <c r="K70" s="132"/>
      <c r="L70" s="2"/>
      <c r="M70" s="144"/>
      <c r="N70" s="144"/>
      <c r="O70" s="144"/>
      <c r="P70" s="144"/>
      <c r="Q70" s="144"/>
    </row>
    <row r="71" spans="1:17" ht="39.9" customHeight="1" x14ac:dyDescent="0.55000000000000004">
      <c r="A71" s="4"/>
      <c r="B71" s="10"/>
      <c r="C71" s="10"/>
      <c r="D71" s="4"/>
      <c r="E71" s="4"/>
      <c r="F71" s="4"/>
      <c r="G71" s="4"/>
      <c r="H71" s="4"/>
      <c r="I71" s="1"/>
      <c r="J71" s="93"/>
      <c r="K71" s="132"/>
      <c r="L71" s="2"/>
      <c r="M71" s="144"/>
      <c r="N71" s="144"/>
      <c r="O71" s="144"/>
      <c r="P71" s="144"/>
      <c r="Q71" s="144"/>
    </row>
    <row r="72" spans="1:17" ht="39.9" customHeight="1" x14ac:dyDescent="0.55000000000000004">
      <c r="A72" s="4"/>
      <c r="B72" s="10"/>
      <c r="C72" s="10"/>
      <c r="D72" s="4"/>
      <c r="E72" s="4"/>
      <c r="F72" s="4"/>
      <c r="G72" s="4"/>
      <c r="H72" s="4"/>
      <c r="I72" s="1"/>
      <c r="J72" s="93"/>
      <c r="K72" s="132"/>
      <c r="L72" s="2"/>
      <c r="M72" s="144"/>
      <c r="N72" s="144"/>
      <c r="O72" s="144"/>
      <c r="P72" s="144"/>
      <c r="Q72" s="144"/>
    </row>
    <row r="73" spans="1:17" ht="39.9" customHeight="1" x14ac:dyDescent="0.55000000000000004">
      <c r="A73" s="4"/>
      <c r="B73" s="10"/>
      <c r="C73" s="10"/>
      <c r="D73" s="4"/>
      <c r="E73" s="4"/>
      <c r="F73" s="4"/>
      <c r="G73" s="4"/>
      <c r="H73" s="4"/>
      <c r="I73" s="1"/>
      <c r="J73" s="93"/>
      <c r="K73" s="132"/>
      <c r="L73" s="2"/>
      <c r="M73" s="144"/>
      <c r="N73" s="144"/>
      <c r="O73" s="144"/>
      <c r="P73" s="144"/>
      <c r="Q73" s="144"/>
    </row>
    <row r="74" spans="1:17" ht="39.9" customHeight="1" x14ac:dyDescent="0.55000000000000004">
      <c r="A74" s="4"/>
      <c r="B74" s="10"/>
      <c r="C74" s="10"/>
      <c r="D74" s="4"/>
      <c r="E74" s="4"/>
      <c r="F74" s="4"/>
      <c r="G74" s="4"/>
      <c r="H74" s="4"/>
      <c r="I74" s="1"/>
      <c r="J74" s="93"/>
      <c r="K74" s="132"/>
      <c r="L74" s="2"/>
      <c r="M74" s="144"/>
      <c r="N74" s="144"/>
      <c r="O74" s="144"/>
      <c r="P74" s="144"/>
      <c r="Q74" s="144"/>
    </row>
    <row r="75" spans="1:17" ht="39.9" customHeight="1" x14ac:dyDescent="0.55000000000000004">
      <c r="A75" s="4"/>
      <c r="B75" s="10"/>
      <c r="C75" s="10"/>
      <c r="D75" s="4"/>
      <c r="E75" s="4"/>
      <c r="F75" s="4"/>
      <c r="G75" s="4"/>
      <c r="H75" s="4"/>
      <c r="I75" s="1"/>
      <c r="J75" s="93"/>
      <c r="K75" s="132"/>
      <c r="L75" s="2"/>
      <c r="M75" s="144"/>
      <c r="N75" s="144"/>
      <c r="O75" s="144"/>
      <c r="P75" s="144"/>
      <c r="Q75" s="144"/>
    </row>
    <row r="76" spans="1:17" ht="39.9" customHeight="1" x14ac:dyDescent="0.55000000000000004">
      <c r="A76" s="4"/>
      <c r="B76" s="10"/>
      <c r="C76" s="10"/>
      <c r="D76" s="4"/>
      <c r="E76" s="4"/>
      <c r="F76" s="4"/>
      <c r="G76" s="4"/>
      <c r="H76" s="4"/>
      <c r="I76" s="1"/>
      <c r="J76" s="93"/>
      <c r="K76" s="132"/>
      <c r="L76" s="2"/>
      <c r="M76" s="144"/>
      <c r="N76" s="144"/>
      <c r="O76" s="144"/>
      <c r="P76" s="144"/>
      <c r="Q76" s="144"/>
    </row>
    <row r="77" spans="1:17" ht="39.9" customHeight="1" x14ac:dyDescent="0.55000000000000004">
      <c r="A77" s="4"/>
      <c r="B77" s="10"/>
      <c r="C77" s="10"/>
      <c r="D77" s="4"/>
      <c r="E77" s="4"/>
      <c r="F77" s="4"/>
      <c r="G77" s="4"/>
      <c r="H77" s="4"/>
      <c r="I77" s="1"/>
      <c r="J77" s="93"/>
      <c r="K77" s="132"/>
      <c r="L77" s="2"/>
      <c r="M77" s="144"/>
      <c r="N77" s="144"/>
      <c r="O77" s="144"/>
      <c r="P77" s="144"/>
      <c r="Q77" s="144"/>
    </row>
    <row r="78" spans="1:17" ht="39.9" customHeight="1" x14ac:dyDescent="0.55000000000000004">
      <c r="A78" s="4"/>
      <c r="B78" s="10"/>
      <c r="C78" s="10"/>
      <c r="D78" s="4"/>
      <c r="E78" s="4"/>
      <c r="F78" s="4"/>
      <c r="G78" s="4"/>
      <c r="H78" s="4"/>
      <c r="I78" s="1"/>
      <c r="J78" s="93"/>
      <c r="K78" s="132"/>
      <c r="L78" s="2"/>
      <c r="M78" s="144"/>
      <c r="N78" s="144"/>
      <c r="O78" s="144"/>
      <c r="P78" s="144"/>
      <c r="Q78" s="144"/>
    </row>
    <row r="79" spans="1:17" ht="39.9" customHeight="1" x14ac:dyDescent="0.55000000000000004">
      <c r="A79" s="4"/>
      <c r="B79" s="10"/>
      <c r="C79" s="10"/>
      <c r="D79" s="4"/>
      <c r="E79" s="4"/>
      <c r="F79" s="4"/>
      <c r="G79" s="4"/>
      <c r="H79" s="4"/>
      <c r="I79" s="1"/>
      <c r="J79" s="93"/>
      <c r="K79" s="132"/>
      <c r="L79" s="2"/>
      <c r="M79" s="144"/>
      <c r="N79" s="144"/>
      <c r="O79" s="144"/>
      <c r="P79" s="144"/>
      <c r="Q79" s="144"/>
    </row>
    <row r="80" spans="1:17" ht="39.9" customHeight="1" x14ac:dyDescent="0.55000000000000004">
      <c r="A80" s="4"/>
      <c r="B80" s="10"/>
      <c r="C80" s="10"/>
      <c r="D80" s="4"/>
      <c r="E80" s="4"/>
      <c r="F80" s="4"/>
      <c r="G80" s="4"/>
      <c r="H80" s="4"/>
      <c r="I80" s="1"/>
      <c r="J80" s="93"/>
      <c r="K80" s="132"/>
      <c r="L80" s="2"/>
      <c r="M80" s="144"/>
      <c r="N80" s="144"/>
      <c r="O80" s="144"/>
      <c r="P80" s="144"/>
      <c r="Q80" s="144"/>
    </row>
    <row r="81" spans="1:17" ht="39.9" customHeight="1" x14ac:dyDescent="0.55000000000000004">
      <c r="A81" s="4"/>
      <c r="B81" s="10"/>
      <c r="C81" s="10"/>
      <c r="D81" s="4"/>
      <c r="E81" s="4"/>
      <c r="F81" s="4"/>
      <c r="G81" s="4"/>
      <c r="H81" s="4"/>
      <c r="I81" s="1"/>
      <c r="J81" s="93"/>
      <c r="K81" s="132"/>
      <c r="L81" s="2"/>
      <c r="M81" s="144"/>
      <c r="N81" s="144"/>
      <c r="O81" s="144"/>
      <c r="P81" s="144"/>
      <c r="Q81" s="144"/>
    </row>
    <row r="82" spans="1:17" ht="39.9" customHeight="1" x14ac:dyDescent="0.55000000000000004">
      <c r="A82" s="4"/>
      <c r="B82" s="10"/>
      <c r="C82" s="10"/>
      <c r="D82" s="4"/>
      <c r="E82" s="4"/>
      <c r="F82" s="4"/>
      <c r="G82" s="4"/>
      <c r="H82" s="4"/>
      <c r="I82" s="1"/>
      <c r="J82" s="93"/>
      <c r="K82" s="132"/>
      <c r="L82" s="2"/>
      <c r="M82" s="144"/>
      <c r="N82" s="144"/>
      <c r="O82" s="144"/>
      <c r="P82" s="144"/>
      <c r="Q82" s="144"/>
    </row>
    <row r="83" spans="1:17" ht="39.9" customHeight="1" x14ac:dyDescent="0.55000000000000004">
      <c r="A83" s="4"/>
      <c r="B83" s="10"/>
      <c r="C83" s="10"/>
      <c r="D83" s="4"/>
      <c r="E83" s="4"/>
      <c r="F83" s="4"/>
      <c r="G83" s="4"/>
      <c r="H83" s="4"/>
      <c r="I83" s="1"/>
      <c r="J83" s="93"/>
      <c r="K83" s="132"/>
      <c r="L83" s="2"/>
      <c r="M83" s="144"/>
      <c r="N83" s="144"/>
      <c r="O83" s="144"/>
      <c r="P83" s="144"/>
      <c r="Q83" s="144"/>
    </row>
    <row r="84" spans="1:17" ht="39.9" customHeight="1" x14ac:dyDescent="0.55000000000000004">
      <c r="A84" s="4"/>
      <c r="B84" s="10"/>
      <c r="C84" s="10"/>
      <c r="D84" s="4"/>
      <c r="E84" s="4"/>
      <c r="F84" s="4"/>
      <c r="G84" s="4"/>
      <c r="H84" s="4"/>
      <c r="I84" s="1"/>
      <c r="J84" s="93"/>
      <c r="K84" s="132"/>
      <c r="L84" s="2"/>
      <c r="M84" s="144"/>
      <c r="N84" s="144"/>
      <c r="O84" s="144"/>
      <c r="P84" s="144"/>
      <c r="Q84" s="144"/>
    </row>
    <row r="85" spans="1:17" ht="39.9" customHeight="1" x14ac:dyDescent="0.55000000000000004">
      <c r="A85" s="4"/>
      <c r="B85" s="10"/>
      <c r="C85" s="10"/>
      <c r="D85" s="4"/>
      <c r="E85" s="4"/>
      <c r="F85" s="4"/>
      <c r="G85" s="4"/>
      <c r="H85" s="4"/>
      <c r="I85" s="1"/>
      <c r="J85" s="93"/>
      <c r="K85" s="132"/>
      <c r="L85" s="2"/>
      <c r="M85" s="144"/>
      <c r="N85" s="144"/>
      <c r="O85" s="144"/>
      <c r="P85" s="144"/>
      <c r="Q85" s="144"/>
    </row>
    <row r="86" spans="1:17" ht="39.9" customHeight="1" x14ac:dyDescent="0.55000000000000004">
      <c r="A86" s="4"/>
      <c r="B86" s="10"/>
      <c r="C86" s="10"/>
      <c r="D86" s="4"/>
      <c r="E86" s="4"/>
      <c r="F86" s="4"/>
      <c r="G86" s="4"/>
      <c r="H86" s="4"/>
      <c r="I86" s="1"/>
      <c r="J86" s="93"/>
      <c r="K86" s="132"/>
      <c r="L86" s="2"/>
      <c r="M86" s="144"/>
      <c r="N86" s="144"/>
      <c r="O86" s="144"/>
      <c r="P86" s="144"/>
      <c r="Q86" s="144"/>
    </row>
    <row r="87" spans="1:17" ht="39.9" customHeight="1" x14ac:dyDescent="0.55000000000000004">
      <c r="A87" s="4"/>
      <c r="B87" s="10"/>
      <c r="C87" s="10"/>
      <c r="D87" s="4"/>
      <c r="E87" s="4"/>
      <c r="F87" s="4"/>
      <c r="G87" s="4"/>
      <c r="H87" s="4"/>
      <c r="I87" s="1"/>
      <c r="J87" s="93"/>
      <c r="K87" s="132"/>
      <c r="L87" s="2"/>
      <c r="M87" s="144"/>
      <c r="N87" s="144"/>
      <c r="O87" s="144"/>
      <c r="P87" s="144"/>
      <c r="Q87" s="144"/>
    </row>
    <row r="88" spans="1:17" ht="39.9" customHeight="1" x14ac:dyDescent="0.55000000000000004">
      <c r="A88" s="4"/>
      <c r="B88" s="10"/>
      <c r="C88" s="10"/>
      <c r="D88" s="4"/>
      <c r="E88" s="4"/>
      <c r="F88" s="4"/>
      <c r="G88" s="4"/>
      <c r="H88" s="4"/>
      <c r="I88" s="1"/>
      <c r="J88" s="93"/>
      <c r="K88" s="132"/>
      <c r="L88" s="2"/>
      <c r="M88" s="144"/>
      <c r="N88" s="144"/>
      <c r="O88" s="144"/>
      <c r="P88" s="144"/>
      <c r="Q88" s="144"/>
    </row>
    <row r="89" spans="1:17" ht="39.9" customHeight="1" x14ac:dyDescent="0.55000000000000004">
      <c r="A89" s="4"/>
      <c r="B89" s="10"/>
      <c r="C89" s="10"/>
      <c r="D89" s="4"/>
      <c r="E89" s="4"/>
      <c r="F89" s="4"/>
      <c r="G89" s="4"/>
      <c r="H89" s="4"/>
      <c r="I89" s="1"/>
      <c r="J89" s="93"/>
      <c r="K89" s="132"/>
      <c r="L89" s="2"/>
      <c r="M89" s="144"/>
      <c r="N89" s="144"/>
      <c r="O89" s="144"/>
      <c r="P89" s="144"/>
      <c r="Q89" s="144"/>
    </row>
    <row r="90" spans="1:17" ht="39.9" customHeight="1" x14ac:dyDescent="0.55000000000000004">
      <c r="A90" s="4"/>
      <c r="B90" s="10"/>
      <c r="C90" s="10"/>
      <c r="D90" s="4"/>
      <c r="E90" s="4"/>
      <c r="F90" s="4"/>
      <c r="G90" s="4"/>
      <c r="H90" s="4"/>
      <c r="I90" s="1"/>
      <c r="J90" s="93"/>
      <c r="K90" s="132"/>
      <c r="L90" s="2"/>
      <c r="M90" s="144"/>
      <c r="N90" s="144"/>
      <c r="O90" s="144"/>
      <c r="P90" s="144"/>
      <c r="Q90" s="144"/>
    </row>
    <row r="91" spans="1:17" ht="39.9" customHeight="1" x14ac:dyDescent="0.55000000000000004">
      <c r="A91" s="4"/>
      <c r="B91" s="10"/>
      <c r="C91" s="10"/>
      <c r="D91" s="4"/>
      <c r="E91" s="4"/>
      <c r="F91" s="4"/>
      <c r="G91" s="4"/>
      <c r="H91" s="4"/>
      <c r="I91" s="1"/>
      <c r="J91" s="93"/>
      <c r="K91" s="132"/>
      <c r="L91" s="2"/>
      <c r="M91" s="144"/>
      <c r="N91" s="144"/>
      <c r="O91" s="144"/>
      <c r="P91" s="144"/>
      <c r="Q91" s="144"/>
    </row>
    <row r="92" spans="1:17" ht="39.9" customHeight="1" x14ac:dyDescent="0.55000000000000004">
      <c r="A92" s="4"/>
      <c r="B92" s="10"/>
      <c r="C92" s="10"/>
      <c r="D92" s="4"/>
      <c r="E92" s="4"/>
      <c r="F92" s="4"/>
      <c r="G92" s="4"/>
      <c r="H92" s="4"/>
      <c r="I92" s="1"/>
      <c r="J92" s="93"/>
      <c r="K92" s="132"/>
      <c r="L92" s="2"/>
      <c r="M92" s="144"/>
      <c r="N92" s="144"/>
      <c r="O92" s="144"/>
      <c r="P92" s="144"/>
      <c r="Q92" s="144"/>
    </row>
    <row r="93" spans="1:17" ht="39.9" customHeight="1" x14ac:dyDescent="0.55000000000000004">
      <c r="A93" s="4"/>
      <c r="B93" s="10"/>
      <c r="C93" s="10"/>
      <c r="D93" s="4"/>
      <c r="E93" s="4"/>
      <c r="F93" s="4"/>
      <c r="G93" s="4"/>
      <c r="H93" s="4"/>
      <c r="I93" s="1"/>
      <c r="J93" s="93"/>
      <c r="K93" s="132"/>
      <c r="L93" s="2"/>
      <c r="M93" s="144"/>
      <c r="N93" s="144"/>
      <c r="O93" s="144"/>
      <c r="P93" s="144"/>
      <c r="Q93" s="144"/>
    </row>
    <row r="94" spans="1:17" ht="39.9" customHeight="1" x14ac:dyDescent="0.55000000000000004">
      <c r="A94" s="4"/>
      <c r="B94" s="10"/>
      <c r="C94" s="10"/>
      <c r="D94" s="4"/>
      <c r="E94" s="4"/>
      <c r="F94" s="4"/>
      <c r="G94" s="4"/>
      <c r="H94" s="4"/>
      <c r="I94" s="1"/>
      <c r="J94" s="93"/>
      <c r="K94" s="132"/>
      <c r="L94" s="2"/>
      <c r="M94" s="144"/>
      <c r="N94" s="144"/>
      <c r="O94" s="144"/>
      <c r="P94" s="144"/>
      <c r="Q94" s="144"/>
    </row>
    <row r="95" spans="1:17" ht="39.9" customHeight="1" x14ac:dyDescent="0.55000000000000004">
      <c r="A95" s="4"/>
      <c r="B95" s="10"/>
      <c r="C95" s="10"/>
      <c r="D95" s="4"/>
      <c r="E95" s="4"/>
      <c r="F95" s="4"/>
      <c r="G95" s="4"/>
      <c r="H95" s="4"/>
      <c r="I95" s="1"/>
      <c r="J95" s="93"/>
      <c r="K95" s="132"/>
      <c r="L95" s="2"/>
      <c r="M95" s="144"/>
      <c r="N95" s="144"/>
      <c r="O95" s="144"/>
      <c r="P95" s="144"/>
      <c r="Q95" s="144"/>
    </row>
    <row r="96" spans="1:17" ht="39.9" customHeight="1" x14ac:dyDescent="0.55000000000000004">
      <c r="A96" s="4"/>
      <c r="B96" s="10"/>
      <c r="C96" s="10"/>
      <c r="D96" s="4"/>
      <c r="E96" s="4"/>
      <c r="F96" s="4"/>
      <c r="G96" s="4"/>
      <c r="H96" s="4"/>
      <c r="I96" s="1"/>
      <c r="J96" s="93"/>
      <c r="K96" s="132"/>
      <c r="L96" s="2"/>
      <c r="M96" s="144"/>
      <c r="N96" s="144"/>
      <c r="O96" s="144"/>
      <c r="P96" s="144"/>
      <c r="Q96" s="144"/>
    </row>
    <row r="97" spans="1:17" ht="39.9" customHeight="1" x14ac:dyDescent="0.55000000000000004">
      <c r="A97" s="4"/>
      <c r="B97" s="10"/>
      <c r="C97" s="10"/>
      <c r="D97" s="4"/>
      <c r="E97" s="4"/>
      <c r="F97" s="4"/>
      <c r="G97" s="4"/>
      <c r="H97" s="4"/>
      <c r="I97" s="1"/>
      <c r="J97" s="93"/>
      <c r="K97" s="132"/>
      <c r="L97" s="2"/>
      <c r="M97" s="144"/>
      <c r="N97" s="144"/>
      <c r="O97" s="144"/>
      <c r="P97" s="144"/>
      <c r="Q97" s="144"/>
    </row>
    <row r="98" spans="1:17" ht="39.9" customHeight="1" x14ac:dyDescent="0.55000000000000004">
      <c r="A98" s="4"/>
      <c r="B98" s="10"/>
      <c r="C98" s="10"/>
      <c r="D98" s="4"/>
      <c r="E98" s="4"/>
      <c r="F98" s="4"/>
      <c r="G98" s="4"/>
      <c r="H98" s="4"/>
      <c r="I98" s="1"/>
      <c r="J98" s="93"/>
      <c r="K98" s="132"/>
      <c r="L98" s="2"/>
      <c r="M98" s="144"/>
      <c r="N98" s="144"/>
      <c r="O98" s="144"/>
      <c r="P98" s="144"/>
      <c r="Q98" s="144"/>
    </row>
    <row r="99" spans="1:17" ht="39.9" customHeight="1" x14ac:dyDescent="0.55000000000000004">
      <c r="A99" s="4">
        <v>62</v>
      </c>
      <c r="B99" s="10"/>
      <c r="C99" s="10"/>
      <c r="D99" s="4"/>
      <c r="E99" s="4"/>
      <c r="F99" s="4">
        <f>G99-L99</f>
        <v>0</v>
      </c>
      <c r="G99" s="4"/>
      <c r="H99" s="4">
        <f>I99-G99</f>
        <v>0</v>
      </c>
      <c r="I99" s="1"/>
      <c r="J99" s="93"/>
      <c r="K99" s="132"/>
      <c r="L99" s="2"/>
      <c r="M99" s="144"/>
      <c r="N99" s="144"/>
      <c r="O99" s="144"/>
      <c r="P99" s="144"/>
      <c r="Q99" s="144"/>
    </row>
    <row r="100" spans="1:17" ht="39.9" customHeight="1" x14ac:dyDescent="0.55000000000000004">
      <c r="A100" s="443" t="s">
        <v>3</v>
      </c>
      <c r="B100" s="443"/>
      <c r="C100" s="443"/>
      <c r="D100" s="4"/>
      <c r="E100" s="4"/>
      <c r="F100" s="4">
        <f>SUM(F6:F99)</f>
        <v>919296.8</v>
      </c>
      <c r="G100" s="4">
        <f>SUM(G6:G99)</f>
        <v>924926.8</v>
      </c>
      <c r="H100" s="4">
        <f>SUM(H6:H99)</f>
        <v>0</v>
      </c>
      <c r="I100" s="4">
        <f>SUM(I6:I99)</f>
        <v>924926.8</v>
      </c>
      <c r="J100" s="93"/>
      <c r="K100" s="132">
        <f t="shared" ref="K100:P100" si="11">SUM(K6:K99)</f>
        <v>5630</v>
      </c>
      <c r="L100" s="4">
        <f t="shared" si="11"/>
        <v>5630</v>
      </c>
      <c r="M100" s="4">
        <f t="shared" si="11"/>
        <v>212536.3</v>
      </c>
      <c r="N100" s="4">
        <f t="shared" si="11"/>
        <v>460620</v>
      </c>
      <c r="O100" s="4">
        <f t="shared" si="11"/>
        <v>677346.3</v>
      </c>
      <c r="P100" s="4">
        <f t="shared" si="11"/>
        <v>241950.5</v>
      </c>
      <c r="Q100" s="144"/>
    </row>
    <row r="101" spans="1:17" ht="39.9" customHeight="1" x14ac:dyDescent="0.6">
      <c r="A101" s="5"/>
      <c r="B101" s="5"/>
      <c r="C101" s="5"/>
      <c r="D101" s="5"/>
      <c r="E101" s="5"/>
      <c r="F101" s="5"/>
      <c r="G101" s="5"/>
      <c r="H101" s="5"/>
      <c r="I101" s="8"/>
      <c r="J101" s="131"/>
      <c r="K101" s="133"/>
      <c r="L101" s="7"/>
      <c r="M101" s="144"/>
      <c r="N101" s="144"/>
      <c r="O101" s="144"/>
      <c r="P101" s="144"/>
      <c r="Q101" s="144"/>
    </row>
  </sheetData>
  <autoFilter ref="A4:Q45" xr:uid="{517BCC1D-8DA2-45B7-9FB0-4E8811EC4C0F}"/>
  <mergeCells count="4">
    <mergeCell ref="A1:Q2"/>
    <mergeCell ref="A18:A21"/>
    <mergeCell ref="A36:A39"/>
    <mergeCell ref="A100:C100"/>
  </mergeCells>
  <printOptions horizontalCentered="1" verticalCentered="1"/>
  <pageMargins left="0" right="0" top="0" bottom="0" header="0" footer="0"/>
  <pageSetup paperSize="9" scale="2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7FFB-3845-4BC7-BADD-6B79D7E6CF66}">
  <dimension ref="A1:R102"/>
  <sheetViews>
    <sheetView rightToLeft="1" view="pageBreakPreview" zoomScale="40" zoomScaleNormal="40" zoomScaleSheetLayoutView="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0" sqref="E10"/>
    </sheetView>
  </sheetViews>
  <sheetFormatPr defaultColWidth="8.88671875" defaultRowHeight="28.8" x14ac:dyDescent="0.55000000000000004"/>
  <cols>
    <col min="1" max="1" width="10.109375" style="6" customWidth="1"/>
    <col min="2" max="2" width="84" style="6" customWidth="1"/>
    <col min="3" max="3" width="48.33203125" style="6" hidden="1" customWidth="1"/>
    <col min="4" max="4" width="25.6640625" style="6" hidden="1" customWidth="1"/>
    <col min="5" max="5" width="83.6640625" style="6" customWidth="1"/>
    <col min="6" max="6" width="37.6640625" style="6" customWidth="1"/>
    <col min="7" max="7" width="21.6640625" style="6" customWidth="1"/>
    <col min="8" max="8" width="35.33203125" style="6" customWidth="1"/>
    <col min="9" max="9" width="32" style="6" customWidth="1"/>
    <col min="10" max="10" width="27.33203125" style="6" customWidth="1"/>
    <col min="11" max="11" width="27.33203125" style="9" bestFit="1" customWidth="1"/>
    <col min="12" max="12" width="27.33203125" style="9" customWidth="1"/>
    <col min="13" max="14" width="26.109375" style="3" bestFit="1" customWidth="1"/>
    <col min="15" max="15" width="17.109375" style="55" customWidth="1"/>
    <col min="16" max="16384" width="8.88671875" style="6"/>
  </cols>
  <sheetData>
    <row r="1" spans="1:18" ht="63.75" customHeight="1" x14ac:dyDescent="0.3">
      <c r="A1" s="433" t="s">
        <v>1306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</row>
    <row r="2" spans="1:18" ht="63.75" customHeight="1" x14ac:dyDescent="0.3">
      <c r="A2" s="439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</row>
    <row r="3" spans="1:18" ht="63" customHeight="1" thickBot="1" x14ac:dyDescent="0.6">
      <c r="A3" s="134"/>
      <c r="B3" s="134"/>
      <c r="C3" s="134"/>
      <c r="D3" s="134"/>
      <c r="E3" s="134"/>
      <c r="F3" s="134"/>
      <c r="G3" s="134"/>
      <c r="H3" s="65">
        <f>H101</f>
        <v>1631759</v>
      </c>
      <c r="I3" s="65">
        <f>I101</f>
        <v>1796035</v>
      </c>
      <c r="J3" s="65">
        <f>J101</f>
        <v>0</v>
      </c>
      <c r="K3" s="65">
        <f>K101</f>
        <v>1796035</v>
      </c>
      <c r="L3" s="65"/>
      <c r="M3" s="65">
        <f>M101</f>
        <v>164276</v>
      </c>
      <c r="N3" s="65">
        <f>N101</f>
        <v>164276</v>
      </c>
    </row>
    <row r="4" spans="1:18" ht="63" thickBot="1" x14ac:dyDescent="0.35">
      <c r="A4" s="137" t="s">
        <v>1</v>
      </c>
      <c r="B4" s="138" t="s">
        <v>481</v>
      </c>
      <c r="C4" s="138" t="s">
        <v>309</v>
      </c>
      <c r="D4" s="138" t="s">
        <v>284</v>
      </c>
      <c r="E4" s="138" t="s">
        <v>5</v>
      </c>
      <c r="F4" s="28" t="s">
        <v>492</v>
      </c>
      <c r="G4" s="111" t="s">
        <v>970</v>
      </c>
      <c r="H4" s="138" t="s">
        <v>484</v>
      </c>
      <c r="I4" s="139" t="s">
        <v>60</v>
      </c>
      <c r="J4" s="138" t="s">
        <v>61</v>
      </c>
      <c r="K4" s="139" t="s">
        <v>2</v>
      </c>
      <c r="L4" s="140" t="s">
        <v>1241</v>
      </c>
      <c r="M4" s="141" t="s">
        <v>1240</v>
      </c>
      <c r="N4" s="142" t="s">
        <v>1207</v>
      </c>
      <c r="O4" s="143" t="s">
        <v>1142</v>
      </c>
    </row>
    <row r="5" spans="1:18" ht="31.2" x14ac:dyDescent="0.4">
      <c r="A5" s="57">
        <v>0</v>
      </c>
      <c r="B5" s="58" t="s">
        <v>1305</v>
      </c>
      <c r="C5" s="58" t="s">
        <v>1305</v>
      </c>
      <c r="D5" s="58" t="s">
        <v>1305</v>
      </c>
      <c r="E5" s="58" t="s">
        <v>1305</v>
      </c>
      <c r="F5" s="57" t="s">
        <v>14</v>
      </c>
      <c r="G5" s="57">
        <v>9</v>
      </c>
      <c r="H5" s="57">
        <v>325000</v>
      </c>
      <c r="I5" s="57">
        <v>341871</v>
      </c>
      <c r="J5" s="57">
        <f>K5-I5</f>
        <v>14171</v>
      </c>
      <c r="K5" s="56">
        <v>356042</v>
      </c>
      <c r="L5" s="135">
        <f>H5-K5</f>
        <v>-31042</v>
      </c>
      <c r="M5" s="136"/>
      <c r="N5" s="74"/>
      <c r="O5" s="118"/>
      <c r="R5" s="145" t="s">
        <v>1242</v>
      </c>
    </row>
    <row r="6" spans="1:18" ht="33.75" customHeight="1" x14ac:dyDescent="0.3">
      <c r="A6" s="57">
        <v>1</v>
      </c>
      <c r="B6" s="130" t="s">
        <v>37</v>
      </c>
      <c r="C6" s="10" t="s">
        <v>316</v>
      </c>
      <c r="D6" s="10" t="s">
        <v>1164</v>
      </c>
      <c r="E6" s="10" t="s">
        <v>1163</v>
      </c>
      <c r="F6" s="4" t="s">
        <v>14</v>
      </c>
      <c r="G6" s="4">
        <v>8</v>
      </c>
      <c r="H6" s="4">
        <f t="shared" ref="H6:H7" si="0">I6-N6</f>
        <v>181725</v>
      </c>
      <c r="I6" s="4">
        <v>181725</v>
      </c>
      <c r="J6" s="4">
        <f t="shared" ref="J6:J7" si="1">K6-I6</f>
        <v>0</v>
      </c>
      <c r="K6" s="1">
        <v>181725</v>
      </c>
      <c r="L6" s="135">
        <f t="shared" ref="L6:L7" si="2">N6-M6</f>
        <v>0</v>
      </c>
      <c r="M6" s="132"/>
      <c r="N6" s="2"/>
      <c r="O6" s="112"/>
    </row>
    <row r="7" spans="1:18" ht="33.6" customHeight="1" x14ac:dyDescent="0.3">
      <c r="A7" s="4">
        <v>2</v>
      </c>
      <c r="B7" s="10" t="s">
        <v>1217</v>
      </c>
      <c r="C7" s="10" t="s">
        <v>316</v>
      </c>
      <c r="D7" s="10" t="s">
        <v>1187</v>
      </c>
      <c r="E7" s="10" t="s">
        <v>1118</v>
      </c>
      <c r="F7" s="4" t="s">
        <v>14</v>
      </c>
      <c r="G7" s="4">
        <v>10</v>
      </c>
      <c r="H7" s="4">
        <f t="shared" si="0"/>
        <v>27674</v>
      </c>
      <c r="I7" s="4">
        <v>27674</v>
      </c>
      <c r="J7" s="4">
        <f t="shared" si="1"/>
        <v>0</v>
      </c>
      <c r="K7" s="1">
        <v>27674</v>
      </c>
      <c r="L7" s="135">
        <f t="shared" si="2"/>
        <v>0</v>
      </c>
      <c r="M7" s="132"/>
      <c r="N7" s="2"/>
      <c r="O7" s="112"/>
    </row>
    <row r="8" spans="1:18" ht="33.75" customHeight="1" x14ac:dyDescent="0.3">
      <c r="A8" s="4">
        <v>3</v>
      </c>
      <c r="B8" s="10" t="s">
        <v>1339</v>
      </c>
      <c r="C8" s="10" t="s">
        <v>316</v>
      </c>
      <c r="D8" s="10" t="s">
        <v>1187</v>
      </c>
      <c r="E8" s="10" t="s">
        <v>1340</v>
      </c>
      <c r="F8" s="4" t="s">
        <v>14</v>
      </c>
      <c r="G8" s="4">
        <v>1</v>
      </c>
      <c r="H8" s="4">
        <f t="shared" ref="H8" si="3">I8-N8</f>
        <v>42540</v>
      </c>
      <c r="I8" s="4">
        <v>42540</v>
      </c>
      <c r="J8" s="4">
        <f t="shared" ref="J8" si="4">K8-I8</f>
        <v>0</v>
      </c>
      <c r="K8" s="1">
        <v>42540</v>
      </c>
      <c r="L8" s="135">
        <f t="shared" ref="L8" si="5">N8-M8</f>
        <v>0</v>
      </c>
      <c r="M8" s="132"/>
      <c r="N8" s="2"/>
      <c r="O8" s="112"/>
    </row>
    <row r="9" spans="1:18" ht="33.75" customHeight="1" x14ac:dyDescent="0.3">
      <c r="A9" s="4">
        <v>4</v>
      </c>
      <c r="B9" s="10" t="s">
        <v>1346</v>
      </c>
      <c r="C9" s="10" t="s">
        <v>316</v>
      </c>
      <c r="D9" s="10" t="s">
        <v>1187</v>
      </c>
      <c r="E9" s="10" t="s">
        <v>1347</v>
      </c>
      <c r="F9" s="4" t="s">
        <v>14</v>
      </c>
      <c r="G9" s="4">
        <v>4</v>
      </c>
      <c r="H9" s="4">
        <f t="shared" ref="H9" si="6">I9-N9</f>
        <v>14730</v>
      </c>
      <c r="I9" s="4">
        <v>14730</v>
      </c>
      <c r="J9" s="4">
        <f t="shared" ref="J9" si="7">K9-I9</f>
        <v>0</v>
      </c>
      <c r="K9" s="1">
        <v>14730</v>
      </c>
      <c r="L9" s="135">
        <f t="shared" ref="L9" si="8">N9-M9</f>
        <v>0</v>
      </c>
      <c r="M9" s="132"/>
      <c r="N9" s="2"/>
      <c r="O9" s="112"/>
    </row>
    <row r="10" spans="1:18" ht="33.75" customHeight="1" x14ac:dyDescent="0.3">
      <c r="A10" s="4">
        <v>5</v>
      </c>
      <c r="B10" s="10" t="s">
        <v>1348</v>
      </c>
      <c r="C10" s="10" t="s">
        <v>316</v>
      </c>
      <c r="D10" s="10" t="s">
        <v>1187</v>
      </c>
      <c r="E10" s="10" t="s">
        <v>1572</v>
      </c>
      <c r="F10" s="4" t="s">
        <v>14</v>
      </c>
      <c r="G10" s="4">
        <v>14</v>
      </c>
      <c r="H10" s="4">
        <f t="shared" ref="H10:H12" si="9">I10-N10</f>
        <v>1284221</v>
      </c>
      <c r="I10" s="4">
        <v>1284221</v>
      </c>
      <c r="J10" s="4">
        <f t="shared" ref="J10:J12" si="10">K10-I10</f>
        <v>0</v>
      </c>
      <c r="K10" s="1">
        <v>1284221</v>
      </c>
      <c r="L10" s="135">
        <f t="shared" ref="L10:L12" si="11">N10-M10</f>
        <v>0</v>
      </c>
      <c r="M10" s="132"/>
      <c r="N10" s="2"/>
      <c r="O10" s="112"/>
    </row>
    <row r="11" spans="1:18" ht="33.75" customHeight="1" x14ac:dyDescent="0.3">
      <c r="A11" s="4">
        <v>6</v>
      </c>
      <c r="B11" s="10" t="s">
        <v>1095</v>
      </c>
      <c r="C11" s="10" t="s">
        <v>316</v>
      </c>
      <c r="D11" s="10" t="s">
        <v>1187</v>
      </c>
      <c r="E11" s="10" t="s">
        <v>1349</v>
      </c>
      <c r="F11" s="4" t="s">
        <v>14</v>
      </c>
      <c r="G11" s="4">
        <v>1</v>
      </c>
      <c r="H11" s="4">
        <f t="shared" si="9"/>
        <v>7195</v>
      </c>
      <c r="I11" s="4">
        <v>7195</v>
      </c>
      <c r="J11" s="4">
        <f t="shared" si="10"/>
        <v>0</v>
      </c>
      <c r="K11" s="1">
        <v>7195</v>
      </c>
      <c r="L11" s="135">
        <f t="shared" si="11"/>
        <v>0</v>
      </c>
      <c r="M11" s="132"/>
      <c r="N11" s="2"/>
      <c r="O11" s="112"/>
    </row>
    <row r="12" spans="1:18" ht="33.75" customHeight="1" x14ac:dyDescent="0.3">
      <c r="A12" s="4">
        <v>7</v>
      </c>
      <c r="B12" s="10" t="s">
        <v>1385</v>
      </c>
      <c r="C12" s="10" t="s">
        <v>316</v>
      </c>
      <c r="D12" s="10" t="s">
        <v>1187</v>
      </c>
      <c r="E12" s="10" t="s">
        <v>1312</v>
      </c>
      <c r="F12" s="4" t="s">
        <v>14</v>
      </c>
      <c r="G12" s="4">
        <v>2</v>
      </c>
      <c r="H12" s="4">
        <f t="shared" si="9"/>
        <v>61974</v>
      </c>
      <c r="I12" s="4">
        <v>226250</v>
      </c>
      <c r="J12" s="4">
        <f t="shared" si="10"/>
        <v>0</v>
      </c>
      <c r="K12" s="1">
        <v>226250</v>
      </c>
      <c r="L12" s="135">
        <f t="shared" si="11"/>
        <v>0</v>
      </c>
      <c r="M12" s="132">
        <v>164276</v>
      </c>
      <c r="N12" s="2">
        <v>164276</v>
      </c>
      <c r="O12" s="112"/>
    </row>
    <row r="13" spans="1:18" ht="33.75" customHeight="1" x14ac:dyDescent="0.3">
      <c r="A13" s="4">
        <v>8</v>
      </c>
      <c r="B13" s="10" t="s">
        <v>1560</v>
      </c>
      <c r="C13" s="10" t="s">
        <v>316</v>
      </c>
      <c r="D13" s="10" t="s">
        <v>1187</v>
      </c>
      <c r="E13" s="10" t="s">
        <v>1347</v>
      </c>
      <c r="F13" s="4" t="s">
        <v>14</v>
      </c>
      <c r="G13" s="4">
        <v>6</v>
      </c>
      <c r="H13" s="4">
        <f t="shared" ref="H13" si="12">I13-N13</f>
        <v>11700</v>
      </c>
      <c r="I13" s="4">
        <v>11700</v>
      </c>
      <c r="J13" s="4">
        <f t="shared" ref="J13" si="13">K13-I13</f>
        <v>0</v>
      </c>
      <c r="K13" s="1">
        <v>11700</v>
      </c>
      <c r="L13" s="135">
        <f t="shared" ref="L13" si="14">N13-M13</f>
        <v>0</v>
      </c>
      <c r="M13" s="132">
        <v>0</v>
      </c>
      <c r="N13" s="2">
        <v>0</v>
      </c>
      <c r="O13" s="112"/>
    </row>
    <row r="14" spans="1:18" ht="39.9" customHeight="1" x14ac:dyDescent="0.55000000000000004">
      <c r="A14" s="4"/>
      <c r="B14" s="10"/>
      <c r="C14" s="10"/>
      <c r="D14" s="10"/>
      <c r="E14" s="10"/>
      <c r="F14" s="4"/>
      <c r="G14" s="4"/>
      <c r="H14" s="4"/>
      <c r="I14" s="4"/>
      <c r="J14" s="4"/>
      <c r="K14" s="1"/>
      <c r="L14" s="93"/>
      <c r="M14" s="132"/>
      <c r="N14" s="2"/>
      <c r="O14" s="144"/>
    </row>
    <row r="15" spans="1:18" ht="39.9" customHeight="1" x14ac:dyDescent="0.55000000000000004">
      <c r="A15" s="4"/>
      <c r="B15" s="10"/>
      <c r="C15" s="10"/>
      <c r="D15" s="10"/>
      <c r="E15" s="10"/>
      <c r="F15" s="4"/>
      <c r="G15" s="4"/>
      <c r="H15" s="4"/>
      <c r="I15" s="4"/>
      <c r="J15" s="4"/>
      <c r="K15" s="1"/>
      <c r="L15" s="93"/>
      <c r="M15" s="132"/>
      <c r="N15" s="2"/>
      <c r="O15" s="144"/>
    </row>
    <row r="16" spans="1:18" ht="31.2" x14ac:dyDescent="0.55000000000000004">
      <c r="A16" s="4"/>
      <c r="B16" s="10"/>
      <c r="C16" s="10"/>
      <c r="D16" s="10"/>
      <c r="E16" s="10"/>
      <c r="F16" s="4"/>
      <c r="G16" s="4"/>
      <c r="H16" s="4"/>
      <c r="I16" s="4"/>
      <c r="J16" s="4"/>
      <c r="K16" s="1"/>
      <c r="L16" s="93"/>
      <c r="M16" s="132"/>
      <c r="N16" s="2"/>
      <c r="O16" s="144"/>
    </row>
    <row r="17" spans="1:15" ht="31.2" x14ac:dyDescent="0.55000000000000004">
      <c r="A17" s="4"/>
      <c r="B17" s="10"/>
      <c r="C17" s="10"/>
      <c r="D17" s="10"/>
      <c r="E17" s="10"/>
      <c r="F17" s="4"/>
      <c r="G17" s="4"/>
      <c r="H17" s="4"/>
      <c r="I17" s="4"/>
      <c r="J17" s="4"/>
      <c r="K17" s="1"/>
      <c r="L17" s="93"/>
      <c r="M17" s="132"/>
      <c r="N17" s="2"/>
      <c r="O17" s="144"/>
    </row>
    <row r="18" spans="1:15" ht="31.2" x14ac:dyDescent="0.55000000000000004">
      <c r="A18" s="4"/>
      <c r="B18" s="10"/>
      <c r="C18" s="10"/>
      <c r="D18" s="10"/>
      <c r="E18" s="10"/>
      <c r="F18" s="4"/>
      <c r="G18" s="4"/>
      <c r="H18" s="4"/>
      <c r="I18" s="4"/>
      <c r="J18" s="4"/>
      <c r="K18" s="1"/>
      <c r="L18" s="93"/>
      <c r="M18" s="132"/>
      <c r="N18" s="2"/>
      <c r="O18" s="144"/>
    </row>
    <row r="19" spans="1:15" ht="31.2" x14ac:dyDescent="0.55000000000000004">
      <c r="A19" s="4"/>
      <c r="B19" s="10"/>
      <c r="C19" s="10"/>
      <c r="D19" s="10"/>
      <c r="E19" s="10"/>
      <c r="F19" s="4"/>
      <c r="G19" s="4"/>
      <c r="H19" s="4"/>
      <c r="I19" s="4"/>
      <c r="J19" s="4"/>
      <c r="K19" s="1"/>
      <c r="L19" s="93"/>
      <c r="M19" s="132"/>
      <c r="N19" s="2"/>
      <c r="O19" s="144"/>
    </row>
    <row r="20" spans="1:15" ht="31.2" x14ac:dyDescent="0.55000000000000004">
      <c r="A20" s="4"/>
      <c r="B20" s="10"/>
      <c r="C20" s="10"/>
      <c r="D20" s="10"/>
      <c r="E20" s="10"/>
      <c r="F20" s="4"/>
      <c r="G20" s="4"/>
      <c r="H20" s="4"/>
      <c r="I20" s="4"/>
      <c r="J20" s="4"/>
      <c r="K20" s="1"/>
      <c r="L20" s="93"/>
      <c r="M20" s="132"/>
      <c r="N20" s="2"/>
      <c r="O20" s="144"/>
    </row>
    <row r="21" spans="1:15" ht="39.9" customHeight="1" x14ac:dyDescent="0.55000000000000004">
      <c r="A21" s="4"/>
      <c r="B21" s="10"/>
      <c r="C21" s="10"/>
      <c r="D21" s="10"/>
      <c r="E21" s="10"/>
      <c r="F21" s="4"/>
      <c r="G21" s="4"/>
      <c r="H21" s="4"/>
      <c r="I21" s="4"/>
      <c r="J21" s="4"/>
      <c r="K21" s="1"/>
      <c r="L21" s="93"/>
      <c r="M21" s="132"/>
      <c r="N21" s="2"/>
      <c r="O21" s="144"/>
    </row>
    <row r="22" spans="1:15" ht="39.9" customHeight="1" x14ac:dyDescent="0.55000000000000004">
      <c r="A22" s="4"/>
      <c r="B22" s="10"/>
      <c r="C22" s="10"/>
      <c r="D22" s="10"/>
      <c r="E22" s="10"/>
      <c r="F22" s="4"/>
      <c r="G22" s="4"/>
      <c r="H22" s="4"/>
      <c r="I22" s="4"/>
      <c r="J22" s="4"/>
      <c r="K22" s="1"/>
      <c r="L22" s="93"/>
      <c r="M22" s="132"/>
      <c r="N22" s="2"/>
      <c r="O22" s="144"/>
    </row>
    <row r="23" spans="1:15" ht="39.9" customHeight="1" x14ac:dyDescent="0.55000000000000004">
      <c r="A23" s="4"/>
      <c r="B23" s="10"/>
      <c r="C23" s="10"/>
      <c r="D23" s="10"/>
      <c r="E23" s="10"/>
      <c r="F23" s="4"/>
      <c r="G23" s="4"/>
      <c r="H23" s="4"/>
      <c r="I23" s="4"/>
      <c r="J23" s="4"/>
      <c r="K23" s="1"/>
      <c r="L23" s="93"/>
      <c r="M23" s="132"/>
      <c r="N23" s="2"/>
      <c r="O23" s="144"/>
    </row>
    <row r="24" spans="1:15" ht="39.9" customHeight="1" x14ac:dyDescent="0.55000000000000004">
      <c r="A24" s="4"/>
      <c r="B24" s="10"/>
      <c r="C24" s="10"/>
      <c r="D24" s="10"/>
      <c r="E24" s="10"/>
      <c r="F24" s="4"/>
      <c r="G24" s="4"/>
      <c r="H24" s="4"/>
      <c r="I24" s="4"/>
      <c r="J24" s="4"/>
      <c r="K24" s="1"/>
      <c r="L24" s="93"/>
      <c r="M24" s="132"/>
      <c r="N24" s="2"/>
      <c r="O24" s="144"/>
    </row>
    <row r="25" spans="1:15" ht="39.9" customHeight="1" x14ac:dyDescent="0.55000000000000004">
      <c r="A25" s="4"/>
      <c r="B25" s="10"/>
      <c r="C25" s="10"/>
      <c r="D25" s="10"/>
      <c r="E25" s="10"/>
      <c r="F25" s="4"/>
      <c r="G25" s="4"/>
      <c r="H25" s="4"/>
      <c r="I25" s="4"/>
      <c r="J25" s="4"/>
      <c r="K25" s="1"/>
      <c r="L25" s="93"/>
      <c r="M25" s="132"/>
      <c r="N25" s="2"/>
      <c r="O25" s="144"/>
    </row>
    <row r="26" spans="1:15" ht="39.9" customHeight="1" x14ac:dyDescent="0.55000000000000004">
      <c r="A26" s="4"/>
      <c r="B26" s="10"/>
      <c r="C26" s="10"/>
      <c r="D26" s="10"/>
      <c r="E26" s="10"/>
      <c r="F26" s="4"/>
      <c r="G26" s="4"/>
      <c r="H26" s="4"/>
      <c r="I26" s="4"/>
      <c r="J26" s="4"/>
      <c r="K26" s="1"/>
      <c r="L26" s="93"/>
      <c r="M26" s="132"/>
      <c r="N26" s="2"/>
      <c r="O26" s="144"/>
    </row>
    <row r="27" spans="1:15" ht="39.9" customHeight="1" x14ac:dyDescent="0.55000000000000004">
      <c r="A27" s="4"/>
      <c r="B27" s="10"/>
      <c r="C27" s="10"/>
      <c r="D27" s="10"/>
      <c r="E27" s="10"/>
      <c r="F27" s="4"/>
      <c r="G27" s="4"/>
      <c r="H27" s="4"/>
      <c r="I27" s="4"/>
      <c r="J27" s="4"/>
      <c r="K27" s="1"/>
      <c r="L27" s="93"/>
      <c r="M27" s="132"/>
      <c r="N27" s="2"/>
      <c r="O27" s="144"/>
    </row>
    <row r="28" spans="1:15" ht="39.9" customHeight="1" x14ac:dyDescent="0.55000000000000004">
      <c r="A28" s="4"/>
      <c r="B28" s="10"/>
      <c r="C28" s="10"/>
      <c r="D28" s="10"/>
      <c r="E28" s="10"/>
      <c r="F28" s="4"/>
      <c r="G28" s="4"/>
      <c r="H28" s="4"/>
      <c r="I28" s="4"/>
      <c r="J28" s="4"/>
      <c r="K28" s="1"/>
      <c r="L28" s="93"/>
      <c r="M28" s="132"/>
      <c r="N28" s="2"/>
      <c r="O28" s="144"/>
    </row>
    <row r="29" spans="1:15" ht="39.9" customHeight="1" x14ac:dyDescent="0.55000000000000004">
      <c r="A29" s="4"/>
      <c r="B29" s="10"/>
      <c r="C29" s="10"/>
      <c r="D29" s="10"/>
      <c r="E29" s="10"/>
      <c r="F29" s="4"/>
      <c r="G29" s="4"/>
      <c r="H29" s="4"/>
      <c r="I29" s="4"/>
      <c r="J29" s="4"/>
      <c r="K29" s="1"/>
      <c r="L29" s="93"/>
      <c r="M29" s="132"/>
      <c r="N29" s="2"/>
      <c r="O29" s="144"/>
    </row>
    <row r="30" spans="1:15" ht="39.9" customHeight="1" x14ac:dyDescent="0.55000000000000004">
      <c r="A30" s="4"/>
      <c r="B30" s="10"/>
      <c r="C30" s="10"/>
      <c r="D30" s="10"/>
      <c r="E30" s="10"/>
      <c r="F30" s="4"/>
      <c r="G30" s="4"/>
      <c r="H30" s="4"/>
      <c r="I30" s="4"/>
      <c r="J30" s="4"/>
      <c r="K30" s="1"/>
      <c r="L30" s="93"/>
      <c r="M30" s="132"/>
      <c r="N30" s="2"/>
      <c r="O30" s="144"/>
    </row>
    <row r="31" spans="1:15" ht="84.6" customHeight="1" x14ac:dyDescent="0.55000000000000004">
      <c r="A31" s="4"/>
      <c r="B31" s="10"/>
      <c r="C31" s="10"/>
      <c r="D31" s="10"/>
      <c r="E31" s="10"/>
      <c r="F31" s="4"/>
      <c r="G31" s="4"/>
      <c r="H31" s="4"/>
      <c r="I31" s="4"/>
      <c r="J31" s="4"/>
      <c r="K31" s="1"/>
      <c r="L31" s="93"/>
      <c r="M31" s="132"/>
      <c r="N31" s="2"/>
      <c r="O31" s="144"/>
    </row>
    <row r="32" spans="1:15" ht="57.6" customHeight="1" x14ac:dyDescent="0.55000000000000004">
      <c r="A32" s="4"/>
      <c r="B32" s="10"/>
      <c r="C32" s="10"/>
      <c r="D32" s="10"/>
      <c r="E32" s="10"/>
      <c r="F32" s="4"/>
      <c r="G32" s="4"/>
      <c r="H32" s="4"/>
      <c r="I32" s="4"/>
      <c r="J32" s="4"/>
      <c r="K32" s="1"/>
      <c r="L32" s="93"/>
      <c r="M32" s="132"/>
      <c r="N32" s="2"/>
      <c r="O32" s="144"/>
    </row>
    <row r="33" spans="1:15" ht="68.400000000000006" customHeight="1" x14ac:dyDescent="0.55000000000000004">
      <c r="A33" s="4"/>
      <c r="B33" s="10"/>
      <c r="C33" s="10"/>
      <c r="D33" s="10"/>
      <c r="E33" s="10"/>
      <c r="F33" s="4"/>
      <c r="G33" s="4"/>
      <c r="H33" s="4"/>
      <c r="I33" s="4"/>
      <c r="J33" s="4"/>
      <c r="K33" s="1"/>
      <c r="L33" s="93"/>
      <c r="M33" s="132"/>
      <c r="N33" s="2"/>
      <c r="O33" s="144"/>
    </row>
    <row r="34" spans="1:15" ht="71.400000000000006" customHeight="1" x14ac:dyDescent="0.55000000000000004">
      <c r="A34" s="4"/>
      <c r="B34" s="10"/>
      <c r="C34" s="10"/>
      <c r="D34" s="10"/>
      <c r="E34" s="10"/>
      <c r="F34" s="4"/>
      <c r="G34" s="4"/>
      <c r="H34" s="4"/>
      <c r="I34" s="4"/>
      <c r="J34" s="4"/>
      <c r="K34" s="1"/>
      <c r="L34" s="93"/>
      <c r="M34" s="132"/>
      <c r="N34" s="2"/>
      <c r="O34" s="144"/>
    </row>
    <row r="35" spans="1:15" ht="39.9" customHeight="1" x14ac:dyDescent="0.55000000000000004">
      <c r="A35" s="4"/>
      <c r="B35" s="10"/>
      <c r="C35" s="10"/>
      <c r="D35" s="10"/>
      <c r="E35" s="10"/>
      <c r="F35" s="4"/>
      <c r="G35" s="4"/>
      <c r="H35" s="4"/>
      <c r="I35" s="4"/>
      <c r="J35" s="4"/>
      <c r="K35" s="1"/>
      <c r="L35" s="93"/>
      <c r="M35" s="132"/>
      <c r="N35" s="2"/>
      <c r="O35" s="144"/>
    </row>
    <row r="36" spans="1:15" ht="39.9" customHeight="1" x14ac:dyDescent="0.55000000000000004">
      <c r="A36" s="4"/>
      <c r="B36" s="10"/>
      <c r="C36" s="10"/>
      <c r="D36" s="10"/>
      <c r="E36" s="10"/>
      <c r="F36" s="4"/>
      <c r="G36" s="4"/>
      <c r="H36" s="4"/>
      <c r="I36" s="4"/>
      <c r="J36" s="4"/>
      <c r="K36" s="1"/>
      <c r="L36" s="93"/>
      <c r="M36" s="132"/>
      <c r="N36" s="2"/>
      <c r="O36" s="144"/>
    </row>
    <row r="37" spans="1:15" ht="31.2" x14ac:dyDescent="0.55000000000000004">
      <c r="A37" s="4"/>
      <c r="B37" s="10"/>
      <c r="C37" s="10"/>
      <c r="D37" s="10"/>
      <c r="E37" s="10"/>
      <c r="F37" s="4"/>
      <c r="G37" s="4"/>
      <c r="H37" s="4"/>
      <c r="I37" s="4"/>
      <c r="J37" s="4"/>
      <c r="K37" s="1"/>
      <c r="L37" s="93"/>
      <c r="M37" s="132"/>
      <c r="N37" s="2"/>
      <c r="O37" s="144"/>
    </row>
    <row r="38" spans="1:15" ht="31.2" x14ac:dyDescent="0.55000000000000004">
      <c r="A38" s="4"/>
      <c r="B38" s="10"/>
      <c r="C38" s="10"/>
      <c r="D38" s="10"/>
      <c r="E38" s="10"/>
      <c r="F38" s="4"/>
      <c r="G38" s="4"/>
      <c r="H38" s="4"/>
      <c r="I38" s="4"/>
      <c r="J38" s="4"/>
      <c r="K38" s="1"/>
      <c r="L38" s="93"/>
      <c r="M38" s="132"/>
      <c r="N38" s="2"/>
      <c r="O38" s="144"/>
    </row>
    <row r="39" spans="1:15" ht="31.2" x14ac:dyDescent="0.55000000000000004">
      <c r="A39" s="4"/>
      <c r="B39" s="10"/>
      <c r="C39" s="10"/>
      <c r="D39" s="10"/>
      <c r="E39" s="10"/>
      <c r="F39" s="4"/>
      <c r="G39" s="4"/>
      <c r="H39" s="4"/>
      <c r="I39" s="4"/>
      <c r="J39" s="4"/>
      <c r="K39" s="1"/>
      <c r="L39" s="93"/>
      <c r="M39" s="132"/>
      <c r="N39" s="2"/>
      <c r="O39" s="144"/>
    </row>
    <row r="40" spans="1:15" ht="31.2" x14ac:dyDescent="0.55000000000000004">
      <c r="A40" s="4"/>
      <c r="B40" s="10"/>
      <c r="C40" s="10"/>
      <c r="D40" s="10"/>
      <c r="E40" s="10"/>
      <c r="F40" s="4"/>
      <c r="G40" s="4"/>
      <c r="H40" s="4"/>
      <c r="I40" s="4"/>
      <c r="J40" s="4"/>
      <c r="K40" s="1"/>
      <c r="L40" s="93"/>
      <c r="M40" s="132"/>
      <c r="N40" s="2"/>
      <c r="O40" s="144"/>
    </row>
    <row r="41" spans="1:15" ht="31.2" x14ac:dyDescent="0.55000000000000004">
      <c r="A41" s="4"/>
      <c r="B41" s="10"/>
      <c r="C41" s="10"/>
      <c r="D41" s="10"/>
      <c r="E41" s="10"/>
      <c r="F41" s="4"/>
      <c r="G41" s="4"/>
      <c r="H41" s="4"/>
      <c r="I41" s="4"/>
      <c r="J41" s="4"/>
      <c r="K41" s="1"/>
      <c r="L41" s="93"/>
      <c r="M41" s="132"/>
      <c r="N41" s="2"/>
      <c r="O41" s="144"/>
    </row>
    <row r="42" spans="1:15" ht="31.2" x14ac:dyDescent="0.55000000000000004">
      <c r="A42" s="4"/>
      <c r="B42" s="10"/>
      <c r="C42" s="10"/>
      <c r="D42" s="10"/>
      <c r="E42" s="10"/>
      <c r="F42" s="4"/>
      <c r="G42" s="4"/>
      <c r="H42" s="4"/>
      <c r="I42" s="4"/>
      <c r="J42" s="4"/>
      <c r="K42" s="1"/>
      <c r="L42" s="93"/>
      <c r="M42" s="132"/>
      <c r="N42" s="2"/>
      <c r="O42" s="144"/>
    </row>
    <row r="43" spans="1:15" ht="31.2" x14ac:dyDescent="0.55000000000000004">
      <c r="A43" s="4"/>
      <c r="B43" s="10"/>
      <c r="C43" s="10"/>
      <c r="D43" s="10"/>
      <c r="E43" s="10"/>
      <c r="F43" s="4"/>
      <c r="G43" s="4"/>
      <c r="H43" s="4"/>
      <c r="I43" s="4"/>
      <c r="J43" s="4"/>
      <c r="K43" s="1"/>
      <c r="L43" s="93"/>
      <c r="M43" s="132"/>
      <c r="N43" s="2"/>
      <c r="O43" s="144"/>
    </row>
    <row r="44" spans="1:15" ht="31.2" x14ac:dyDescent="0.55000000000000004">
      <c r="A44" s="4"/>
      <c r="B44" s="10"/>
      <c r="C44" s="10"/>
      <c r="D44" s="10"/>
      <c r="E44" s="10"/>
      <c r="F44" s="4"/>
      <c r="G44" s="4"/>
      <c r="H44" s="4"/>
      <c r="I44" s="4"/>
      <c r="J44" s="4"/>
      <c r="K44" s="1"/>
      <c r="L44" s="93"/>
      <c r="M44" s="132"/>
      <c r="N44" s="2"/>
      <c r="O44" s="144"/>
    </row>
    <row r="45" spans="1:15" ht="31.2" x14ac:dyDescent="0.55000000000000004">
      <c r="A45" s="4"/>
      <c r="B45" s="10"/>
      <c r="C45" s="10"/>
      <c r="D45" s="10"/>
      <c r="E45" s="10"/>
      <c r="F45" s="4"/>
      <c r="G45" s="4"/>
      <c r="H45" s="4"/>
      <c r="I45" s="4"/>
      <c r="J45" s="4"/>
      <c r="K45" s="1"/>
      <c r="L45" s="93"/>
      <c r="M45" s="132"/>
      <c r="N45" s="2"/>
      <c r="O45" s="144"/>
    </row>
    <row r="46" spans="1:15" ht="31.2" x14ac:dyDescent="0.55000000000000004">
      <c r="A46" s="4"/>
      <c r="B46" s="10"/>
      <c r="C46" s="10"/>
      <c r="D46" s="10"/>
      <c r="E46" s="10"/>
      <c r="F46" s="4"/>
      <c r="G46" s="4"/>
      <c r="H46" s="4"/>
      <c r="I46" s="4"/>
      <c r="J46" s="4"/>
      <c r="K46" s="1"/>
      <c r="L46" s="93"/>
      <c r="M46" s="132"/>
      <c r="N46" s="2"/>
      <c r="O46" s="144"/>
    </row>
    <row r="47" spans="1:15" ht="31.2" x14ac:dyDescent="0.55000000000000004">
      <c r="A47" s="4"/>
      <c r="B47" s="10"/>
      <c r="C47" s="10"/>
      <c r="D47" s="10"/>
      <c r="E47" s="10"/>
      <c r="F47" s="4"/>
      <c r="G47" s="4"/>
      <c r="H47" s="4"/>
      <c r="I47" s="4"/>
      <c r="J47" s="4"/>
      <c r="K47" s="1"/>
      <c r="L47" s="93"/>
      <c r="M47" s="132"/>
      <c r="N47" s="2"/>
      <c r="O47" s="144"/>
    </row>
    <row r="48" spans="1:15" ht="31.2" x14ac:dyDescent="0.55000000000000004">
      <c r="A48" s="4"/>
      <c r="B48" s="10"/>
      <c r="C48" s="10"/>
      <c r="D48" s="10"/>
      <c r="E48" s="10"/>
      <c r="F48" s="4"/>
      <c r="G48" s="4"/>
      <c r="H48" s="4"/>
      <c r="I48" s="4"/>
      <c r="J48" s="4"/>
      <c r="K48" s="1"/>
      <c r="L48" s="93"/>
      <c r="M48" s="132"/>
      <c r="N48" s="2"/>
      <c r="O48" s="144"/>
    </row>
    <row r="49" spans="1:15" ht="39.9" customHeight="1" x14ac:dyDescent="0.55000000000000004">
      <c r="A49" s="4"/>
      <c r="B49" s="10"/>
      <c r="C49" s="10"/>
      <c r="D49" s="10"/>
      <c r="E49" s="10"/>
      <c r="F49" s="4"/>
      <c r="G49" s="4"/>
      <c r="H49" s="4"/>
      <c r="I49" s="4"/>
      <c r="J49" s="4"/>
      <c r="K49" s="1"/>
      <c r="L49" s="93"/>
      <c r="M49" s="132"/>
      <c r="N49" s="2"/>
      <c r="O49" s="144"/>
    </row>
    <row r="50" spans="1:15" ht="39.9" customHeight="1" x14ac:dyDescent="0.55000000000000004">
      <c r="A50" s="4"/>
      <c r="B50" s="10"/>
      <c r="C50" s="10"/>
      <c r="D50" s="10"/>
      <c r="E50" s="10"/>
      <c r="F50" s="4"/>
      <c r="G50" s="4"/>
      <c r="H50" s="4"/>
      <c r="I50" s="4"/>
      <c r="J50" s="4"/>
      <c r="K50" s="1"/>
      <c r="L50" s="93"/>
      <c r="M50" s="132"/>
      <c r="N50" s="2"/>
      <c r="O50" s="144"/>
    </row>
    <row r="51" spans="1:15" ht="39.9" customHeight="1" x14ac:dyDescent="0.55000000000000004">
      <c r="A51" s="4"/>
      <c r="B51" s="10"/>
      <c r="C51" s="10"/>
      <c r="D51" s="10"/>
      <c r="E51" s="10"/>
      <c r="F51" s="4"/>
      <c r="G51" s="4"/>
      <c r="H51" s="44"/>
      <c r="I51" s="4"/>
      <c r="J51" s="4"/>
      <c r="K51" s="1"/>
      <c r="L51" s="93"/>
      <c r="M51" s="132"/>
      <c r="N51" s="2"/>
      <c r="O51" s="144"/>
    </row>
    <row r="52" spans="1:15" ht="39.9" customHeight="1" x14ac:dyDescent="0.55000000000000004">
      <c r="A52" s="4"/>
      <c r="B52" s="10"/>
      <c r="C52" s="10"/>
      <c r="D52" s="10"/>
      <c r="E52" s="10"/>
      <c r="F52" s="4"/>
      <c r="G52" s="4"/>
      <c r="H52" s="4"/>
      <c r="I52" s="4"/>
      <c r="J52" s="4"/>
      <c r="K52" s="1"/>
      <c r="L52" s="93"/>
      <c r="M52" s="132"/>
      <c r="N52" s="2"/>
      <c r="O52" s="144"/>
    </row>
    <row r="53" spans="1:15" ht="39.9" customHeight="1" x14ac:dyDescent="0.55000000000000004">
      <c r="A53" s="4"/>
      <c r="B53" s="10"/>
      <c r="C53" s="10"/>
      <c r="D53" s="10"/>
      <c r="E53" s="10"/>
      <c r="F53" s="4"/>
      <c r="G53" s="4"/>
      <c r="H53" s="4"/>
      <c r="I53" s="4"/>
      <c r="J53" s="4"/>
      <c r="K53" s="1"/>
      <c r="L53" s="93"/>
      <c r="M53" s="132"/>
      <c r="N53" s="2"/>
      <c r="O53" s="144"/>
    </row>
    <row r="54" spans="1:15" ht="39.9" customHeight="1" x14ac:dyDescent="0.55000000000000004">
      <c r="A54" s="4"/>
      <c r="B54" s="10"/>
      <c r="C54" s="10"/>
      <c r="D54" s="10"/>
      <c r="E54" s="10"/>
      <c r="F54" s="4"/>
      <c r="G54" s="4"/>
      <c r="H54" s="4"/>
      <c r="I54" s="4"/>
      <c r="J54" s="4"/>
      <c r="K54" s="1"/>
      <c r="L54" s="93"/>
      <c r="M54" s="132"/>
      <c r="N54" s="2"/>
      <c r="O54" s="144"/>
    </row>
    <row r="55" spans="1:15" ht="39.9" customHeight="1" x14ac:dyDescent="0.55000000000000004">
      <c r="A55" s="4"/>
      <c r="B55" s="10"/>
      <c r="C55" s="10"/>
      <c r="D55" s="10"/>
      <c r="E55" s="10"/>
      <c r="F55" s="4"/>
      <c r="G55" s="4"/>
      <c r="H55" s="4"/>
      <c r="I55" s="4"/>
      <c r="J55" s="4"/>
      <c r="K55" s="1"/>
      <c r="L55" s="93"/>
      <c r="M55" s="132"/>
      <c r="N55" s="2"/>
      <c r="O55" s="144"/>
    </row>
    <row r="56" spans="1:15" ht="39.9" customHeight="1" x14ac:dyDescent="0.55000000000000004">
      <c r="A56" s="4"/>
      <c r="B56" s="10"/>
      <c r="C56" s="10"/>
      <c r="D56" s="10"/>
      <c r="E56" s="10"/>
      <c r="F56" s="4"/>
      <c r="G56" s="4"/>
      <c r="H56" s="4"/>
      <c r="I56" s="4"/>
      <c r="J56" s="4"/>
      <c r="K56" s="1"/>
      <c r="L56" s="93"/>
      <c r="M56" s="132"/>
      <c r="N56" s="2"/>
      <c r="O56" s="144"/>
    </row>
    <row r="57" spans="1:15" ht="39.9" customHeight="1" x14ac:dyDescent="0.55000000000000004">
      <c r="A57" s="4"/>
      <c r="B57" s="10"/>
      <c r="C57" s="10"/>
      <c r="D57" s="10"/>
      <c r="E57" s="10"/>
      <c r="F57" s="4"/>
      <c r="G57" s="4"/>
      <c r="H57" s="4"/>
      <c r="I57" s="4"/>
      <c r="J57" s="4"/>
      <c r="K57" s="1"/>
      <c r="L57" s="93"/>
      <c r="M57" s="132"/>
      <c r="N57" s="2"/>
      <c r="O57" s="144"/>
    </row>
    <row r="58" spans="1:15" ht="39.9" customHeight="1" x14ac:dyDescent="0.55000000000000004">
      <c r="A58" s="4"/>
      <c r="B58" s="10"/>
      <c r="C58" s="10"/>
      <c r="D58" s="10"/>
      <c r="E58" s="10"/>
      <c r="F58" s="4"/>
      <c r="G58" s="4"/>
      <c r="H58" s="4"/>
      <c r="I58" s="4"/>
      <c r="J58" s="4"/>
      <c r="K58" s="1"/>
      <c r="L58" s="93"/>
      <c r="M58" s="132"/>
      <c r="N58" s="2"/>
      <c r="O58" s="144"/>
    </row>
    <row r="59" spans="1:15" ht="39.9" customHeight="1" x14ac:dyDescent="0.55000000000000004">
      <c r="A59" s="4"/>
      <c r="B59" s="10"/>
      <c r="C59" s="10"/>
      <c r="D59" s="10"/>
      <c r="E59" s="10"/>
      <c r="F59" s="4"/>
      <c r="G59" s="4"/>
      <c r="H59" s="4"/>
      <c r="I59" s="4"/>
      <c r="J59" s="4"/>
      <c r="K59" s="1"/>
      <c r="L59" s="93"/>
      <c r="M59" s="132"/>
      <c r="N59" s="2"/>
      <c r="O59" s="144"/>
    </row>
    <row r="60" spans="1:15" ht="39.9" customHeight="1" x14ac:dyDescent="0.55000000000000004">
      <c r="A60" s="4"/>
      <c r="B60" s="10"/>
      <c r="C60" s="10"/>
      <c r="D60" s="10"/>
      <c r="E60" s="10"/>
      <c r="F60" s="4"/>
      <c r="G60" s="4"/>
      <c r="H60" s="4"/>
      <c r="I60" s="4"/>
      <c r="J60" s="4"/>
      <c r="K60" s="1"/>
      <c r="L60" s="93"/>
      <c r="M60" s="132"/>
      <c r="N60" s="2"/>
      <c r="O60" s="144"/>
    </row>
    <row r="61" spans="1:15" ht="39.9" customHeight="1" x14ac:dyDescent="0.55000000000000004">
      <c r="A61" s="4"/>
      <c r="B61" s="10"/>
      <c r="C61" s="10"/>
      <c r="D61" s="10"/>
      <c r="E61" s="10"/>
      <c r="F61" s="4"/>
      <c r="G61" s="4"/>
      <c r="H61" s="4"/>
      <c r="I61" s="4"/>
      <c r="J61" s="4"/>
      <c r="K61" s="1"/>
      <c r="L61" s="93"/>
      <c r="M61" s="132"/>
      <c r="N61" s="2"/>
      <c r="O61" s="144"/>
    </row>
    <row r="62" spans="1:15" ht="63.6" customHeight="1" x14ac:dyDescent="0.55000000000000004">
      <c r="A62" s="4"/>
      <c r="B62" s="10"/>
      <c r="C62" s="10"/>
      <c r="D62" s="10"/>
      <c r="E62" s="10"/>
      <c r="F62" s="4"/>
      <c r="G62" s="4"/>
      <c r="H62" s="4"/>
      <c r="I62" s="4"/>
      <c r="J62" s="4"/>
      <c r="K62" s="1"/>
      <c r="L62" s="93"/>
      <c r="M62" s="132"/>
      <c r="N62" s="2"/>
      <c r="O62" s="144"/>
    </row>
    <row r="63" spans="1:15" ht="39.9" customHeight="1" x14ac:dyDescent="0.55000000000000004">
      <c r="A63" s="4"/>
      <c r="B63" s="10"/>
      <c r="C63" s="10"/>
      <c r="D63" s="10"/>
      <c r="E63" s="10"/>
      <c r="F63" s="4"/>
      <c r="G63" s="4"/>
      <c r="H63" s="4"/>
      <c r="I63" s="4"/>
      <c r="J63" s="4"/>
      <c r="K63" s="1"/>
      <c r="L63" s="93"/>
      <c r="M63" s="132"/>
      <c r="N63" s="2"/>
      <c r="O63" s="144"/>
    </row>
    <row r="64" spans="1:15" ht="39.9" customHeight="1" x14ac:dyDescent="0.55000000000000004">
      <c r="A64" s="4"/>
      <c r="B64" s="10"/>
      <c r="C64" s="10"/>
      <c r="D64" s="10"/>
      <c r="E64" s="10"/>
      <c r="F64" s="4"/>
      <c r="G64" s="4"/>
      <c r="H64" s="4"/>
      <c r="I64" s="4"/>
      <c r="J64" s="4"/>
      <c r="K64" s="1"/>
      <c r="L64" s="93"/>
      <c r="M64" s="132"/>
      <c r="N64" s="2"/>
      <c r="O64" s="144"/>
    </row>
    <row r="65" spans="1:15" ht="39.9" customHeight="1" x14ac:dyDescent="0.55000000000000004">
      <c r="A65" s="4"/>
      <c r="B65" s="10"/>
      <c r="C65" s="10"/>
      <c r="D65" s="10"/>
      <c r="E65" s="10"/>
      <c r="F65" s="4"/>
      <c r="G65" s="4"/>
      <c r="H65" s="4"/>
      <c r="I65" s="4"/>
      <c r="J65" s="4"/>
      <c r="K65" s="1"/>
      <c r="L65" s="93"/>
      <c r="M65" s="132"/>
      <c r="N65" s="2"/>
      <c r="O65" s="144"/>
    </row>
    <row r="66" spans="1:15" ht="39.6" customHeight="1" x14ac:dyDescent="0.55000000000000004">
      <c r="A66" s="4"/>
      <c r="B66" s="10"/>
      <c r="C66" s="10"/>
      <c r="D66" s="10"/>
      <c r="E66" s="10"/>
      <c r="F66" s="4"/>
      <c r="G66" s="4"/>
      <c r="H66" s="4"/>
      <c r="I66" s="4"/>
      <c r="J66" s="4"/>
      <c r="K66" s="1"/>
      <c r="L66" s="93"/>
      <c r="M66" s="132"/>
      <c r="N66" s="2"/>
      <c r="O66" s="144"/>
    </row>
    <row r="67" spans="1:15" ht="39.6" customHeight="1" x14ac:dyDescent="0.55000000000000004">
      <c r="A67" s="4"/>
      <c r="B67" s="10"/>
      <c r="C67" s="10"/>
      <c r="D67" s="10"/>
      <c r="E67" s="10"/>
      <c r="F67" s="4"/>
      <c r="G67" s="4"/>
      <c r="H67" s="4"/>
      <c r="I67" s="4"/>
      <c r="J67" s="4"/>
      <c r="K67" s="1"/>
      <c r="L67" s="93"/>
      <c r="M67" s="132"/>
      <c r="N67" s="2"/>
      <c r="O67" s="144"/>
    </row>
    <row r="68" spans="1:15" ht="39.9" customHeight="1" x14ac:dyDescent="0.55000000000000004">
      <c r="A68" s="4"/>
      <c r="B68" s="10"/>
      <c r="C68" s="10"/>
      <c r="D68" s="10"/>
      <c r="E68" s="10"/>
      <c r="F68" s="4"/>
      <c r="G68" s="4"/>
      <c r="H68" s="4"/>
      <c r="I68" s="4"/>
      <c r="J68" s="4"/>
      <c r="K68" s="1"/>
      <c r="L68" s="93"/>
      <c r="M68" s="132"/>
      <c r="N68" s="2"/>
      <c r="O68" s="144"/>
    </row>
    <row r="69" spans="1:15" ht="39.9" customHeight="1" x14ac:dyDescent="0.55000000000000004">
      <c r="A69" s="4"/>
      <c r="B69" s="10"/>
      <c r="C69" s="10"/>
      <c r="D69" s="10"/>
      <c r="E69" s="10"/>
      <c r="F69" s="4"/>
      <c r="G69" s="4"/>
      <c r="H69" s="4"/>
      <c r="I69" s="4"/>
      <c r="J69" s="4"/>
      <c r="K69" s="1"/>
      <c r="L69" s="93"/>
      <c r="M69" s="132"/>
      <c r="N69" s="2"/>
      <c r="O69" s="144"/>
    </row>
    <row r="70" spans="1:15" ht="39.6" customHeight="1" x14ac:dyDescent="0.55000000000000004">
      <c r="A70" s="4"/>
      <c r="B70" s="10"/>
      <c r="C70" s="10"/>
      <c r="D70" s="10"/>
      <c r="E70" s="10"/>
      <c r="F70" s="4"/>
      <c r="G70" s="4"/>
      <c r="H70" s="4"/>
      <c r="I70" s="4"/>
      <c r="J70" s="4"/>
      <c r="K70" s="1"/>
      <c r="L70" s="93"/>
      <c r="M70" s="132"/>
      <c r="N70" s="2"/>
      <c r="O70" s="144"/>
    </row>
    <row r="71" spans="1:15" ht="39.9" customHeight="1" x14ac:dyDescent="0.55000000000000004">
      <c r="A71" s="4"/>
      <c r="B71" s="10"/>
      <c r="C71" s="10"/>
      <c r="D71" s="10"/>
      <c r="E71" s="10"/>
      <c r="F71" s="4"/>
      <c r="G71" s="4"/>
      <c r="H71" s="4"/>
      <c r="I71" s="4"/>
      <c r="J71" s="4"/>
      <c r="K71" s="1"/>
      <c r="L71" s="93"/>
      <c r="M71" s="132"/>
      <c r="N71" s="2"/>
      <c r="O71" s="144"/>
    </row>
    <row r="72" spans="1:15" ht="39.9" customHeight="1" x14ac:dyDescent="0.55000000000000004">
      <c r="A72" s="4"/>
      <c r="B72" s="10"/>
      <c r="C72" s="10"/>
      <c r="D72" s="10"/>
      <c r="E72" s="10"/>
      <c r="F72" s="4"/>
      <c r="G72" s="4"/>
      <c r="H72" s="4"/>
      <c r="I72" s="4"/>
      <c r="J72" s="4"/>
      <c r="K72" s="1"/>
      <c r="L72" s="93"/>
      <c r="M72" s="132"/>
      <c r="N72" s="2"/>
      <c r="O72" s="144"/>
    </row>
    <row r="73" spans="1:15" ht="39.9" customHeight="1" x14ac:dyDescent="0.55000000000000004">
      <c r="A73" s="4"/>
      <c r="B73" s="10"/>
      <c r="C73" s="10"/>
      <c r="D73" s="10"/>
      <c r="E73" s="10"/>
      <c r="F73" s="4"/>
      <c r="G73" s="4"/>
      <c r="H73" s="4"/>
      <c r="I73" s="4"/>
      <c r="J73" s="4"/>
      <c r="K73" s="1"/>
      <c r="L73" s="93"/>
      <c r="M73" s="132"/>
      <c r="N73" s="2"/>
      <c r="O73" s="144"/>
    </row>
    <row r="74" spans="1:15" ht="39.9" customHeight="1" x14ac:dyDescent="0.55000000000000004">
      <c r="A74" s="4"/>
      <c r="B74" s="10"/>
      <c r="C74" s="10"/>
      <c r="D74" s="10"/>
      <c r="E74" s="10"/>
      <c r="F74" s="4"/>
      <c r="G74" s="4"/>
      <c r="H74" s="4"/>
      <c r="I74" s="4"/>
      <c r="J74" s="4"/>
      <c r="K74" s="1"/>
      <c r="L74" s="93"/>
      <c r="M74" s="132"/>
      <c r="N74" s="2"/>
      <c r="O74" s="144"/>
    </row>
    <row r="75" spans="1:15" ht="39.9" customHeight="1" x14ac:dyDescent="0.55000000000000004">
      <c r="A75" s="4"/>
      <c r="B75" s="10"/>
      <c r="C75" s="10"/>
      <c r="D75" s="10"/>
      <c r="E75" s="10"/>
      <c r="F75" s="4"/>
      <c r="G75" s="4"/>
      <c r="H75" s="4"/>
      <c r="I75" s="4"/>
      <c r="J75" s="4"/>
      <c r="K75" s="1"/>
      <c r="L75" s="93"/>
      <c r="M75" s="132"/>
      <c r="N75" s="2"/>
      <c r="O75" s="144"/>
    </row>
    <row r="76" spans="1:15" ht="39.9" customHeight="1" x14ac:dyDescent="0.55000000000000004">
      <c r="A76" s="4"/>
      <c r="B76" s="10"/>
      <c r="C76" s="10"/>
      <c r="D76" s="10"/>
      <c r="E76" s="10"/>
      <c r="F76" s="4"/>
      <c r="G76" s="4"/>
      <c r="H76" s="4"/>
      <c r="I76" s="4"/>
      <c r="J76" s="4"/>
      <c r="K76" s="1"/>
      <c r="L76" s="93"/>
      <c r="M76" s="132"/>
      <c r="N76" s="2"/>
      <c r="O76" s="144"/>
    </row>
    <row r="77" spans="1:15" ht="39.9" customHeight="1" x14ac:dyDescent="0.55000000000000004">
      <c r="A77" s="4"/>
      <c r="B77" s="10"/>
      <c r="C77" s="10"/>
      <c r="D77" s="10"/>
      <c r="E77" s="10"/>
      <c r="F77" s="4"/>
      <c r="G77" s="4"/>
      <c r="H77" s="4"/>
      <c r="I77" s="4"/>
      <c r="J77" s="4"/>
      <c r="K77" s="1"/>
      <c r="L77" s="93"/>
      <c r="M77" s="132"/>
      <c r="N77" s="2"/>
      <c r="O77" s="144"/>
    </row>
    <row r="78" spans="1:15" ht="39.9" customHeight="1" x14ac:dyDescent="0.55000000000000004">
      <c r="A78" s="4"/>
      <c r="B78" s="10"/>
      <c r="C78" s="10"/>
      <c r="D78" s="10"/>
      <c r="E78" s="10"/>
      <c r="F78" s="4"/>
      <c r="G78" s="4"/>
      <c r="H78" s="4"/>
      <c r="I78" s="4"/>
      <c r="J78" s="4"/>
      <c r="K78" s="1"/>
      <c r="L78" s="93"/>
      <c r="M78" s="132"/>
      <c r="N78" s="2"/>
      <c r="O78" s="144"/>
    </row>
    <row r="79" spans="1:15" ht="39.9" customHeight="1" x14ac:dyDescent="0.55000000000000004">
      <c r="A79" s="4"/>
      <c r="B79" s="10"/>
      <c r="C79" s="10"/>
      <c r="D79" s="10"/>
      <c r="E79" s="10"/>
      <c r="F79" s="4"/>
      <c r="G79" s="4"/>
      <c r="H79" s="4"/>
      <c r="I79" s="4"/>
      <c r="J79" s="4"/>
      <c r="K79" s="1"/>
      <c r="L79" s="93"/>
      <c r="M79" s="132"/>
      <c r="N79" s="2"/>
      <c r="O79" s="144"/>
    </row>
    <row r="80" spans="1:15" ht="39.9" customHeight="1" x14ac:dyDescent="0.55000000000000004">
      <c r="A80" s="4"/>
      <c r="B80" s="10"/>
      <c r="C80" s="10"/>
      <c r="D80" s="10"/>
      <c r="E80" s="10"/>
      <c r="F80" s="4"/>
      <c r="G80" s="4"/>
      <c r="H80" s="4"/>
      <c r="I80" s="4"/>
      <c r="J80" s="4"/>
      <c r="K80" s="1"/>
      <c r="L80" s="93"/>
      <c r="M80" s="132"/>
      <c r="N80" s="2"/>
      <c r="O80" s="144"/>
    </row>
    <row r="81" spans="1:15" ht="39.9" customHeight="1" x14ac:dyDescent="0.55000000000000004">
      <c r="A81" s="4"/>
      <c r="B81" s="10"/>
      <c r="C81" s="10"/>
      <c r="D81" s="10"/>
      <c r="E81" s="10"/>
      <c r="F81" s="4"/>
      <c r="G81" s="4"/>
      <c r="H81" s="4"/>
      <c r="I81" s="4"/>
      <c r="J81" s="4"/>
      <c r="K81" s="1"/>
      <c r="L81" s="93"/>
      <c r="M81" s="132"/>
      <c r="N81" s="2"/>
      <c r="O81" s="144"/>
    </row>
    <row r="82" spans="1:15" ht="39.9" customHeight="1" x14ac:dyDescent="0.55000000000000004">
      <c r="A82" s="4"/>
      <c r="B82" s="10"/>
      <c r="C82" s="10"/>
      <c r="D82" s="10"/>
      <c r="E82" s="10"/>
      <c r="F82" s="4"/>
      <c r="G82" s="4"/>
      <c r="H82" s="4"/>
      <c r="I82" s="4"/>
      <c r="J82" s="4"/>
      <c r="K82" s="1"/>
      <c r="L82" s="93"/>
      <c r="M82" s="132"/>
      <c r="N82" s="2"/>
      <c r="O82" s="144"/>
    </row>
    <row r="83" spans="1:15" ht="39.9" customHeight="1" x14ac:dyDescent="0.55000000000000004">
      <c r="A83" s="4"/>
      <c r="B83" s="10"/>
      <c r="C83" s="10"/>
      <c r="D83" s="10"/>
      <c r="E83" s="10"/>
      <c r="F83" s="4"/>
      <c r="G83" s="4"/>
      <c r="H83" s="4"/>
      <c r="I83" s="4"/>
      <c r="J83" s="4"/>
      <c r="K83" s="1"/>
      <c r="L83" s="93"/>
      <c r="M83" s="132"/>
      <c r="N83" s="2"/>
      <c r="O83" s="144"/>
    </row>
    <row r="84" spans="1:15" ht="39.9" customHeight="1" x14ac:dyDescent="0.55000000000000004">
      <c r="A84" s="4"/>
      <c r="B84" s="10"/>
      <c r="C84" s="10"/>
      <c r="D84" s="10"/>
      <c r="E84" s="10"/>
      <c r="F84" s="4"/>
      <c r="G84" s="4"/>
      <c r="H84" s="4"/>
      <c r="I84" s="4"/>
      <c r="J84" s="4"/>
      <c r="K84" s="1"/>
      <c r="L84" s="93"/>
      <c r="M84" s="132"/>
      <c r="N84" s="2"/>
      <c r="O84" s="144"/>
    </row>
    <row r="85" spans="1:15" ht="39.9" customHeight="1" x14ac:dyDescent="0.55000000000000004">
      <c r="A85" s="4"/>
      <c r="B85" s="10"/>
      <c r="C85" s="10"/>
      <c r="D85" s="10"/>
      <c r="E85" s="10"/>
      <c r="F85" s="4"/>
      <c r="G85" s="4"/>
      <c r="H85" s="4"/>
      <c r="I85" s="4"/>
      <c r="J85" s="4"/>
      <c r="K85" s="1"/>
      <c r="L85" s="93"/>
      <c r="M85" s="132"/>
      <c r="N85" s="2"/>
      <c r="O85" s="144"/>
    </row>
    <row r="86" spans="1:15" ht="39.9" customHeight="1" x14ac:dyDescent="0.55000000000000004">
      <c r="A86" s="4"/>
      <c r="B86" s="10"/>
      <c r="C86" s="10"/>
      <c r="D86" s="10"/>
      <c r="E86" s="10"/>
      <c r="F86" s="4"/>
      <c r="G86" s="4"/>
      <c r="H86" s="4"/>
      <c r="I86" s="4"/>
      <c r="J86" s="4"/>
      <c r="K86" s="1"/>
      <c r="L86" s="93"/>
      <c r="M86" s="132"/>
      <c r="N86" s="2"/>
      <c r="O86" s="144"/>
    </row>
    <row r="87" spans="1:15" ht="39.9" customHeight="1" x14ac:dyDescent="0.55000000000000004">
      <c r="A87" s="4"/>
      <c r="B87" s="10"/>
      <c r="C87" s="10"/>
      <c r="D87" s="10"/>
      <c r="E87" s="10"/>
      <c r="F87" s="4"/>
      <c r="G87" s="4"/>
      <c r="H87" s="4"/>
      <c r="I87" s="4"/>
      <c r="J87" s="4"/>
      <c r="K87" s="1"/>
      <c r="L87" s="93"/>
      <c r="M87" s="132"/>
      <c r="N87" s="2"/>
      <c r="O87" s="144"/>
    </row>
    <row r="88" spans="1:15" ht="39.9" customHeight="1" x14ac:dyDescent="0.55000000000000004">
      <c r="A88" s="4"/>
      <c r="B88" s="10"/>
      <c r="C88" s="10"/>
      <c r="D88" s="10"/>
      <c r="E88" s="10"/>
      <c r="F88" s="4"/>
      <c r="G88" s="4"/>
      <c r="H88" s="4"/>
      <c r="I88" s="4"/>
      <c r="J88" s="4"/>
      <c r="K88" s="1"/>
      <c r="L88" s="93"/>
      <c r="M88" s="132"/>
      <c r="N88" s="2"/>
      <c r="O88" s="144"/>
    </row>
    <row r="89" spans="1:15" ht="39.9" customHeight="1" x14ac:dyDescent="0.55000000000000004">
      <c r="A89" s="4"/>
      <c r="B89" s="10"/>
      <c r="C89" s="10"/>
      <c r="D89" s="10"/>
      <c r="E89" s="10"/>
      <c r="F89" s="4"/>
      <c r="G89" s="4"/>
      <c r="H89" s="4"/>
      <c r="I89" s="4"/>
      <c r="J89" s="4"/>
      <c r="K89" s="1"/>
      <c r="L89" s="93"/>
      <c r="M89" s="132"/>
      <c r="N89" s="2"/>
      <c r="O89" s="144"/>
    </row>
    <row r="90" spans="1:15" ht="39.9" customHeight="1" x14ac:dyDescent="0.55000000000000004">
      <c r="A90" s="4"/>
      <c r="B90" s="10"/>
      <c r="C90" s="10"/>
      <c r="D90" s="10"/>
      <c r="E90" s="10"/>
      <c r="F90" s="4"/>
      <c r="G90" s="4"/>
      <c r="H90" s="4"/>
      <c r="I90" s="4"/>
      <c r="J90" s="4"/>
      <c r="K90" s="1"/>
      <c r="L90" s="93"/>
      <c r="M90" s="132"/>
      <c r="N90" s="2"/>
      <c r="O90" s="144"/>
    </row>
    <row r="91" spans="1:15" ht="39.9" customHeight="1" x14ac:dyDescent="0.55000000000000004">
      <c r="A91" s="4"/>
      <c r="B91" s="10"/>
      <c r="C91" s="10"/>
      <c r="D91" s="10"/>
      <c r="E91" s="10"/>
      <c r="F91" s="4"/>
      <c r="G91" s="4"/>
      <c r="H91" s="4"/>
      <c r="I91" s="4"/>
      <c r="J91" s="4"/>
      <c r="K91" s="1"/>
      <c r="L91" s="93"/>
      <c r="M91" s="132"/>
      <c r="N91" s="2"/>
      <c r="O91" s="144"/>
    </row>
    <row r="92" spans="1:15" ht="39.9" customHeight="1" x14ac:dyDescent="0.55000000000000004">
      <c r="A92" s="4"/>
      <c r="B92" s="10"/>
      <c r="C92" s="10"/>
      <c r="D92" s="10"/>
      <c r="E92" s="10"/>
      <c r="F92" s="4"/>
      <c r="G92" s="4"/>
      <c r="H92" s="4"/>
      <c r="I92" s="4"/>
      <c r="J92" s="4"/>
      <c r="K92" s="1"/>
      <c r="L92" s="93"/>
      <c r="M92" s="132"/>
      <c r="N92" s="2"/>
      <c r="O92" s="144"/>
    </row>
    <row r="93" spans="1:15" ht="39.9" customHeight="1" x14ac:dyDescent="0.55000000000000004">
      <c r="A93" s="4"/>
      <c r="B93" s="10"/>
      <c r="C93" s="10"/>
      <c r="D93" s="10"/>
      <c r="E93" s="10"/>
      <c r="F93" s="4"/>
      <c r="G93" s="4"/>
      <c r="H93" s="4"/>
      <c r="I93" s="4"/>
      <c r="J93" s="4"/>
      <c r="K93" s="1"/>
      <c r="L93" s="93"/>
      <c r="M93" s="132"/>
      <c r="N93" s="2"/>
      <c r="O93" s="144"/>
    </row>
    <row r="94" spans="1:15" ht="39.9" customHeight="1" x14ac:dyDescent="0.55000000000000004">
      <c r="A94" s="4"/>
      <c r="B94" s="10"/>
      <c r="C94" s="10"/>
      <c r="D94" s="10"/>
      <c r="E94" s="10"/>
      <c r="F94" s="4"/>
      <c r="G94" s="4"/>
      <c r="H94" s="4"/>
      <c r="I94" s="4"/>
      <c r="J94" s="4"/>
      <c r="K94" s="1"/>
      <c r="L94" s="93"/>
      <c r="M94" s="132"/>
      <c r="N94" s="2"/>
      <c r="O94" s="144"/>
    </row>
    <row r="95" spans="1:15" ht="39.9" customHeight="1" x14ac:dyDescent="0.55000000000000004">
      <c r="A95" s="4"/>
      <c r="B95" s="10"/>
      <c r="C95" s="10"/>
      <c r="D95" s="10"/>
      <c r="E95" s="10"/>
      <c r="F95" s="4"/>
      <c r="G95" s="4"/>
      <c r="H95" s="4"/>
      <c r="I95" s="4"/>
      <c r="J95" s="4"/>
      <c r="K95" s="1"/>
      <c r="L95" s="93"/>
      <c r="M95" s="132"/>
      <c r="N95" s="2"/>
      <c r="O95" s="144"/>
    </row>
    <row r="96" spans="1:15" ht="39.9" customHeight="1" x14ac:dyDescent="0.55000000000000004">
      <c r="A96" s="4"/>
      <c r="B96" s="10"/>
      <c r="C96" s="10"/>
      <c r="D96" s="10"/>
      <c r="E96" s="10"/>
      <c r="F96" s="4"/>
      <c r="G96" s="4"/>
      <c r="H96" s="4"/>
      <c r="I96" s="4"/>
      <c r="J96" s="4"/>
      <c r="K96" s="1"/>
      <c r="L96" s="93"/>
      <c r="M96" s="132"/>
      <c r="N96" s="2"/>
      <c r="O96" s="144"/>
    </row>
    <row r="97" spans="1:15" ht="39.9" customHeight="1" x14ac:dyDescent="0.55000000000000004">
      <c r="A97" s="4"/>
      <c r="B97" s="10"/>
      <c r="C97" s="10"/>
      <c r="D97" s="10"/>
      <c r="E97" s="10"/>
      <c r="F97" s="4"/>
      <c r="G97" s="4"/>
      <c r="H97" s="4"/>
      <c r="I97" s="4"/>
      <c r="J97" s="4"/>
      <c r="K97" s="1"/>
      <c r="L97" s="93"/>
      <c r="M97" s="132"/>
      <c r="N97" s="2"/>
      <c r="O97" s="144"/>
    </row>
    <row r="98" spans="1:15" ht="39.9" customHeight="1" x14ac:dyDescent="0.55000000000000004">
      <c r="A98" s="4"/>
      <c r="B98" s="10"/>
      <c r="C98" s="10"/>
      <c r="D98" s="10"/>
      <c r="E98" s="10"/>
      <c r="F98" s="4"/>
      <c r="G98" s="4"/>
      <c r="H98" s="4"/>
      <c r="I98" s="4"/>
      <c r="J98" s="4"/>
      <c r="K98" s="1"/>
      <c r="L98" s="93"/>
      <c r="M98" s="132"/>
      <c r="N98" s="2"/>
      <c r="O98" s="144"/>
    </row>
    <row r="99" spans="1:15" ht="39.9" customHeight="1" x14ac:dyDescent="0.55000000000000004">
      <c r="A99" s="4"/>
      <c r="B99" s="10"/>
      <c r="C99" s="10"/>
      <c r="D99" s="10"/>
      <c r="E99" s="10"/>
      <c r="F99" s="4"/>
      <c r="G99" s="4"/>
      <c r="H99" s="4"/>
      <c r="I99" s="4"/>
      <c r="J99" s="4"/>
      <c r="K99" s="1"/>
      <c r="L99" s="93"/>
      <c r="M99" s="132"/>
      <c r="N99" s="2"/>
      <c r="O99" s="144"/>
    </row>
    <row r="100" spans="1:15" ht="39.9" customHeight="1" x14ac:dyDescent="0.55000000000000004">
      <c r="A100" s="4">
        <v>62</v>
      </c>
      <c r="B100" s="10"/>
      <c r="C100" s="10"/>
      <c r="D100" s="10"/>
      <c r="E100" s="10"/>
      <c r="F100" s="4"/>
      <c r="G100" s="4"/>
      <c r="H100" s="4">
        <f>I100-N100</f>
        <v>0</v>
      </c>
      <c r="I100" s="4"/>
      <c r="J100" s="4">
        <f>K100-I100</f>
        <v>0</v>
      </c>
      <c r="K100" s="1"/>
      <c r="L100" s="93"/>
      <c r="M100" s="132"/>
      <c r="N100" s="2"/>
      <c r="O100" s="144"/>
    </row>
    <row r="101" spans="1:15" ht="39.9" customHeight="1" x14ac:dyDescent="0.55000000000000004">
      <c r="A101" s="443" t="s">
        <v>3</v>
      </c>
      <c r="B101" s="443"/>
      <c r="C101" s="443"/>
      <c r="D101" s="443"/>
      <c r="E101" s="443"/>
      <c r="F101" s="4"/>
      <c r="G101" s="4"/>
      <c r="H101" s="4">
        <f>SUM(H6:H100)</f>
        <v>1631759</v>
      </c>
      <c r="I101" s="4">
        <f>SUM(I6:I100)</f>
        <v>1796035</v>
      </c>
      <c r="J101" s="4">
        <f>SUM(J6:J100)</f>
        <v>0</v>
      </c>
      <c r="K101" s="4">
        <f>SUM(K6:K100)</f>
        <v>1796035</v>
      </c>
      <c r="L101" s="93"/>
      <c r="M101" s="132">
        <f>SUM(M6:M100)</f>
        <v>164276</v>
      </c>
      <c r="N101" s="4">
        <f>SUM(N6:N100)</f>
        <v>164276</v>
      </c>
      <c r="O101" s="144"/>
    </row>
    <row r="102" spans="1:15" ht="39.9" customHeight="1" x14ac:dyDescent="0.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8"/>
      <c r="L102" s="131"/>
      <c r="M102" s="133"/>
      <c r="N102" s="7"/>
      <c r="O102" s="144"/>
    </row>
  </sheetData>
  <autoFilter ref="A4:O4" xr:uid="{517BCC1D-8DA2-45B7-9FB0-4E8811EC4C0F}"/>
  <mergeCells count="2">
    <mergeCell ref="A1:O2"/>
    <mergeCell ref="A101:E101"/>
  </mergeCells>
  <printOptions horizontalCentered="1" verticalCentered="1"/>
  <pageMargins left="0" right="0" top="0" bottom="0" header="0" footer="0"/>
  <pageSetup scale="29" orientation="landscape" r:id="rId1"/>
  <rowBreaks count="1" manualBreakCount="1">
    <brk id="1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13CD-DBC6-4821-9318-241C9BCC1AE1}">
  <dimension ref="A1:R96"/>
  <sheetViews>
    <sheetView rightToLeft="1" view="pageBreakPreview" zoomScale="40" zoomScaleNormal="40" zoomScaleSheetLayoutView="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6" sqref="I6"/>
    </sheetView>
  </sheetViews>
  <sheetFormatPr defaultColWidth="8.88671875" defaultRowHeight="28.8" x14ac:dyDescent="0.55000000000000004"/>
  <cols>
    <col min="1" max="1" width="10.109375" style="6" customWidth="1"/>
    <col min="2" max="2" width="84" style="6" customWidth="1"/>
    <col min="3" max="3" width="48.33203125" style="6" hidden="1" customWidth="1"/>
    <col min="4" max="4" width="25.6640625" style="6" hidden="1" customWidth="1"/>
    <col min="5" max="5" width="62.109375" style="6" customWidth="1"/>
    <col min="6" max="6" width="60.33203125" style="6" customWidth="1"/>
    <col min="7" max="7" width="21.6640625" style="6" customWidth="1"/>
    <col min="8" max="8" width="35.33203125" style="6" customWidth="1"/>
    <col min="9" max="9" width="32" style="6" customWidth="1"/>
    <col min="10" max="10" width="27.33203125" style="6" customWidth="1"/>
    <col min="11" max="11" width="27.33203125" style="9" bestFit="1" customWidth="1"/>
    <col min="12" max="12" width="27.33203125" style="9" customWidth="1"/>
    <col min="13" max="14" width="26.109375" style="3" bestFit="1" customWidth="1"/>
    <col min="15" max="15" width="22.6640625" style="55" customWidth="1"/>
    <col min="16" max="16384" width="8.88671875" style="6"/>
  </cols>
  <sheetData>
    <row r="1" spans="1:18" ht="63.75" customHeight="1" x14ac:dyDescent="0.3">
      <c r="A1" s="433" t="s">
        <v>1672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</row>
    <row r="2" spans="1:18" ht="63.75" customHeight="1" x14ac:dyDescent="0.3">
      <c r="A2" s="439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</row>
    <row r="3" spans="1:18" ht="63" customHeight="1" thickBot="1" x14ac:dyDescent="0.6">
      <c r="A3" s="134"/>
      <c r="B3" s="134"/>
      <c r="C3" s="134"/>
      <c r="D3" s="134"/>
      <c r="E3" s="134"/>
      <c r="F3" s="134"/>
      <c r="G3" s="134"/>
      <c r="H3" s="65">
        <f>H95</f>
        <v>541149.35000000009</v>
      </c>
      <c r="I3" s="65">
        <f>I95</f>
        <v>541149.35000000009</v>
      </c>
      <c r="J3" s="65">
        <f>J95</f>
        <v>0</v>
      </c>
      <c r="K3" s="65">
        <f>K95</f>
        <v>541149.35000000009</v>
      </c>
      <c r="L3" s="65"/>
      <c r="M3" s="65">
        <f>M95</f>
        <v>0</v>
      </c>
      <c r="N3" s="65">
        <f>N95</f>
        <v>0</v>
      </c>
    </row>
    <row r="4" spans="1:18" ht="63" thickBot="1" x14ac:dyDescent="0.35">
      <c r="A4" s="137" t="s">
        <v>1</v>
      </c>
      <c r="B4" s="138" t="s">
        <v>481</v>
      </c>
      <c r="C4" s="138" t="s">
        <v>309</v>
      </c>
      <c r="D4" s="138" t="s">
        <v>284</v>
      </c>
      <c r="E4" s="138" t="s">
        <v>5</v>
      </c>
      <c r="F4" s="28" t="s">
        <v>492</v>
      </c>
      <c r="G4" s="111" t="s">
        <v>970</v>
      </c>
      <c r="H4" s="138" t="s">
        <v>484</v>
      </c>
      <c r="I4" s="139" t="s">
        <v>60</v>
      </c>
      <c r="J4" s="138" t="s">
        <v>61</v>
      </c>
      <c r="K4" s="139" t="s">
        <v>2</v>
      </c>
      <c r="L4" s="140" t="s">
        <v>1241</v>
      </c>
      <c r="M4" s="141" t="s">
        <v>1240</v>
      </c>
      <c r="N4" s="142" t="s">
        <v>1207</v>
      </c>
      <c r="O4" s="143" t="s">
        <v>1142</v>
      </c>
    </row>
    <row r="5" spans="1:18" ht="30" customHeight="1" x14ac:dyDescent="0.4">
      <c r="A5" s="57">
        <v>0</v>
      </c>
      <c r="B5" s="58" t="s">
        <v>1305</v>
      </c>
      <c r="C5" s="58" t="s">
        <v>1305</v>
      </c>
      <c r="D5" s="58" t="s">
        <v>1305</v>
      </c>
      <c r="E5" s="58" t="s">
        <v>1305</v>
      </c>
      <c r="F5" s="57" t="s">
        <v>14</v>
      </c>
      <c r="G5" s="57">
        <v>1</v>
      </c>
      <c r="H5" s="57">
        <v>0</v>
      </c>
      <c r="I5" s="57">
        <v>0</v>
      </c>
      <c r="J5" s="57">
        <f>K5-I5</f>
        <v>0</v>
      </c>
      <c r="K5" s="56">
        <v>0</v>
      </c>
      <c r="L5" s="135">
        <f>H5-K5</f>
        <v>0</v>
      </c>
      <c r="M5" s="136"/>
      <c r="N5" s="74"/>
      <c r="O5" s="118"/>
      <c r="R5" s="145" t="s">
        <v>1242</v>
      </c>
    </row>
    <row r="6" spans="1:18" ht="30" customHeight="1" x14ac:dyDescent="0.4">
      <c r="A6" s="57">
        <v>0</v>
      </c>
      <c r="B6" s="58" t="s">
        <v>1855</v>
      </c>
      <c r="C6" s="58" t="s">
        <v>1305</v>
      </c>
      <c r="D6" s="58" t="s">
        <v>1305</v>
      </c>
      <c r="E6" s="58" t="s">
        <v>1854</v>
      </c>
      <c r="F6" s="57" t="s">
        <v>14</v>
      </c>
      <c r="G6" s="57">
        <v>2</v>
      </c>
      <c r="H6" s="57">
        <v>2198</v>
      </c>
      <c r="I6" s="57">
        <v>2198</v>
      </c>
      <c r="J6" s="57">
        <f>K6-I6</f>
        <v>0</v>
      </c>
      <c r="K6" s="56">
        <v>2198</v>
      </c>
      <c r="L6" s="135">
        <f>H6-K6</f>
        <v>0</v>
      </c>
      <c r="M6" s="136"/>
      <c r="N6" s="74"/>
      <c r="O6" s="118"/>
      <c r="R6" s="145" t="s">
        <v>1856</v>
      </c>
    </row>
    <row r="7" spans="1:18" ht="30" customHeight="1" x14ac:dyDescent="0.3">
      <c r="A7" s="4">
        <v>1</v>
      </c>
      <c r="B7" s="10" t="s">
        <v>1217</v>
      </c>
      <c r="C7" s="10" t="s">
        <v>316</v>
      </c>
      <c r="D7" s="10" t="s">
        <v>1187</v>
      </c>
      <c r="E7" s="10" t="s">
        <v>1312</v>
      </c>
      <c r="F7" s="167" t="s">
        <v>1311</v>
      </c>
      <c r="G7" s="4">
        <v>6</v>
      </c>
      <c r="H7" s="4">
        <f t="shared" ref="H7" si="0">I7-N7</f>
        <v>51895</v>
      </c>
      <c r="I7" s="4">
        <v>51895</v>
      </c>
      <c r="J7" s="4">
        <f t="shared" ref="J7" si="1">K7-I7</f>
        <v>0</v>
      </c>
      <c r="K7" s="1">
        <v>51895</v>
      </c>
      <c r="L7" s="135">
        <f t="shared" ref="L7" si="2">N7-M7</f>
        <v>0</v>
      </c>
      <c r="M7" s="132"/>
      <c r="N7" s="2"/>
      <c r="O7" s="112"/>
    </row>
    <row r="8" spans="1:18" ht="30" customHeight="1" x14ac:dyDescent="0.3">
      <c r="A8" s="4">
        <v>2</v>
      </c>
      <c r="B8" s="10" t="s">
        <v>1217</v>
      </c>
      <c r="C8" s="10" t="s">
        <v>316</v>
      </c>
      <c r="D8" s="10" t="s">
        <v>1187</v>
      </c>
      <c r="E8" s="10" t="s">
        <v>1312</v>
      </c>
      <c r="F8" s="167" t="s">
        <v>1461</v>
      </c>
      <c r="G8" s="4">
        <v>1</v>
      </c>
      <c r="H8" s="4">
        <f t="shared" ref="H8:H17" si="3">I8-N8</f>
        <v>1450</v>
      </c>
      <c r="I8" s="4">
        <v>1450</v>
      </c>
      <c r="J8" s="4">
        <f t="shared" ref="J8:J17" si="4">K8-I8</f>
        <v>0</v>
      </c>
      <c r="K8" s="1">
        <v>1450</v>
      </c>
      <c r="L8" s="135">
        <f t="shared" ref="L8:L17" si="5">N8-M8</f>
        <v>0</v>
      </c>
      <c r="M8" s="132"/>
      <c r="N8" s="2"/>
      <c r="O8" s="112"/>
    </row>
    <row r="9" spans="1:18" ht="30" customHeight="1" x14ac:dyDescent="0.3">
      <c r="A9" s="4">
        <v>3</v>
      </c>
      <c r="B9" s="10" t="s">
        <v>1217</v>
      </c>
      <c r="C9" s="10" t="s">
        <v>316</v>
      </c>
      <c r="D9" s="10" t="s">
        <v>1466</v>
      </c>
      <c r="E9" s="10" t="s">
        <v>1312</v>
      </c>
      <c r="F9" s="167" t="s">
        <v>1535</v>
      </c>
      <c r="G9" s="4">
        <v>2</v>
      </c>
      <c r="H9" s="4">
        <f t="shared" ref="H9" si="6">I9-N9</f>
        <v>4345</v>
      </c>
      <c r="I9" s="4">
        <v>4345</v>
      </c>
      <c r="J9" s="4">
        <f t="shared" ref="J9" si="7">K9-I9</f>
        <v>0</v>
      </c>
      <c r="K9" s="1">
        <v>4345</v>
      </c>
      <c r="L9" s="135">
        <f t="shared" ref="L9" si="8">N9-M9</f>
        <v>0</v>
      </c>
      <c r="M9" s="132"/>
      <c r="N9" s="2"/>
      <c r="O9" s="112"/>
    </row>
    <row r="10" spans="1:18" ht="30" customHeight="1" x14ac:dyDescent="0.3">
      <c r="A10" s="4">
        <v>4</v>
      </c>
      <c r="B10" s="10" t="s">
        <v>822</v>
      </c>
      <c r="C10" s="10" t="s">
        <v>316</v>
      </c>
      <c r="D10" s="10" t="s">
        <v>1187</v>
      </c>
      <c r="E10" s="10" t="s">
        <v>726</v>
      </c>
      <c r="F10" s="167" t="s">
        <v>1464</v>
      </c>
      <c r="G10" s="4">
        <v>1</v>
      </c>
      <c r="H10" s="4">
        <f t="shared" ref="H10:H12" si="9">I10-N10</f>
        <v>102330</v>
      </c>
      <c r="I10" s="4">
        <v>102330</v>
      </c>
      <c r="J10" s="4">
        <f t="shared" ref="J10:J12" si="10">K10-I10</f>
        <v>0</v>
      </c>
      <c r="K10" s="1">
        <v>102330</v>
      </c>
      <c r="L10" s="135">
        <f t="shared" ref="L10:L12" si="11">N10-M10</f>
        <v>0</v>
      </c>
      <c r="M10" s="132"/>
      <c r="N10" s="2"/>
      <c r="O10" s="112"/>
    </row>
    <row r="11" spans="1:18" ht="30" customHeight="1" x14ac:dyDescent="0.3">
      <c r="A11" s="4">
        <v>5</v>
      </c>
      <c r="B11" s="10" t="s">
        <v>1313</v>
      </c>
      <c r="C11" s="10"/>
      <c r="D11" s="10"/>
      <c r="E11" s="10" t="s">
        <v>1465</v>
      </c>
      <c r="F11" s="168" t="s">
        <v>1314</v>
      </c>
      <c r="G11" s="4">
        <v>2</v>
      </c>
      <c r="H11" s="4">
        <f t="shared" si="9"/>
        <v>100000</v>
      </c>
      <c r="I11" s="4">
        <v>100000</v>
      </c>
      <c r="J11" s="4">
        <f t="shared" si="10"/>
        <v>0</v>
      </c>
      <c r="K11" s="1">
        <v>100000</v>
      </c>
      <c r="L11" s="135">
        <f t="shared" si="11"/>
        <v>0</v>
      </c>
      <c r="M11" s="132"/>
      <c r="N11" s="2"/>
      <c r="O11" s="112"/>
    </row>
    <row r="12" spans="1:18" ht="30" customHeight="1" x14ac:dyDescent="0.3">
      <c r="A12" s="4">
        <v>6</v>
      </c>
      <c r="B12" s="10" t="s">
        <v>1317</v>
      </c>
      <c r="C12" s="10"/>
      <c r="D12" s="10"/>
      <c r="E12" s="10" t="s">
        <v>1316</v>
      </c>
      <c r="F12" s="168" t="s">
        <v>1314</v>
      </c>
      <c r="G12" s="4">
        <v>4</v>
      </c>
      <c r="H12" s="4">
        <f t="shared" si="9"/>
        <v>183995.55</v>
      </c>
      <c r="I12" s="4">
        <v>183995.55</v>
      </c>
      <c r="J12" s="4">
        <f t="shared" si="10"/>
        <v>0</v>
      </c>
      <c r="K12" s="1">
        <v>183995.55</v>
      </c>
      <c r="L12" s="135">
        <f t="shared" si="11"/>
        <v>0</v>
      </c>
      <c r="M12" s="132"/>
      <c r="N12" s="2"/>
      <c r="O12" s="112"/>
    </row>
    <row r="13" spans="1:18" ht="30" customHeight="1" x14ac:dyDescent="0.3">
      <c r="A13" s="4">
        <v>7</v>
      </c>
      <c r="B13" s="10" t="s">
        <v>1377</v>
      </c>
      <c r="C13" s="10"/>
      <c r="D13" s="10"/>
      <c r="E13" s="10" t="s">
        <v>1378</v>
      </c>
      <c r="F13" s="168" t="s">
        <v>1379</v>
      </c>
      <c r="G13" s="4">
        <v>3</v>
      </c>
      <c r="H13" s="4">
        <f t="shared" si="3"/>
        <v>126000</v>
      </c>
      <c r="I13" s="4">
        <v>126000</v>
      </c>
      <c r="J13" s="4">
        <f t="shared" si="4"/>
        <v>0</v>
      </c>
      <c r="K13" s="1">
        <v>126000</v>
      </c>
      <c r="L13" s="135">
        <f t="shared" si="5"/>
        <v>0</v>
      </c>
      <c r="M13" s="132">
        <v>0</v>
      </c>
      <c r="N13" s="2">
        <v>0</v>
      </c>
      <c r="O13" s="112">
        <v>0.9</v>
      </c>
    </row>
    <row r="14" spans="1:18" ht="30" customHeight="1" x14ac:dyDescent="0.3">
      <c r="A14" s="4">
        <v>8</v>
      </c>
      <c r="B14" s="10" t="s">
        <v>1404</v>
      </c>
      <c r="C14" s="10"/>
      <c r="D14" s="10"/>
      <c r="E14" s="10" t="s">
        <v>643</v>
      </c>
      <c r="F14" s="4" t="s">
        <v>1405</v>
      </c>
      <c r="G14" s="4">
        <v>1</v>
      </c>
      <c r="H14" s="4">
        <f t="shared" si="3"/>
        <v>7866</v>
      </c>
      <c r="I14" s="4">
        <v>7866</v>
      </c>
      <c r="J14" s="4">
        <f t="shared" si="4"/>
        <v>0</v>
      </c>
      <c r="K14" s="1">
        <v>7866</v>
      </c>
      <c r="L14" s="135">
        <f t="shared" si="5"/>
        <v>0</v>
      </c>
      <c r="M14" s="132">
        <v>0</v>
      </c>
      <c r="N14" s="2">
        <v>0</v>
      </c>
      <c r="O14" s="112">
        <v>0.9</v>
      </c>
    </row>
    <row r="15" spans="1:18" ht="30" customHeight="1" x14ac:dyDescent="0.3">
      <c r="A15" s="4">
        <v>9</v>
      </c>
      <c r="B15" s="10" t="s">
        <v>1400</v>
      </c>
      <c r="C15" s="10"/>
      <c r="D15" s="10"/>
      <c r="E15" s="10" t="s">
        <v>1536</v>
      </c>
      <c r="F15" s="4" t="s">
        <v>1535</v>
      </c>
      <c r="G15" s="4">
        <v>1</v>
      </c>
      <c r="H15" s="4">
        <f t="shared" si="3"/>
        <v>3145.5</v>
      </c>
      <c r="I15" s="4">
        <v>3145.5</v>
      </c>
      <c r="J15" s="4">
        <f t="shared" si="4"/>
        <v>0</v>
      </c>
      <c r="K15" s="1">
        <v>3145.5</v>
      </c>
      <c r="L15" s="135">
        <f t="shared" si="5"/>
        <v>0</v>
      </c>
      <c r="M15" s="132">
        <v>0</v>
      </c>
      <c r="N15" s="2">
        <v>0</v>
      </c>
      <c r="O15" s="112"/>
    </row>
    <row r="16" spans="1:18" ht="30" customHeight="1" x14ac:dyDescent="0.3">
      <c r="A16" s="4">
        <v>10</v>
      </c>
      <c r="B16" s="10" t="s">
        <v>1554</v>
      </c>
      <c r="C16" s="10"/>
      <c r="D16" s="10"/>
      <c r="E16" s="10" t="s">
        <v>1555</v>
      </c>
      <c r="F16" s="4" t="s">
        <v>184</v>
      </c>
      <c r="G16" s="4">
        <v>1</v>
      </c>
      <c r="H16" s="4">
        <f t="shared" si="3"/>
        <v>3650</v>
      </c>
      <c r="I16" s="4">
        <v>3650</v>
      </c>
      <c r="J16" s="4">
        <f t="shared" si="4"/>
        <v>0</v>
      </c>
      <c r="K16" s="1">
        <v>3650</v>
      </c>
      <c r="L16" s="135">
        <f t="shared" si="5"/>
        <v>0</v>
      </c>
      <c r="M16" s="132">
        <v>0</v>
      </c>
      <c r="N16" s="2">
        <v>0</v>
      </c>
      <c r="O16" s="112"/>
    </row>
    <row r="17" spans="1:15" ht="30" customHeight="1" x14ac:dyDescent="0.3">
      <c r="A17" s="4">
        <v>11</v>
      </c>
      <c r="B17" s="10" t="s">
        <v>19</v>
      </c>
      <c r="C17" s="10"/>
      <c r="D17" s="10"/>
      <c r="E17" s="10" t="s">
        <v>1566</v>
      </c>
      <c r="F17" s="4" t="s">
        <v>184</v>
      </c>
      <c r="G17" s="4">
        <v>1</v>
      </c>
      <c r="H17" s="4">
        <f t="shared" si="3"/>
        <v>7467.3</v>
      </c>
      <c r="I17" s="4">
        <v>7467.3</v>
      </c>
      <c r="J17" s="4">
        <f t="shared" si="4"/>
        <v>0</v>
      </c>
      <c r="K17" s="1">
        <v>7467.3</v>
      </c>
      <c r="L17" s="135">
        <f t="shared" si="5"/>
        <v>0</v>
      </c>
      <c r="M17" s="132">
        <v>0</v>
      </c>
      <c r="N17" s="2">
        <v>0</v>
      </c>
      <c r="O17" s="112"/>
    </row>
    <row r="18" spans="1:15" ht="30" customHeight="1" x14ac:dyDescent="0.3">
      <c r="A18" s="4">
        <v>12</v>
      </c>
      <c r="B18" s="10" t="s">
        <v>1344</v>
      </c>
      <c r="C18" s="10"/>
      <c r="D18" s="10"/>
      <c r="E18" s="10" t="s">
        <v>1345</v>
      </c>
      <c r="F18" s="4" t="s">
        <v>184</v>
      </c>
      <c r="G18" s="4">
        <v>1</v>
      </c>
      <c r="H18" s="4">
        <f t="shared" ref="H18" si="12">I18-N18</f>
        <v>900</v>
      </c>
      <c r="I18" s="4">
        <v>900</v>
      </c>
      <c r="J18" s="4">
        <f t="shared" ref="J18" si="13">K18-I18</f>
        <v>0</v>
      </c>
      <c r="K18" s="1">
        <v>900</v>
      </c>
      <c r="L18" s="135">
        <f t="shared" ref="L18" si="14">N18-M18</f>
        <v>0</v>
      </c>
      <c r="M18" s="132">
        <v>0</v>
      </c>
      <c r="N18" s="2">
        <v>0</v>
      </c>
      <c r="O18" s="112"/>
    </row>
    <row r="19" spans="1:15" ht="30" customHeight="1" x14ac:dyDescent="0.55000000000000004">
      <c r="A19" s="4"/>
      <c r="B19" s="10"/>
      <c r="C19" s="10"/>
      <c r="D19" s="10"/>
      <c r="E19" s="10"/>
      <c r="F19" s="4"/>
      <c r="G19" s="4"/>
      <c r="H19" s="4"/>
      <c r="I19" s="4"/>
      <c r="J19" s="4"/>
      <c r="K19" s="1"/>
      <c r="L19" s="93"/>
      <c r="M19" s="132"/>
      <c r="N19" s="2"/>
      <c r="O19" s="144"/>
    </row>
    <row r="20" spans="1:15" ht="30" customHeight="1" x14ac:dyDescent="0.55000000000000004">
      <c r="A20" s="4"/>
      <c r="B20" s="10"/>
      <c r="C20" s="10"/>
      <c r="D20" s="10"/>
      <c r="E20" s="10"/>
      <c r="F20" s="4"/>
      <c r="G20" s="4"/>
      <c r="H20" s="4"/>
      <c r="I20" s="4"/>
      <c r="J20" s="4"/>
      <c r="K20" s="1"/>
      <c r="L20" s="93"/>
      <c r="M20" s="132"/>
      <c r="N20" s="2"/>
      <c r="O20" s="144"/>
    </row>
    <row r="21" spans="1:15" ht="30" customHeight="1" x14ac:dyDescent="0.55000000000000004">
      <c r="A21" s="4"/>
      <c r="B21" s="10"/>
      <c r="C21" s="10"/>
      <c r="D21" s="10"/>
      <c r="E21" s="10"/>
      <c r="F21" s="4"/>
      <c r="G21" s="4"/>
      <c r="H21" s="4"/>
      <c r="I21" s="4"/>
      <c r="J21" s="4"/>
      <c r="K21" s="1"/>
      <c r="L21" s="93"/>
      <c r="M21" s="132"/>
      <c r="N21" s="2"/>
      <c r="O21" s="144"/>
    </row>
    <row r="22" spans="1:15" ht="30" customHeight="1" x14ac:dyDescent="0.55000000000000004">
      <c r="A22" s="4"/>
      <c r="B22" s="10"/>
      <c r="C22" s="10"/>
      <c r="D22" s="10"/>
      <c r="E22" s="10"/>
      <c r="F22" s="4"/>
      <c r="G22" s="4"/>
      <c r="H22" s="4"/>
      <c r="I22" s="4"/>
      <c r="J22" s="4"/>
      <c r="K22" s="1"/>
      <c r="L22" s="93"/>
      <c r="M22" s="132"/>
      <c r="N22" s="2"/>
      <c r="O22" s="144"/>
    </row>
    <row r="23" spans="1:15" ht="30" customHeight="1" x14ac:dyDescent="0.55000000000000004">
      <c r="A23" s="4"/>
      <c r="B23" s="10"/>
      <c r="C23" s="10"/>
      <c r="D23" s="10"/>
      <c r="E23" s="10"/>
      <c r="F23" s="4"/>
      <c r="G23" s="4"/>
      <c r="H23" s="4"/>
      <c r="I23" s="4"/>
      <c r="J23" s="4"/>
      <c r="K23" s="1"/>
      <c r="L23" s="93"/>
      <c r="M23" s="132"/>
      <c r="N23" s="2"/>
      <c r="O23" s="144"/>
    </row>
    <row r="24" spans="1:15" ht="30" customHeight="1" x14ac:dyDescent="0.55000000000000004">
      <c r="A24" s="4"/>
      <c r="B24" s="10"/>
      <c r="C24" s="10"/>
      <c r="D24" s="10"/>
      <c r="E24" s="10"/>
      <c r="F24" s="4"/>
      <c r="G24" s="4"/>
      <c r="H24" s="4"/>
      <c r="I24" s="4"/>
      <c r="J24" s="4"/>
      <c r="K24" s="1"/>
      <c r="L24" s="93"/>
      <c r="M24" s="132"/>
      <c r="N24" s="2"/>
      <c r="O24" s="144"/>
    </row>
    <row r="25" spans="1:15" ht="30" customHeight="1" x14ac:dyDescent="0.55000000000000004">
      <c r="A25" s="4"/>
      <c r="B25" s="10"/>
      <c r="C25" s="10"/>
      <c r="D25" s="10"/>
      <c r="E25" s="10"/>
      <c r="F25" s="4"/>
      <c r="G25" s="4"/>
      <c r="H25" s="4"/>
      <c r="I25" s="4"/>
      <c r="J25" s="4"/>
      <c r="K25" s="1"/>
      <c r="L25" s="93"/>
      <c r="M25" s="132"/>
      <c r="N25" s="2"/>
      <c r="O25" s="144"/>
    </row>
    <row r="26" spans="1:15" ht="30" customHeight="1" x14ac:dyDescent="0.55000000000000004">
      <c r="A26" s="4"/>
      <c r="B26" s="10"/>
      <c r="C26" s="10"/>
      <c r="D26" s="10"/>
      <c r="E26" s="10"/>
      <c r="F26" s="4"/>
      <c r="G26" s="4"/>
      <c r="H26" s="4"/>
      <c r="I26" s="4"/>
      <c r="J26" s="4"/>
      <c r="K26" s="1"/>
      <c r="L26" s="93"/>
      <c r="M26" s="132"/>
      <c r="N26" s="2"/>
      <c r="O26" s="144"/>
    </row>
    <row r="27" spans="1:15" ht="30" customHeight="1" x14ac:dyDescent="0.55000000000000004">
      <c r="A27" s="4"/>
      <c r="B27" s="10"/>
      <c r="C27" s="10"/>
      <c r="D27" s="10"/>
      <c r="E27" s="10"/>
      <c r="F27" s="4"/>
      <c r="G27" s="4"/>
      <c r="H27" s="4"/>
      <c r="I27" s="4"/>
      <c r="J27" s="4"/>
      <c r="K27" s="1"/>
      <c r="L27" s="93"/>
      <c r="M27" s="132"/>
      <c r="N27" s="2"/>
      <c r="O27" s="144"/>
    </row>
    <row r="28" spans="1:15" ht="30" customHeight="1" x14ac:dyDescent="0.55000000000000004">
      <c r="A28" s="4"/>
      <c r="B28" s="10"/>
      <c r="C28" s="10"/>
      <c r="D28" s="10"/>
      <c r="E28" s="10"/>
      <c r="F28" s="4"/>
      <c r="G28" s="4"/>
      <c r="H28" s="4"/>
      <c r="I28" s="4"/>
      <c r="J28" s="4"/>
      <c r="K28" s="1"/>
      <c r="L28" s="93"/>
      <c r="M28" s="132"/>
      <c r="N28" s="2"/>
      <c r="O28" s="144"/>
    </row>
    <row r="29" spans="1:15" ht="30" customHeight="1" x14ac:dyDescent="0.55000000000000004">
      <c r="A29" s="4"/>
      <c r="B29" s="10"/>
      <c r="C29" s="10"/>
      <c r="D29" s="10"/>
      <c r="E29" s="10"/>
      <c r="F29" s="4"/>
      <c r="G29" s="4"/>
      <c r="H29" s="4"/>
      <c r="I29" s="4"/>
      <c r="J29" s="4"/>
      <c r="K29" s="1"/>
      <c r="L29" s="93"/>
      <c r="M29" s="132"/>
      <c r="N29" s="2"/>
      <c r="O29" s="144"/>
    </row>
    <row r="30" spans="1:15" ht="30" customHeight="1" x14ac:dyDescent="0.55000000000000004">
      <c r="A30" s="4"/>
      <c r="B30" s="10"/>
      <c r="C30" s="10"/>
      <c r="D30" s="10"/>
      <c r="E30" s="10"/>
      <c r="F30" s="4"/>
      <c r="G30" s="4"/>
      <c r="H30" s="4"/>
      <c r="I30" s="4"/>
      <c r="J30" s="4"/>
      <c r="K30" s="1"/>
      <c r="L30" s="93"/>
      <c r="M30" s="132"/>
      <c r="N30" s="2"/>
      <c r="O30" s="144"/>
    </row>
    <row r="31" spans="1:15" ht="30" customHeight="1" x14ac:dyDescent="0.55000000000000004">
      <c r="A31" s="4"/>
      <c r="B31" s="10"/>
      <c r="C31" s="10"/>
      <c r="D31" s="10"/>
      <c r="E31" s="10"/>
      <c r="F31" s="4"/>
      <c r="G31" s="4"/>
      <c r="H31" s="4"/>
      <c r="I31" s="4"/>
      <c r="J31" s="4"/>
      <c r="K31" s="1"/>
      <c r="L31" s="93"/>
      <c r="M31" s="132"/>
      <c r="N31" s="2"/>
      <c r="O31" s="144"/>
    </row>
    <row r="32" spans="1:15" ht="30" customHeight="1" x14ac:dyDescent="0.55000000000000004">
      <c r="A32" s="4"/>
      <c r="B32" s="10"/>
      <c r="C32" s="10"/>
      <c r="D32" s="10"/>
      <c r="E32" s="10"/>
      <c r="F32" s="4"/>
      <c r="G32" s="4"/>
      <c r="H32" s="4"/>
      <c r="I32" s="4"/>
      <c r="J32" s="4"/>
      <c r="K32" s="1"/>
      <c r="L32" s="93"/>
      <c r="M32" s="132"/>
      <c r="N32" s="2"/>
      <c r="O32" s="144"/>
    </row>
    <row r="33" spans="1:15" ht="31.2" x14ac:dyDescent="0.55000000000000004">
      <c r="A33" s="4"/>
      <c r="B33" s="10"/>
      <c r="C33" s="10"/>
      <c r="D33" s="10"/>
      <c r="E33" s="10"/>
      <c r="F33" s="4"/>
      <c r="G33" s="4"/>
      <c r="H33" s="4"/>
      <c r="I33" s="4"/>
      <c r="J33" s="4"/>
      <c r="K33" s="1"/>
      <c r="L33" s="93"/>
      <c r="M33" s="132"/>
      <c r="N33" s="2"/>
      <c r="O33" s="144"/>
    </row>
    <row r="34" spans="1:15" ht="31.2" x14ac:dyDescent="0.55000000000000004">
      <c r="A34" s="4"/>
      <c r="B34" s="10"/>
      <c r="C34" s="10"/>
      <c r="D34" s="10"/>
      <c r="E34" s="10"/>
      <c r="F34" s="4"/>
      <c r="G34" s="4"/>
      <c r="H34" s="4"/>
      <c r="I34" s="4"/>
      <c r="J34" s="4"/>
      <c r="K34" s="1"/>
      <c r="L34" s="93"/>
      <c r="M34" s="132"/>
      <c r="N34" s="2"/>
      <c r="O34" s="144"/>
    </row>
    <row r="35" spans="1:15" ht="31.2" x14ac:dyDescent="0.55000000000000004">
      <c r="A35" s="4"/>
      <c r="B35" s="10"/>
      <c r="C35" s="10"/>
      <c r="D35" s="10"/>
      <c r="E35" s="10"/>
      <c r="F35" s="4"/>
      <c r="G35" s="4"/>
      <c r="H35" s="4"/>
      <c r="I35" s="4"/>
      <c r="J35" s="4"/>
      <c r="K35" s="1"/>
      <c r="L35" s="93"/>
      <c r="M35" s="132"/>
      <c r="N35" s="2"/>
      <c r="O35" s="144"/>
    </row>
    <row r="36" spans="1:15" ht="31.2" x14ac:dyDescent="0.55000000000000004">
      <c r="A36" s="4"/>
      <c r="B36" s="10"/>
      <c r="C36" s="10"/>
      <c r="D36" s="10"/>
      <c r="E36" s="10"/>
      <c r="F36" s="4"/>
      <c r="G36" s="4"/>
      <c r="H36" s="4"/>
      <c r="I36" s="4"/>
      <c r="J36" s="4"/>
      <c r="K36" s="1"/>
      <c r="L36" s="93"/>
      <c r="M36" s="132"/>
      <c r="N36" s="2"/>
      <c r="O36" s="144"/>
    </row>
    <row r="37" spans="1:15" ht="31.2" x14ac:dyDescent="0.55000000000000004">
      <c r="A37" s="4"/>
      <c r="B37" s="10"/>
      <c r="C37" s="10"/>
      <c r="D37" s="10"/>
      <c r="E37" s="10"/>
      <c r="F37" s="4"/>
      <c r="G37" s="4"/>
      <c r="H37" s="4"/>
      <c r="I37" s="4"/>
      <c r="J37" s="4"/>
      <c r="K37" s="1"/>
      <c r="L37" s="93"/>
      <c r="M37" s="132"/>
      <c r="N37" s="2"/>
      <c r="O37" s="144"/>
    </row>
    <row r="38" spans="1:15" ht="31.2" x14ac:dyDescent="0.55000000000000004">
      <c r="A38" s="4"/>
      <c r="B38" s="10"/>
      <c r="C38" s="10"/>
      <c r="D38" s="10"/>
      <c r="E38" s="10"/>
      <c r="F38" s="4"/>
      <c r="G38" s="4"/>
      <c r="H38" s="4"/>
      <c r="I38" s="4"/>
      <c r="J38" s="4"/>
      <c r="K38" s="1"/>
      <c r="L38" s="93"/>
      <c r="M38" s="132"/>
      <c r="N38" s="2"/>
      <c r="O38" s="144"/>
    </row>
    <row r="39" spans="1:15" ht="31.2" x14ac:dyDescent="0.55000000000000004">
      <c r="A39" s="4"/>
      <c r="B39" s="10"/>
      <c r="C39" s="10"/>
      <c r="D39" s="10"/>
      <c r="E39" s="10"/>
      <c r="F39" s="4"/>
      <c r="G39" s="4"/>
      <c r="H39" s="4"/>
      <c r="I39" s="4"/>
      <c r="J39" s="4"/>
      <c r="K39" s="1"/>
      <c r="L39" s="93"/>
      <c r="M39" s="132"/>
      <c r="N39" s="2"/>
      <c r="O39" s="144"/>
    </row>
    <row r="40" spans="1:15" ht="31.2" x14ac:dyDescent="0.55000000000000004">
      <c r="A40" s="4"/>
      <c r="B40" s="10"/>
      <c r="C40" s="10"/>
      <c r="D40" s="10"/>
      <c r="E40" s="10"/>
      <c r="F40" s="4"/>
      <c r="G40" s="4"/>
      <c r="H40" s="4"/>
      <c r="I40" s="4"/>
      <c r="J40" s="4"/>
      <c r="K40" s="1"/>
      <c r="L40" s="93"/>
      <c r="M40" s="132"/>
      <c r="N40" s="2"/>
      <c r="O40" s="144"/>
    </row>
    <row r="41" spans="1:15" ht="31.2" x14ac:dyDescent="0.55000000000000004">
      <c r="A41" s="4"/>
      <c r="B41" s="10"/>
      <c r="C41" s="10"/>
      <c r="D41" s="10"/>
      <c r="E41" s="10"/>
      <c r="F41" s="4"/>
      <c r="G41" s="4"/>
      <c r="H41" s="4"/>
      <c r="I41" s="4"/>
      <c r="J41" s="4"/>
      <c r="K41" s="1"/>
      <c r="L41" s="93"/>
      <c r="M41" s="132"/>
      <c r="N41" s="2"/>
      <c r="O41" s="144"/>
    </row>
    <row r="42" spans="1:15" ht="31.2" x14ac:dyDescent="0.55000000000000004">
      <c r="A42" s="4"/>
      <c r="B42" s="10"/>
      <c r="C42" s="10"/>
      <c r="D42" s="10"/>
      <c r="E42" s="10"/>
      <c r="F42" s="4"/>
      <c r="G42" s="4"/>
      <c r="H42" s="4"/>
      <c r="I42" s="4"/>
      <c r="J42" s="4"/>
      <c r="K42" s="1"/>
      <c r="L42" s="93"/>
      <c r="M42" s="132"/>
      <c r="N42" s="2"/>
      <c r="O42" s="144"/>
    </row>
    <row r="43" spans="1:15" ht="39.9" customHeight="1" x14ac:dyDescent="0.55000000000000004">
      <c r="A43" s="4"/>
      <c r="B43" s="10"/>
      <c r="C43" s="10"/>
      <c r="D43" s="10"/>
      <c r="E43" s="10"/>
      <c r="F43" s="4"/>
      <c r="G43" s="4"/>
      <c r="H43" s="4"/>
      <c r="I43" s="4"/>
      <c r="J43" s="4"/>
      <c r="K43" s="1"/>
      <c r="L43" s="93"/>
      <c r="M43" s="132"/>
      <c r="N43" s="2"/>
      <c r="O43" s="144"/>
    </row>
    <row r="44" spans="1:15" ht="39.9" customHeight="1" x14ac:dyDescent="0.55000000000000004">
      <c r="A44" s="4"/>
      <c r="B44" s="10"/>
      <c r="C44" s="10"/>
      <c r="D44" s="10"/>
      <c r="E44" s="10"/>
      <c r="F44" s="4"/>
      <c r="G44" s="4"/>
      <c r="H44" s="4"/>
      <c r="I44" s="4"/>
      <c r="J44" s="4"/>
      <c r="K44" s="1"/>
      <c r="L44" s="93"/>
      <c r="M44" s="132"/>
      <c r="N44" s="2"/>
      <c r="O44" s="144"/>
    </row>
    <row r="45" spans="1:15" ht="39.9" customHeight="1" x14ac:dyDescent="0.55000000000000004">
      <c r="A45" s="4"/>
      <c r="B45" s="10"/>
      <c r="C45" s="10"/>
      <c r="D45" s="10"/>
      <c r="E45" s="10"/>
      <c r="F45" s="4"/>
      <c r="G45" s="4"/>
      <c r="H45" s="44"/>
      <c r="I45" s="4"/>
      <c r="J45" s="4"/>
      <c r="K45" s="1"/>
      <c r="L45" s="93"/>
      <c r="M45" s="132"/>
      <c r="N45" s="2"/>
      <c r="O45" s="144"/>
    </row>
    <row r="46" spans="1:15" ht="39.9" customHeight="1" x14ac:dyDescent="0.55000000000000004">
      <c r="A46" s="4"/>
      <c r="B46" s="10"/>
      <c r="C46" s="10"/>
      <c r="D46" s="10"/>
      <c r="E46" s="10"/>
      <c r="F46" s="4"/>
      <c r="G46" s="4"/>
      <c r="H46" s="4"/>
      <c r="I46" s="4"/>
      <c r="J46" s="4"/>
      <c r="K46" s="1"/>
      <c r="L46" s="93"/>
      <c r="M46" s="132"/>
      <c r="N46" s="2"/>
      <c r="O46" s="144"/>
    </row>
    <row r="47" spans="1:15" ht="39.9" customHeight="1" x14ac:dyDescent="0.55000000000000004">
      <c r="A47" s="4"/>
      <c r="B47" s="10"/>
      <c r="C47" s="10"/>
      <c r="D47" s="10"/>
      <c r="E47" s="10"/>
      <c r="F47" s="4"/>
      <c r="G47" s="4"/>
      <c r="H47" s="4"/>
      <c r="I47" s="4"/>
      <c r="J47" s="4"/>
      <c r="K47" s="1"/>
      <c r="L47" s="93"/>
      <c r="M47" s="132"/>
      <c r="N47" s="2"/>
      <c r="O47" s="144"/>
    </row>
    <row r="48" spans="1:15" ht="39.9" customHeight="1" x14ac:dyDescent="0.55000000000000004">
      <c r="A48" s="4"/>
      <c r="B48" s="10"/>
      <c r="C48" s="10"/>
      <c r="D48" s="10"/>
      <c r="E48" s="10"/>
      <c r="F48" s="4"/>
      <c r="G48" s="4"/>
      <c r="H48" s="4"/>
      <c r="I48" s="4"/>
      <c r="J48" s="4"/>
      <c r="K48" s="1"/>
      <c r="L48" s="93"/>
      <c r="M48" s="132"/>
      <c r="N48" s="2"/>
      <c r="O48" s="144"/>
    </row>
    <row r="49" spans="1:15" ht="39.9" customHeight="1" x14ac:dyDescent="0.55000000000000004">
      <c r="A49" s="4"/>
      <c r="B49" s="10"/>
      <c r="C49" s="10"/>
      <c r="D49" s="10"/>
      <c r="E49" s="10"/>
      <c r="F49" s="4"/>
      <c r="G49" s="4"/>
      <c r="H49" s="4"/>
      <c r="I49" s="4"/>
      <c r="J49" s="4"/>
      <c r="K49" s="1"/>
      <c r="L49" s="93"/>
      <c r="M49" s="132"/>
      <c r="N49" s="2"/>
      <c r="O49" s="144"/>
    </row>
    <row r="50" spans="1:15" ht="39.9" customHeight="1" x14ac:dyDescent="0.55000000000000004">
      <c r="A50" s="4"/>
      <c r="B50" s="10"/>
      <c r="C50" s="10"/>
      <c r="D50" s="10"/>
      <c r="E50" s="10"/>
      <c r="F50" s="4"/>
      <c r="G50" s="4"/>
      <c r="H50" s="4"/>
      <c r="I50" s="4"/>
      <c r="J50" s="4"/>
      <c r="K50" s="1"/>
      <c r="L50" s="93"/>
      <c r="M50" s="132"/>
      <c r="N50" s="2"/>
      <c r="O50" s="144"/>
    </row>
    <row r="51" spans="1:15" ht="39.9" customHeight="1" x14ac:dyDescent="0.55000000000000004">
      <c r="A51" s="4"/>
      <c r="B51" s="10"/>
      <c r="C51" s="10"/>
      <c r="D51" s="10"/>
      <c r="E51" s="10"/>
      <c r="F51" s="4"/>
      <c r="G51" s="4"/>
      <c r="H51" s="4"/>
      <c r="I51" s="4"/>
      <c r="J51" s="4"/>
      <c r="K51" s="1"/>
      <c r="L51" s="93"/>
      <c r="M51" s="132"/>
      <c r="N51" s="2"/>
      <c r="O51" s="144"/>
    </row>
    <row r="52" spans="1:15" ht="39.9" customHeight="1" x14ac:dyDescent="0.55000000000000004">
      <c r="A52" s="4"/>
      <c r="B52" s="10"/>
      <c r="C52" s="10"/>
      <c r="D52" s="10"/>
      <c r="E52" s="10"/>
      <c r="F52" s="4"/>
      <c r="G52" s="4"/>
      <c r="H52" s="4"/>
      <c r="I52" s="4"/>
      <c r="J52" s="4"/>
      <c r="K52" s="1"/>
      <c r="L52" s="93"/>
      <c r="M52" s="132"/>
      <c r="N52" s="2"/>
      <c r="O52" s="144"/>
    </row>
    <row r="53" spans="1:15" ht="39.9" customHeight="1" x14ac:dyDescent="0.55000000000000004">
      <c r="A53" s="4"/>
      <c r="B53" s="10"/>
      <c r="C53" s="10"/>
      <c r="D53" s="10"/>
      <c r="E53" s="10"/>
      <c r="F53" s="4"/>
      <c r="G53" s="4"/>
      <c r="H53" s="4"/>
      <c r="I53" s="4"/>
      <c r="J53" s="4"/>
      <c r="K53" s="1"/>
      <c r="L53" s="93"/>
      <c r="M53" s="132"/>
      <c r="N53" s="2"/>
      <c r="O53" s="144"/>
    </row>
    <row r="54" spans="1:15" ht="39.9" customHeight="1" x14ac:dyDescent="0.55000000000000004">
      <c r="A54" s="4"/>
      <c r="B54" s="10"/>
      <c r="C54" s="10"/>
      <c r="D54" s="10"/>
      <c r="E54" s="10"/>
      <c r="F54" s="4"/>
      <c r="G54" s="4"/>
      <c r="H54" s="4"/>
      <c r="I54" s="4"/>
      <c r="J54" s="4"/>
      <c r="K54" s="1"/>
      <c r="L54" s="93"/>
      <c r="M54" s="132"/>
      <c r="N54" s="2"/>
      <c r="O54" s="144"/>
    </row>
    <row r="55" spans="1:15" ht="39.9" customHeight="1" x14ac:dyDescent="0.55000000000000004">
      <c r="A55" s="4"/>
      <c r="B55" s="10"/>
      <c r="C55" s="10"/>
      <c r="D55" s="10"/>
      <c r="E55" s="10"/>
      <c r="F55" s="4"/>
      <c r="G55" s="4"/>
      <c r="H55" s="4"/>
      <c r="I55" s="4"/>
      <c r="J55" s="4"/>
      <c r="K55" s="1"/>
      <c r="L55" s="93"/>
      <c r="M55" s="132"/>
      <c r="N55" s="2"/>
      <c r="O55" s="144"/>
    </row>
    <row r="56" spans="1:15" ht="63.6" customHeight="1" x14ac:dyDescent="0.55000000000000004">
      <c r="A56" s="4"/>
      <c r="B56" s="10"/>
      <c r="C56" s="10"/>
      <c r="D56" s="10"/>
      <c r="E56" s="10"/>
      <c r="F56" s="4"/>
      <c r="G56" s="4"/>
      <c r="H56" s="4"/>
      <c r="I56" s="4"/>
      <c r="J56" s="4"/>
      <c r="K56" s="1"/>
      <c r="L56" s="93"/>
      <c r="M56" s="132"/>
      <c r="N56" s="2"/>
      <c r="O56" s="144"/>
    </row>
    <row r="57" spans="1:15" ht="39.9" customHeight="1" x14ac:dyDescent="0.55000000000000004">
      <c r="A57" s="4"/>
      <c r="B57" s="10"/>
      <c r="C57" s="10"/>
      <c r="D57" s="10"/>
      <c r="E57" s="10"/>
      <c r="F57" s="4"/>
      <c r="G57" s="4"/>
      <c r="H57" s="4"/>
      <c r="I57" s="4"/>
      <c r="J57" s="4"/>
      <c r="K57" s="1"/>
      <c r="L57" s="93"/>
      <c r="M57" s="132"/>
      <c r="N57" s="2"/>
      <c r="O57" s="144"/>
    </row>
    <row r="58" spans="1:15" ht="39.9" customHeight="1" x14ac:dyDescent="0.55000000000000004">
      <c r="A58" s="4"/>
      <c r="B58" s="10"/>
      <c r="C58" s="10"/>
      <c r="D58" s="10"/>
      <c r="E58" s="10"/>
      <c r="F58" s="4"/>
      <c r="G58" s="4"/>
      <c r="H58" s="4"/>
      <c r="I58" s="4"/>
      <c r="J58" s="4"/>
      <c r="K58" s="1"/>
      <c r="L58" s="93"/>
      <c r="M58" s="132"/>
      <c r="N58" s="2"/>
      <c r="O58" s="144"/>
    </row>
    <row r="59" spans="1:15" ht="39.9" customHeight="1" x14ac:dyDescent="0.55000000000000004">
      <c r="A59" s="4"/>
      <c r="B59" s="10"/>
      <c r="C59" s="10"/>
      <c r="D59" s="10"/>
      <c r="E59" s="10"/>
      <c r="F59" s="4"/>
      <c r="G59" s="4"/>
      <c r="H59" s="4"/>
      <c r="I59" s="4"/>
      <c r="J59" s="4"/>
      <c r="K59" s="1"/>
      <c r="L59" s="93"/>
      <c r="M59" s="132"/>
      <c r="N59" s="2"/>
      <c r="O59" s="144"/>
    </row>
    <row r="60" spans="1:15" ht="39.6" customHeight="1" x14ac:dyDescent="0.55000000000000004">
      <c r="A60" s="4"/>
      <c r="B60" s="10"/>
      <c r="C60" s="10"/>
      <c r="D60" s="10"/>
      <c r="E60" s="10"/>
      <c r="F60" s="4"/>
      <c r="G60" s="4"/>
      <c r="H60" s="4"/>
      <c r="I60" s="4"/>
      <c r="J60" s="4"/>
      <c r="K60" s="1"/>
      <c r="L60" s="93"/>
      <c r="M60" s="132"/>
      <c r="N60" s="2"/>
      <c r="O60" s="144"/>
    </row>
    <row r="61" spans="1:15" ht="39.6" customHeight="1" x14ac:dyDescent="0.55000000000000004">
      <c r="A61" s="4"/>
      <c r="B61" s="10"/>
      <c r="C61" s="10"/>
      <c r="D61" s="10"/>
      <c r="E61" s="10"/>
      <c r="F61" s="4"/>
      <c r="G61" s="4"/>
      <c r="H61" s="4"/>
      <c r="I61" s="4"/>
      <c r="J61" s="4"/>
      <c r="K61" s="1"/>
      <c r="L61" s="93"/>
      <c r="M61" s="132"/>
      <c r="N61" s="2"/>
      <c r="O61" s="144"/>
    </row>
    <row r="62" spans="1:15" ht="39.9" customHeight="1" x14ac:dyDescent="0.55000000000000004">
      <c r="A62" s="4"/>
      <c r="B62" s="10"/>
      <c r="C62" s="10"/>
      <c r="D62" s="10"/>
      <c r="E62" s="10"/>
      <c r="F62" s="4"/>
      <c r="G62" s="4"/>
      <c r="H62" s="4"/>
      <c r="I62" s="4"/>
      <c r="J62" s="4"/>
      <c r="K62" s="1"/>
      <c r="L62" s="93"/>
      <c r="M62" s="132"/>
      <c r="N62" s="2"/>
      <c r="O62" s="144"/>
    </row>
    <row r="63" spans="1:15" ht="39.9" customHeight="1" x14ac:dyDescent="0.55000000000000004">
      <c r="A63" s="4"/>
      <c r="B63" s="10"/>
      <c r="C63" s="10"/>
      <c r="D63" s="10"/>
      <c r="E63" s="10"/>
      <c r="F63" s="4"/>
      <c r="G63" s="4"/>
      <c r="H63" s="4"/>
      <c r="I63" s="4"/>
      <c r="J63" s="4"/>
      <c r="K63" s="1"/>
      <c r="L63" s="93"/>
      <c r="M63" s="132"/>
      <c r="N63" s="2"/>
      <c r="O63" s="144"/>
    </row>
    <row r="64" spans="1:15" ht="39.6" customHeight="1" x14ac:dyDescent="0.55000000000000004">
      <c r="A64" s="4"/>
      <c r="B64" s="10"/>
      <c r="C64" s="10"/>
      <c r="D64" s="10"/>
      <c r="E64" s="10"/>
      <c r="F64" s="4"/>
      <c r="G64" s="4"/>
      <c r="H64" s="4"/>
      <c r="I64" s="4"/>
      <c r="J64" s="4"/>
      <c r="K64" s="1"/>
      <c r="L64" s="93"/>
      <c r="M64" s="132"/>
      <c r="N64" s="2"/>
      <c r="O64" s="144"/>
    </row>
    <row r="65" spans="1:15" ht="39.9" customHeight="1" x14ac:dyDescent="0.55000000000000004">
      <c r="A65" s="4"/>
      <c r="B65" s="10"/>
      <c r="C65" s="10"/>
      <c r="D65" s="10"/>
      <c r="E65" s="10"/>
      <c r="F65" s="4"/>
      <c r="G65" s="4"/>
      <c r="H65" s="4"/>
      <c r="I65" s="4"/>
      <c r="J65" s="4"/>
      <c r="K65" s="1"/>
      <c r="L65" s="93"/>
      <c r="M65" s="132"/>
      <c r="N65" s="2"/>
      <c r="O65" s="144"/>
    </row>
    <row r="66" spans="1:15" ht="39.9" customHeight="1" x14ac:dyDescent="0.55000000000000004">
      <c r="A66" s="4"/>
      <c r="B66" s="10"/>
      <c r="C66" s="10"/>
      <c r="D66" s="10"/>
      <c r="E66" s="10"/>
      <c r="F66" s="4"/>
      <c r="G66" s="4"/>
      <c r="H66" s="4"/>
      <c r="I66" s="4"/>
      <c r="J66" s="4"/>
      <c r="K66" s="1"/>
      <c r="L66" s="93"/>
      <c r="M66" s="132"/>
      <c r="N66" s="2"/>
      <c r="O66" s="144"/>
    </row>
    <row r="67" spans="1:15" ht="39.9" customHeight="1" x14ac:dyDescent="0.55000000000000004">
      <c r="A67" s="4"/>
      <c r="B67" s="10"/>
      <c r="C67" s="10"/>
      <c r="D67" s="10"/>
      <c r="E67" s="10"/>
      <c r="F67" s="4"/>
      <c r="G67" s="4"/>
      <c r="H67" s="4"/>
      <c r="I67" s="4"/>
      <c r="J67" s="4"/>
      <c r="K67" s="1"/>
      <c r="L67" s="93"/>
      <c r="M67" s="132"/>
      <c r="N67" s="2"/>
      <c r="O67" s="144"/>
    </row>
    <row r="68" spans="1:15" ht="39.9" customHeight="1" x14ac:dyDescent="0.55000000000000004">
      <c r="A68" s="4"/>
      <c r="B68" s="10"/>
      <c r="C68" s="10"/>
      <c r="D68" s="10"/>
      <c r="E68" s="10"/>
      <c r="F68" s="4"/>
      <c r="G68" s="4"/>
      <c r="H68" s="4"/>
      <c r="I68" s="4"/>
      <c r="J68" s="4"/>
      <c r="K68" s="1"/>
      <c r="L68" s="93"/>
      <c r="M68" s="132"/>
      <c r="N68" s="2"/>
      <c r="O68" s="144"/>
    </row>
    <row r="69" spans="1:15" ht="39.9" customHeight="1" x14ac:dyDescent="0.55000000000000004">
      <c r="A69" s="4"/>
      <c r="B69" s="10"/>
      <c r="C69" s="10"/>
      <c r="D69" s="10"/>
      <c r="E69" s="10"/>
      <c r="F69" s="4"/>
      <c r="G69" s="4"/>
      <c r="H69" s="4"/>
      <c r="I69" s="4"/>
      <c r="J69" s="4"/>
      <c r="K69" s="1"/>
      <c r="L69" s="93"/>
      <c r="M69" s="132"/>
      <c r="N69" s="2"/>
      <c r="O69" s="144"/>
    </row>
    <row r="70" spans="1:15" ht="39.9" customHeight="1" x14ac:dyDescent="0.55000000000000004">
      <c r="A70" s="4"/>
      <c r="B70" s="10"/>
      <c r="C70" s="10"/>
      <c r="D70" s="10"/>
      <c r="E70" s="10"/>
      <c r="F70" s="4"/>
      <c r="G70" s="4"/>
      <c r="H70" s="4"/>
      <c r="I70" s="4"/>
      <c r="J70" s="4"/>
      <c r="K70" s="1"/>
      <c r="L70" s="93"/>
      <c r="M70" s="132"/>
      <c r="N70" s="2"/>
      <c r="O70" s="144"/>
    </row>
    <row r="71" spans="1:15" ht="39.9" customHeight="1" x14ac:dyDescent="0.55000000000000004">
      <c r="A71" s="4"/>
      <c r="B71" s="10"/>
      <c r="C71" s="10"/>
      <c r="D71" s="10"/>
      <c r="E71" s="10"/>
      <c r="F71" s="4"/>
      <c r="G71" s="4"/>
      <c r="H71" s="4"/>
      <c r="I71" s="4"/>
      <c r="J71" s="4"/>
      <c r="K71" s="1"/>
      <c r="L71" s="93"/>
      <c r="M71" s="132"/>
      <c r="N71" s="2"/>
      <c r="O71" s="144"/>
    </row>
    <row r="72" spans="1:15" ht="39.9" customHeight="1" x14ac:dyDescent="0.55000000000000004">
      <c r="A72" s="4"/>
      <c r="B72" s="10"/>
      <c r="C72" s="10"/>
      <c r="D72" s="10"/>
      <c r="E72" s="10"/>
      <c r="F72" s="4"/>
      <c r="G72" s="4"/>
      <c r="H72" s="4"/>
      <c r="I72" s="4"/>
      <c r="J72" s="4"/>
      <c r="K72" s="1"/>
      <c r="L72" s="93"/>
      <c r="M72" s="132"/>
      <c r="N72" s="2"/>
      <c r="O72" s="144"/>
    </row>
    <row r="73" spans="1:15" ht="39.9" customHeight="1" x14ac:dyDescent="0.55000000000000004">
      <c r="A73" s="4"/>
      <c r="B73" s="10"/>
      <c r="C73" s="10"/>
      <c r="D73" s="10"/>
      <c r="E73" s="10"/>
      <c r="F73" s="4"/>
      <c r="G73" s="4"/>
      <c r="H73" s="4"/>
      <c r="I73" s="4"/>
      <c r="J73" s="4"/>
      <c r="K73" s="1"/>
      <c r="L73" s="93"/>
      <c r="M73" s="132"/>
      <c r="N73" s="2"/>
      <c r="O73" s="144"/>
    </row>
    <row r="74" spans="1:15" ht="39.9" customHeight="1" x14ac:dyDescent="0.55000000000000004">
      <c r="A74" s="4"/>
      <c r="B74" s="10"/>
      <c r="C74" s="10"/>
      <c r="D74" s="10"/>
      <c r="E74" s="10"/>
      <c r="F74" s="4"/>
      <c r="G74" s="4"/>
      <c r="H74" s="4"/>
      <c r="I74" s="4"/>
      <c r="J74" s="4"/>
      <c r="K74" s="1"/>
      <c r="L74" s="93"/>
      <c r="M74" s="132"/>
      <c r="N74" s="2"/>
      <c r="O74" s="144"/>
    </row>
    <row r="75" spans="1:15" ht="39.9" customHeight="1" x14ac:dyDescent="0.55000000000000004">
      <c r="A75" s="4"/>
      <c r="B75" s="10"/>
      <c r="C75" s="10"/>
      <c r="D75" s="10"/>
      <c r="E75" s="10"/>
      <c r="F75" s="4"/>
      <c r="G75" s="4"/>
      <c r="H75" s="4"/>
      <c r="I75" s="4"/>
      <c r="J75" s="4"/>
      <c r="K75" s="1"/>
      <c r="L75" s="93"/>
      <c r="M75" s="132"/>
      <c r="N75" s="2"/>
      <c r="O75" s="144"/>
    </row>
    <row r="76" spans="1:15" ht="39.9" customHeight="1" x14ac:dyDescent="0.55000000000000004">
      <c r="A76" s="4"/>
      <c r="B76" s="10"/>
      <c r="C76" s="10"/>
      <c r="D76" s="10"/>
      <c r="E76" s="10"/>
      <c r="F76" s="4"/>
      <c r="G76" s="4"/>
      <c r="H76" s="4"/>
      <c r="I76" s="4"/>
      <c r="J76" s="4"/>
      <c r="K76" s="1"/>
      <c r="L76" s="93"/>
      <c r="M76" s="132"/>
      <c r="N76" s="2"/>
      <c r="O76" s="144"/>
    </row>
    <row r="77" spans="1:15" ht="39.9" customHeight="1" x14ac:dyDescent="0.55000000000000004">
      <c r="A77" s="4"/>
      <c r="B77" s="10"/>
      <c r="C77" s="10"/>
      <c r="D77" s="10"/>
      <c r="E77" s="10"/>
      <c r="F77" s="4"/>
      <c r="G77" s="4"/>
      <c r="H77" s="4"/>
      <c r="I77" s="4"/>
      <c r="J77" s="4"/>
      <c r="K77" s="1"/>
      <c r="L77" s="93"/>
      <c r="M77" s="132"/>
      <c r="N77" s="2"/>
      <c r="O77" s="144"/>
    </row>
    <row r="78" spans="1:15" ht="39.9" customHeight="1" x14ac:dyDescent="0.55000000000000004">
      <c r="A78" s="4"/>
      <c r="B78" s="10"/>
      <c r="C78" s="10"/>
      <c r="D78" s="10"/>
      <c r="E78" s="10"/>
      <c r="F78" s="4"/>
      <c r="G78" s="4"/>
      <c r="H78" s="4"/>
      <c r="I78" s="4"/>
      <c r="J78" s="4"/>
      <c r="K78" s="1"/>
      <c r="L78" s="93"/>
      <c r="M78" s="132"/>
      <c r="N78" s="2"/>
      <c r="O78" s="144"/>
    </row>
    <row r="79" spans="1:15" ht="39.9" customHeight="1" x14ac:dyDescent="0.55000000000000004">
      <c r="A79" s="4"/>
      <c r="B79" s="10"/>
      <c r="C79" s="10"/>
      <c r="D79" s="10"/>
      <c r="E79" s="10"/>
      <c r="F79" s="4"/>
      <c r="G79" s="4"/>
      <c r="H79" s="4"/>
      <c r="I79" s="4"/>
      <c r="J79" s="4"/>
      <c r="K79" s="1"/>
      <c r="L79" s="93"/>
      <c r="M79" s="132"/>
      <c r="N79" s="2"/>
      <c r="O79" s="144"/>
    </row>
    <row r="80" spans="1:15" ht="39.9" customHeight="1" x14ac:dyDescent="0.55000000000000004">
      <c r="A80" s="4"/>
      <c r="B80" s="10"/>
      <c r="C80" s="10"/>
      <c r="D80" s="10"/>
      <c r="E80" s="10"/>
      <c r="F80" s="4"/>
      <c r="G80" s="4"/>
      <c r="H80" s="4"/>
      <c r="I80" s="4"/>
      <c r="J80" s="4"/>
      <c r="K80" s="1"/>
      <c r="L80" s="93"/>
      <c r="M80" s="132"/>
      <c r="N80" s="2"/>
      <c r="O80" s="144"/>
    </row>
    <row r="81" spans="1:15" ht="39.9" customHeight="1" x14ac:dyDescent="0.55000000000000004">
      <c r="A81" s="4"/>
      <c r="B81" s="10"/>
      <c r="C81" s="10"/>
      <c r="D81" s="10"/>
      <c r="E81" s="10"/>
      <c r="F81" s="4"/>
      <c r="G81" s="4"/>
      <c r="H81" s="4"/>
      <c r="I81" s="4"/>
      <c r="J81" s="4"/>
      <c r="K81" s="1"/>
      <c r="L81" s="93"/>
      <c r="M81" s="132"/>
      <c r="N81" s="2"/>
      <c r="O81" s="144"/>
    </row>
    <row r="82" spans="1:15" ht="39.9" customHeight="1" x14ac:dyDescent="0.55000000000000004">
      <c r="A82" s="4"/>
      <c r="B82" s="10"/>
      <c r="C82" s="10"/>
      <c r="D82" s="10"/>
      <c r="E82" s="10"/>
      <c r="F82" s="4"/>
      <c r="G82" s="4"/>
      <c r="H82" s="4"/>
      <c r="I82" s="4"/>
      <c r="J82" s="4"/>
      <c r="K82" s="1"/>
      <c r="L82" s="93"/>
      <c r="M82" s="132"/>
      <c r="N82" s="2"/>
      <c r="O82" s="144"/>
    </row>
    <row r="83" spans="1:15" ht="39.9" customHeight="1" x14ac:dyDescent="0.55000000000000004">
      <c r="A83" s="4"/>
      <c r="B83" s="10"/>
      <c r="C83" s="10"/>
      <c r="D83" s="10"/>
      <c r="E83" s="10"/>
      <c r="F83" s="4"/>
      <c r="G83" s="4"/>
      <c r="H83" s="4"/>
      <c r="I83" s="4"/>
      <c r="J83" s="4"/>
      <c r="K83" s="1"/>
      <c r="L83" s="93"/>
      <c r="M83" s="132"/>
      <c r="N83" s="2"/>
      <c r="O83" s="144"/>
    </row>
    <row r="84" spans="1:15" ht="39.9" customHeight="1" x14ac:dyDescent="0.55000000000000004">
      <c r="A84" s="4"/>
      <c r="B84" s="10"/>
      <c r="C84" s="10"/>
      <c r="D84" s="10"/>
      <c r="E84" s="10"/>
      <c r="F84" s="4"/>
      <c r="G84" s="4"/>
      <c r="H84" s="4"/>
      <c r="I84" s="4"/>
      <c r="J84" s="4"/>
      <c r="K84" s="1"/>
      <c r="L84" s="93"/>
      <c r="M84" s="132"/>
      <c r="N84" s="2"/>
      <c r="O84" s="144"/>
    </row>
    <row r="85" spans="1:15" ht="39.9" customHeight="1" x14ac:dyDescent="0.55000000000000004">
      <c r="A85" s="4"/>
      <c r="B85" s="10"/>
      <c r="C85" s="10"/>
      <c r="D85" s="10"/>
      <c r="E85" s="10"/>
      <c r="F85" s="4"/>
      <c r="G85" s="4"/>
      <c r="H85" s="4"/>
      <c r="I85" s="4"/>
      <c r="J85" s="4"/>
      <c r="K85" s="1"/>
      <c r="L85" s="93"/>
      <c r="M85" s="132"/>
      <c r="N85" s="2"/>
      <c r="O85" s="144"/>
    </row>
    <row r="86" spans="1:15" ht="39.9" customHeight="1" x14ac:dyDescent="0.55000000000000004">
      <c r="A86" s="4"/>
      <c r="B86" s="10"/>
      <c r="C86" s="10"/>
      <c r="D86" s="10"/>
      <c r="E86" s="10"/>
      <c r="F86" s="4"/>
      <c r="G86" s="4"/>
      <c r="H86" s="4"/>
      <c r="I86" s="4"/>
      <c r="J86" s="4"/>
      <c r="K86" s="1"/>
      <c r="L86" s="93"/>
      <c r="M86" s="132"/>
      <c r="N86" s="2"/>
      <c r="O86" s="144"/>
    </row>
    <row r="87" spans="1:15" ht="39.9" customHeight="1" x14ac:dyDescent="0.55000000000000004">
      <c r="A87" s="4"/>
      <c r="B87" s="10"/>
      <c r="C87" s="10"/>
      <c r="D87" s="10"/>
      <c r="E87" s="10"/>
      <c r="F87" s="4"/>
      <c r="G87" s="4"/>
      <c r="H87" s="4"/>
      <c r="I87" s="4"/>
      <c r="J87" s="4"/>
      <c r="K87" s="1"/>
      <c r="L87" s="93"/>
      <c r="M87" s="132"/>
      <c r="N87" s="2"/>
      <c r="O87" s="144"/>
    </row>
    <row r="88" spans="1:15" ht="39.9" customHeight="1" x14ac:dyDescent="0.55000000000000004">
      <c r="A88" s="4"/>
      <c r="B88" s="10"/>
      <c r="C88" s="10"/>
      <c r="D88" s="10"/>
      <c r="E88" s="10"/>
      <c r="F88" s="4"/>
      <c r="G88" s="4"/>
      <c r="H88" s="4"/>
      <c r="I88" s="4"/>
      <c r="J88" s="4"/>
      <c r="K88" s="1"/>
      <c r="L88" s="93"/>
      <c r="M88" s="132"/>
      <c r="N88" s="2"/>
      <c r="O88" s="144"/>
    </row>
    <row r="89" spans="1:15" ht="39.9" customHeight="1" x14ac:dyDescent="0.55000000000000004">
      <c r="A89" s="4"/>
      <c r="B89" s="10"/>
      <c r="C89" s="10"/>
      <c r="D89" s="10"/>
      <c r="E89" s="10"/>
      <c r="F89" s="4"/>
      <c r="G89" s="4"/>
      <c r="H89" s="4"/>
      <c r="I89" s="4"/>
      <c r="J89" s="4"/>
      <c r="K89" s="1"/>
      <c r="L89" s="93"/>
      <c r="M89" s="132"/>
      <c r="N89" s="2"/>
      <c r="O89" s="144"/>
    </row>
    <row r="90" spans="1:15" ht="39.9" customHeight="1" x14ac:dyDescent="0.55000000000000004">
      <c r="A90" s="4"/>
      <c r="B90" s="10"/>
      <c r="C90" s="10"/>
      <c r="D90" s="10"/>
      <c r="E90" s="10"/>
      <c r="F90" s="4"/>
      <c r="G90" s="4"/>
      <c r="H90" s="4"/>
      <c r="I90" s="4"/>
      <c r="J90" s="4"/>
      <c r="K90" s="1"/>
      <c r="L90" s="93"/>
      <c r="M90" s="132"/>
      <c r="N90" s="2"/>
      <c r="O90" s="144"/>
    </row>
    <row r="91" spans="1:15" ht="39.9" customHeight="1" x14ac:dyDescent="0.55000000000000004">
      <c r="A91" s="4"/>
      <c r="B91" s="10"/>
      <c r="C91" s="10"/>
      <c r="D91" s="10"/>
      <c r="E91" s="10"/>
      <c r="F91" s="4"/>
      <c r="G91" s="4"/>
      <c r="H91" s="4"/>
      <c r="I91" s="4"/>
      <c r="J91" s="4"/>
      <c r="K91" s="1"/>
      <c r="L91" s="93"/>
      <c r="M91" s="132"/>
      <c r="N91" s="2"/>
      <c r="O91" s="144"/>
    </row>
    <row r="92" spans="1:15" ht="39.9" customHeight="1" x14ac:dyDescent="0.55000000000000004">
      <c r="A92" s="4"/>
      <c r="B92" s="10"/>
      <c r="C92" s="10"/>
      <c r="D92" s="10"/>
      <c r="E92" s="10"/>
      <c r="F92" s="4"/>
      <c r="G92" s="4"/>
      <c r="H92" s="4"/>
      <c r="I92" s="4"/>
      <c r="J92" s="4"/>
      <c r="K92" s="1"/>
      <c r="L92" s="93"/>
      <c r="M92" s="132"/>
      <c r="N92" s="2"/>
      <c r="O92" s="144"/>
    </row>
    <row r="93" spans="1:15" ht="39.9" customHeight="1" x14ac:dyDescent="0.55000000000000004">
      <c r="A93" s="4"/>
      <c r="B93" s="10"/>
      <c r="C93" s="10"/>
      <c r="D93" s="10"/>
      <c r="E93" s="10"/>
      <c r="F93" s="4"/>
      <c r="G93" s="4"/>
      <c r="H93" s="4"/>
      <c r="I93" s="4"/>
      <c r="J93" s="4"/>
      <c r="K93" s="1"/>
      <c r="L93" s="93"/>
      <c r="M93" s="132"/>
      <c r="N93" s="2"/>
      <c r="O93" s="144"/>
    </row>
    <row r="94" spans="1:15" ht="39.9" customHeight="1" x14ac:dyDescent="0.55000000000000004">
      <c r="A94" s="4">
        <v>62</v>
      </c>
      <c r="B94" s="10"/>
      <c r="C94" s="10"/>
      <c r="D94" s="10"/>
      <c r="E94" s="10"/>
      <c r="F94" s="4"/>
      <c r="G94" s="4"/>
      <c r="H94" s="4">
        <f>I94-N94</f>
        <v>0</v>
      </c>
      <c r="I94" s="4"/>
      <c r="J94" s="4">
        <f>K94-I94</f>
        <v>0</v>
      </c>
      <c r="K94" s="1"/>
      <c r="L94" s="93"/>
      <c r="M94" s="132"/>
      <c r="N94" s="2"/>
      <c r="O94" s="144"/>
    </row>
    <row r="95" spans="1:15" ht="39.9" customHeight="1" x14ac:dyDescent="0.55000000000000004">
      <c r="A95" s="443" t="s">
        <v>3</v>
      </c>
      <c r="B95" s="443"/>
      <c r="C95" s="443"/>
      <c r="D95" s="443"/>
      <c r="E95" s="443"/>
      <c r="F95" s="4"/>
      <c r="G95" s="4"/>
      <c r="H95" s="4">
        <f>SUM(H8:H94)</f>
        <v>541149.35000000009</v>
      </c>
      <c r="I95" s="4">
        <f>SUM(I8:I94)</f>
        <v>541149.35000000009</v>
      </c>
      <c r="J95" s="4">
        <f>SUM(J8:J94)</f>
        <v>0</v>
      </c>
      <c r="K95" s="4">
        <f>SUM(K8:K94)</f>
        <v>541149.35000000009</v>
      </c>
      <c r="L95" s="93"/>
      <c r="M95" s="132">
        <f>SUM(M8:M94)</f>
        <v>0</v>
      </c>
      <c r="N95" s="4">
        <f>SUM(N8:N94)</f>
        <v>0</v>
      </c>
      <c r="O95" s="144"/>
    </row>
    <row r="96" spans="1:15" ht="39.9" customHeight="1" x14ac:dyDescent="0.6">
      <c r="A96" s="5"/>
      <c r="B96" s="5"/>
      <c r="C96" s="5"/>
      <c r="D96" s="5"/>
      <c r="E96" s="5"/>
      <c r="F96" s="5"/>
      <c r="G96" s="5"/>
      <c r="H96" s="5"/>
      <c r="I96" s="5"/>
      <c r="J96" s="5"/>
      <c r="K96" s="8"/>
      <c r="L96" s="131"/>
      <c r="M96" s="133"/>
      <c r="N96" s="7"/>
      <c r="O96" s="144"/>
    </row>
  </sheetData>
  <autoFilter ref="A4:O14" xr:uid="{517BCC1D-8DA2-45B7-9FB0-4E8811EC4C0F}"/>
  <mergeCells count="2">
    <mergeCell ref="A1:O2"/>
    <mergeCell ref="A95:E95"/>
  </mergeCells>
  <phoneticPr fontId="5" type="noConversion"/>
  <printOptions horizontalCentered="1" verticalCentered="1"/>
  <pageMargins left="0" right="0" top="0" bottom="0" header="0" footer="0"/>
  <pageSetup scale="28" orientation="landscape" r:id="rId1"/>
  <rowBreaks count="1" manualBreakCount="1">
    <brk id="2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2662-7078-4879-8C8D-7B96B9125683}">
  <dimension ref="A1:R129"/>
  <sheetViews>
    <sheetView rightToLeft="1" view="pageBreakPreview" zoomScale="40" zoomScaleNormal="40" zoomScaleSheetLayoutView="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ColWidth="8.88671875" defaultRowHeight="28.8" x14ac:dyDescent="0.55000000000000004"/>
  <cols>
    <col min="1" max="1" width="10.109375" style="6" customWidth="1"/>
    <col min="2" max="2" width="84" style="6" customWidth="1"/>
    <col min="3" max="3" width="48.33203125" style="6" hidden="1" customWidth="1"/>
    <col min="4" max="4" width="25.6640625" style="6" hidden="1" customWidth="1"/>
    <col min="5" max="5" width="62.109375" style="6" customWidth="1"/>
    <col min="6" max="6" width="60.33203125" style="6" customWidth="1"/>
    <col min="7" max="7" width="21.6640625" style="6" customWidth="1"/>
    <col min="8" max="8" width="35.33203125" style="6" customWidth="1"/>
    <col min="9" max="9" width="32" style="6" customWidth="1"/>
    <col min="10" max="10" width="27.33203125" style="6" customWidth="1"/>
    <col min="11" max="11" width="27.33203125" style="9" bestFit="1" customWidth="1"/>
    <col min="12" max="12" width="27.33203125" style="9" customWidth="1"/>
    <col min="13" max="14" width="26.109375" style="3" bestFit="1" customWidth="1"/>
    <col min="15" max="15" width="22.6640625" style="55" customWidth="1"/>
    <col min="16" max="16384" width="8.88671875" style="6"/>
  </cols>
  <sheetData>
    <row r="1" spans="1:18" ht="63.75" customHeight="1" x14ac:dyDescent="0.3">
      <c r="A1" s="433" t="s">
        <v>1308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</row>
    <row r="2" spans="1:18" ht="63.75" customHeight="1" x14ac:dyDescent="0.3">
      <c r="A2" s="439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</row>
    <row r="3" spans="1:18" ht="63" customHeight="1" thickBot="1" x14ac:dyDescent="0.6">
      <c r="A3" s="134"/>
      <c r="B3" s="134"/>
      <c r="C3" s="134"/>
      <c r="D3" s="134"/>
      <c r="E3" s="134"/>
      <c r="F3" s="134"/>
      <c r="G3" s="134"/>
      <c r="H3" s="65">
        <f>H128</f>
        <v>1118030.5900000001</v>
      </c>
      <c r="I3" s="65">
        <f>I128</f>
        <v>1131540.5900000001</v>
      </c>
      <c r="J3" s="65">
        <f>J128</f>
        <v>0</v>
      </c>
      <c r="K3" s="65">
        <f>K128</f>
        <v>1131540.5900000001</v>
      </c>
      <c r="L3" s="65"/>
      <c r="M3" s="65">
        <f>M128</f>
        <v>13510</v>
      </c>
      <c r="N3" s="65">
        <f>N128</f>
        <v>13510</v>
      </c>
    </row>
    <row r="4" spans="1:18" ht="63" thickBot="1" x14ac:dyDescent="0.35">
      <c r="A4" s="137" t="s">
        <v>1</v>
      </c>
      <c r="B4" s="138" t="s">
        <v>481</v>
      </c>
      <c r="C4" s="138" t="s">
        <v>309</v>
      </c>
      <c r="D4" s="138" t="s">
        <v>284</v>
      </c>
      <c r="E4" s="138" t="s">
        <v>5</v>
      </c>
      <c r="F4" s="28" t="s">
        <v>492</v>
      </c>
      <c r="G4" s="111" t="s">
        <v>970</v>
      </c>
      <c r="H4" s="138" t="s">
        <v>484</v>
      </c>
      <c r="I4" s="139" t="s">
        <v>60</v>
      </c>
      <c r="J4" s="138" t="s">
        <v>61</v>
      </c>
      <c r="K4" s="139" t="s">
        <v>2</v>
      </c>
      <c r="L4" s="140" t="s">
        <v>1241</v>
      </c>
      <c r="M4" s="141" t="s">
        <v>1240</v>
      </c>
      <c r="N4" s="142" t="s">
        <v>1207</v>
      </c>
      <c r="O4" s="143" t="s">
        <v>1142</v>
      </c>
    </row>
    <row r="5" spans="1:18" ht="31.2" x14ac:dyDescent="0.4">
      <c r="A5" s="57">
        <v>0</v>
      </c>
      <c r="B5" s="58" t="s">
        <v>1305</v>
      </c>
      <c r="C5" s="58" t="s">
        <v>1305</v>
      </c>
      <c r="D5" s="58" t="s">
        <v>1305</v>
      </c>
      <c r="E5" s="58" t="s">
        <v>1305</v>
      </c>
      <c r="F5" s="57" t="s">
        <v>14</v>
      </c>
      <c r="G5" s="57">
        <v>1</v>
      </c>
      <c r="H5" s="57">
        <v>0</v>
      </c>
      <c r="I5" s="57">
        <v>0</v>
      </c>
      <c r="J5" s="57">
        <f>K5-I5</f>
        <v>0</v>
      </c>
      <c r="K5" s="56">
        <v>0</v>
      </c>
      <c r="L5" s="135">
        <f>H5-K5</f>
        <v>0</v>
      </c>
      <c r="M5" s="136"/>
      <c r="N5" s="74"/>
      <c r="O5" s="118"/>
      <c r="R5" s="145" t="s">
        <v>1242</v>
      </c>
    </row>
    <row r="6" spans="1:18" ht="33.75" customHeight="1" x14ac:dyDescent="0.3">
      <c r="A6" s="4">
        <v>1</v>
      </c>
      <c r="B6" s="10" t="s">
        <v>1217</v>
      </c>
      <c r="C6" s="10" t="s">
        <v>316</v>
      </c>
      <c r="D6" s="10" t="s">
        <v>1187</v>
      </c>
      <c r="E6" s="10" t="s">
        <v>1312</v>
      </c>
      <c r="F6" s="10" t="s">
        <v>1309</v>
      </c>
      <c r="G6" s="4">
        <v>12</v>
      </c>
      <c r="H6" s="4">
        <f t="shared" ref="H6:H9" si="0">I6-N6</f>
        <v>281995</v>
      </c>
      <c r="I6" s="4">
        <v>281995</v>
      </c>
      <c r="J6" s="4">
        <f t="shared" ref="J6:J9" si="1">K6-I6</f>
        <v>0</v>
      </c>
      <c r="K6" s="1">
        <v>281995</v>
      </c>
      <c r="L6" s="135">
        <f t="shared" ref="L6:L9" si="2">N6-M6</f>
        <v>0</v>
      </c>
      <c r="M6" s="132"/>
      <c r="N6" s="2"/>
      <c r="O6" s="112"/>
    </row>
    <row r="7" spans="1:18" ht="33.75" customHeight="1" x14ac:dyDescent="0.3">
      <c r="A7" s="4">
        <v>2</v>
      </c>
      <c r="B7" s="10" t="s">
        <v>1217</v>
      </c>
      <c r="C7" s="10" t="s">
        <v>316</v>
      </c>
      <c r="D7" s="10" t="s">
        <v>1187</v>
      </c>
      <c r="E7" s="10" t="s">
        <v>1312</v>
      </c>
      <c r="F7" s="10" t="s">
        <v>1310</v>
      </c>
      <c r="G7" s="4">
        <v>13</v>
      </c>
      <c r="H7" s="4">
        <f t="shared" ref="H7:H8" si="3">I7-N7</f>
        <v>189520</v>
      </c>
      <c r="I7" s="4">
        <v>189520</v>
      </c>
      <c r="J7" s="4">
        <f t="shared" ref="J7:J8" si="4">K7-I7</f>
        <v>0</v>
      </c>
      <c r="K7" s="1">
        <v>189520</v>
      </c>
      <c r="L7" s="135">
        <f t="shared" ref="L7:L8" si="5">N7-M7</f>
        <v>0</v>
      </c>
      <c r="M7" s="132"/>
      <c r="N7" s="2"/>
      <c r="O7" s="112"/>
    </row>
    <row r="8" spans="1:18" ht="33.75" customHeight="1" x14ac:dyDescent="0.3">
      <c r="A8" s="4">
        <v>2</v>
      </c>
      <c r="B8" s="10" t="s">
        <v>1217</v>
      </c>
      <c r="C8" s="10" t="s">
        <v>316</v>
      </c>
      <c r="D8" s="10" t="s">
        <v>1187</v>
      </c>
      <c r="E8" s="10" t="s">
        <v>1312</v>
      </c>
      <c r="F8" s="10" t="s">
        <v>1334</v>
      </c>
      <c r="G8" s="4">
        <v>7</v>
      </c>
      <c r="H8" s="4">
        <f t="shared" si="3"/>
        <v>55185</v>
      </c>
      <c r="I8" s="4">
        <v>55185</v>
      </c>
      <c r="J8" s="4">
        <f t="shared" si="4"/>
        <v>0</v>
      </c>
      <c r="K8" s="1">
        <v>55185</v>
      </c>
      <c r="L8" s="135">
        <f t="shared" si="5"/>
        <v>0</v>
      </c>
      <c r="M8" s="132"/>
      <c r="N8" s="2"/>
      <c r="O8" s="112"/>
    </row>
    <row r="9" spans="1:18" ht="33.75" customHeight="1" x14ac:dyDescent="0.3">
      <c r="A9" s="4">
        <v>2</v>
      </c>
      <c r="B9" s="10" t="s">
        <v>1217</v>
      </c>
      <c r="C9" s="10" t="s">
        <v>316</v>
      </c>
      <c r="D9" s="10" t="s">
        <v>1187</v>
      </c>
      <c r="E9" s="10" t="s">
        <v>1312</v>
      </c>
      <c r="F9" s="10" t="s">
        <v>1335</v>
      </c>
      <c r="G9" s="4">
        <v>12</v>
      </c>
      <c r="H9" s="4">
        <f t="shared" si="0"/>
        <v>192240</v>
      </c>
      <c r="I9" s="4">
        <v>192240</v>
      </c>
      <c r="J9" s="4">
        <f t="shared" si="1"/>
        <v>0</v>
      </c>
      <c r="K9" s="1">
        <v>192240</v>
      </c>
      <c r="L9" s="135">
        <f t="shared" si="2"/>
        <v>0</v>
      </c>
      <c r="M9" s="132"/>
      <c r="N9" s="2"/>
      <c r="O9" s="112"/>
    </row>
    <row r="10" spans="1:18" ht="39.9" customHeight="1" x14ac:dyDescent="0.3">
      <c r="A10" s="4">
        <v>3</v>
      </c>
      <c r="B10" s="10" t="s">
        <v>19</v>
      </c>
      <c r="C10" s="10" t="s">
        <v>973</v>
      </c>
      <c r="D10" s="10" t="s">
        <v>1288</v>
      </c>
      <c r="E10" s="10" t="s">
        <v>533</v>
      </c>
      <c r="F10" s="4" t="s">
        <v>1354</v>
      </c>
      <c r="G10" s="4">
        <v>7</v>
      </c>
      <c r="H10" s="4">
        <f t="shared" ref="H10" si="6">I10-N10</f>
        <v>370015.5</v>
      </c>
      <c r="I10" s="4">
        <v>370015.5</v>
      </c>
      <c r="J10" s="4">
        <f t="shared" ref="J10:J15" si="7">K10-I10</f>
        <v>0</v>
      </c>
      <c r="K10" s="1">
        <v>370015.5</v>
      </c>
      <c r="L10" s="135">
        <f t="shared" ref="L10:L19" si="8">N10-M10</f>
        <v>0</v>
      </c>
      <c r="M10" s="132"/>
      <c r="N10" s="2"/>
      <c r="O10" s="112"/>
    </row>
    <row r="11" spans="1:18" ht="31.2" x14ac:dyDescent="0.3">
      <c r="A11" s="4">
        <v>5</v>
      </c>
      <c r="B11" s="10" t="s">
        <v>1315</v>
      </c>
      <c r="C11" s="10"/>
      <c r="D11" s="10"/>
      <c r="E11" s="10" t="s">
        <v>533</v>
      </c>
      <c r="F11" s="4" t="s">
        <v>1314</v>
      </c>
      <c r="G11" s="4">
        <v>1</v>
      </c>
      <c r="H11" s="4">
        <f t="shared" ref="H11:H15" si="9">I11-N11</f>
        <v>12079.84</v>
      </c>
      <c r="I11" s="4">
        <v>12079.84</v>
      </c>
      <c r="J11" s="4">
        <f t="shared" si="7"/>
        <v>0</v>
      </c>
      <c r="K11" s="1">
        <v>12079.84</v>
      </c>
      <c r="L11" s="135">
        <f t="shared" si="8"/>
        <v>0</v>
      </c>
      <c r="M11" s="132"/>
      <c r="N11" s="2"/>
      <c r="O11" s="112"/>
    </row>
    <row r="12" spans="1:18" ht="33.75" customHeight="1" x14ac:dyDescent="0.3">
      <c r="A12" s="4">
        <v>7</v>
      </c>
      <c r="B12" s="10" t="s">
        <v>1163</v>
      </c>
      <c r="C12" s="10" t="s">
        <v>316</v>
      </c>
      <c r="D12" s="10" t="s">
        <v>1187</v>
      </c>
      <c r="E12" s="10" t="s">
        <v>1312</v>
      </c>
      <c r="F12" s="10" t="s">
        <v>1288</v>
      </c>
      <c r="G12" s="4">
        <v>1</v>
      </c>
      <c r="H12" s="4">
        <f t="shared" si="9"/>
        <v>3900</v>
      </c>
      <c r="I12" s="4">
        <v>3900</v>
      </c>
      <c r="J12" s="4">
        <f t="shared" si="7"/>
        <v>0</v>
      </c>
      <c r="K12" s="1">
        <v>3900</v>
      </c>
      <c r="L12" s="135">
        <f t="shared" si="8"/>
        <v>0</v>
      </c>
      <c r="M12" s="132"/>
      <c r="N12" s="2"/>
      <c r="O12" s="112"/>
    </row>
    <row r="13" spans="1:18" ht="33.75" customHeight="1" x14ac:dyDescent="0.3">
      <c r="A13" s="4">
        <v>7</v>
      </c>
      <c r="B13" s="10" t="s">
        <v>1163</v>
      </c>
      <c r="C13" s="10" t="s">
        <v>316</v>
      </c>
      <c r="D13" s="10" t="s">
        <v>1187</v>
      </c>
      <c r="E13" s="10" t="s">
        <v>1312</v>
      </c>
      <c r="F13" s="10" t="s">
        <v>1310</v>
      </c>
      <c r="G13" s="4">
        <v>1</v>
      </c>
      <c r="H13" s="4">
        <f t="shared" si="9"/>
        <v>3900</v>
      </c>
      <c r="I13" s="4">
        <v>3900</v>
      </c>
      <c r="J13" s="4">
        <f t="shared" si="7"/>
        <v>0</v>
      </c>
      <c r="K13" s="1">
        <v>3900</v>
      </c>
      <c r="L13" s="135">
        <f t="shared" si="8"/>
        <v>0</v>
      </c>
      <c r="M13" s="132"/>
      <c r="N13" s="2"/>
      <c r="O13" s="112"/>
    </row>
    <row r="14" spans="1:18" ht="33.75" customHeight="1" x14ac:dyDescent="0.3">
      <c r="A14" s="4">
        <v>7</v>
      </c>
      <c r="B14" s="10" t="s">
        <v>1163</v>
      </c>
      <c r="C14" s="10" t="s">
        <v>316</v>
      </c>
      <c r="D14" s="10" t="s">
        <v>1187</v>
      </c>
      <c r="E14" s="10" t="s">
        <v>1312</v>
      </c>
      <c r="F14" s="10" t="s">
        <v>14</v>
      </c>
      <c r="G14" s="4">
        <v>1</v>
      </c>
      <c r="H14" s="4">
        <f t="shared" ref="H14" si="10">I14-N14</f>
        <v>3300</v>
      </c>
      <c r="I14" s="4">
        <v>3300</v>
      </c>
      <c r="J14" s="4">
        <f t="shared" ref="J14" si="11">K14-I14</f>
        <v>0</v>
      </c>
      <c r="K14" s="1">
        <v>3300</v>
      </c>
      <c r="L14" s="135">
        <f t="shared" ref="L14" si="12">N14-M14</f>
        <v>0</v>
      </c>
      <c r="M14" s="132"/>
      <c r="N14" s="2"/>
      <c r="O14" s="112"/>
    </row>
    <row r="15" spans="1:18" ht="33.75" customHeight="1" x14ac:dyDescent="0.3">
      <c r="A15" s="4">
        <v>8</v>
      </c>
      <c r="B15" s="10" t="s">
        <v>1333</v>
      </c>
      <c r="C15" s="10" t="s">
        <v>316</v>
      </c>
      <c r="D15" s="10" t="s">
        <v>1187</v>
      </c>
      <c r="E15" s="10" t="s">
        <v>718</v>
      </c>
      <c r="F15" s="10" t="s">
        <v>1288</v>
      </c>
      <c r="G15" s="4">
        <v>1</v>
      </c>
      <c r="H15" s="4">
        <f t="shared" si="9"/>
        <v>11880</v>
      </c>
      <c r="I15" s="4">
        <v>11880</v>
      </c>
      <c r="J15" s="4">
        <f t="shared" si="7"/>
        <v>0</v>
      </c>
      <c r="K15" s="1">
        <v>11880</v>
      </c>
      <c r="L15" s="135">
        <f t="shared" si="8"/>
        <v>0</v>
      </c>
      <c r="M15" s="132"/>
      <c r="N15" s="2"/>
      <c r="O15" s="112"/>
    </row>
    <row r="16" spans="1:18" ht="33.75" customHeight="1" x14ac:dyDescent="0.3">
      <c r="A16" s="4">
        <v>8</v>
      </c>
      <c r="B16" s="10" t="s">
        <v>1333</v>
      </c>
      <c r="C16" s="10" t="s">
        <v>316</v>
      </c>
      <c r="D16" s="10" t="s">
        <v>1187</v>
      </c>
      <c r="E16" s="10" t="s">
        <v>1402</v>
      </c>
      <c r="F16" s="10" t="s">
        <v>1288</v>
      </c>
      <c r="G16" s="4">
        <v>2</v>
      </c>
      <c r="H16" s="4">
        <f t="shared" ref="H16" si="13">I16-N16</f>
        <v>0</v>
      </c>
      <c r="I16" s="4">
        <v>0</v>
      </c>
      <c r="J16" s="4">
        <f t="shared" ref="J16" si="14">K16-I16</f>
        <v>0</v>
      </c>
      <c r="K16" s="1">
        <v>0</v>
      </c>
      <c r="L16" s="135">
        <f t="shared" ref="L16" si="15">N16-M16</f>
        <v>0</v>
      </c>
      <c r="M16" s="132"/>
      <c r="N16" s="2"/>
      <c r="O16" s="112">
        <v>0.9</v>
      </c>
    </row>
    <row r="17" spans="1:15" ht="33.75" customHeight="1" x14ac:dyDescent="0.3">
      <c r="A17" s="4">
        <v>8</v>
      </c>
      <c r="B17" s="10" t="s">
        <v>1333</v>
      </c>
      <c r="C17" s="10" t="s">
        <v>316</v>
      </c>
      <c r="D17" s="10" t="s">
        <v>1187</v>
      </c>
      <c r="E17" s="10" t="s">
        <v>718</v>
      </c>
      <c r="F17" s="10" t="s">
        <v>1310</v>
      </c>
      <c r="G17" s="4">
        <v>1</v>
      </c>
      <c r="H17" s="4">
        <f t="shared" ref="H17:H19" si="16">I17-N17</f>
        <v>10260</v>
      </c>
      <c r="I17" s="4">
        <v>10260</v>
      </c>
      <c r="J17" s="4">
        <f t="shared" ref="J17:J19" si="17">K17-I17</f>
        <v>0</v>
      </c>
      <c r="K17" s="1">
        <v>10260</v>
      </c>
      <c r="L17" s="135">
        <f t="shared" ref="L17:L18" si="18">N17-M17</f>
        <v>0</v>
      </c>
      <c r="M17" s="132"/>
      <c r="N17" s="2"/>
      <c r="O17" s="112"/>
    </row>
    <row r="18" spans="1:15" ht="31.2" x14ac:dyDescent="0.3">
      <c r="A18" s="4">
        <v>8</v>
      </c>
      <c r="B18" s="10" t="s">
        <v>1333</v>
      </c>
      <c r="C18" s="10"/>
      <c r="D18" s="10"/>
      <c r="E18" s="10" t="s">
        <v>988</v>
      </c>
      <c r="F18" s="4" t="s">
        <v>1360</v>
      </c>
      <c r="G18" s="4">
        <v>4</v>
      </c>
      <c r="H18" s="4">
        <f t="shared" si="16"/>
        <v>23464.5</v>
      </c>
      <c r="I18" s="4">
        <v>23464.5</v>
      </c>
      <c r="J18" s="4">
        <f t="shared" si="17"/>
        <v>0</v>
      </c>
      <c r="K18" s="1">
        <v>23464.5</v>
      </c>
      <c r="L18" s="135">
        <f t="shared" si="18"/>
        <v>0</v>
      </c>
      <c r="M18" s="132"/>
      <c r="N18" s="2"/>
      <c r="O18" s="112">
        <v>0.95</v>
      </c>
    </row>
    <row r="19" spans="1:15" ht="31.2" x14ac:dyDescent="0.3">
      <c r="A19" s="4">
        <v>9</v>
      </c>
      <c r="B19" s="10" t="s">
        <v>1344</v>
      </c>
      <c r="C19" s="10"/>
      <c r="D19" s="10"/>
      <c r="E19" s="10" t="s">
        <v>1345</v>
      </c>
      <c r="F19" s="4" t="s">
        <v>14</v>
      </c>
      <c r="G19" s="4">
        <v>9</v>
      </c>
      <c r="H19" s="4">
        <f t="shared" si="16"/>
        <v>74570</v>
      </c>
      <c r="I19" s="4">
        <v>74570</v>
      </c>
      <c r="J19" s="4">
        <f t="shared" si="17"/>
        <v>0</v>
      </c>
      <c r="K19" s="157">
        <v>74570</v>
      </c>
      <c r="L19" s="135">
        <f t="shared" si="8"/>
        <v>0</v>
      </c>
      <c r="M19" s="132"/>
      <c r="N19" s="2"/>
      <c r="O19" s="112"/>
    </row>
    <row r="20" spans="1:15" ht="31.2" x14ac:dyDescent="0.3">
      <c r="A20" s="4">
        <v>10</v>
      </c>
      <c r="B20" s="10" t="s">
        <v>1355</v>
      </c>
      <c r="C20" s="10"/>
      <c r="D20" s="10"/>
      <c r="E20" s="10" t="s">
        <v>1356</v>
      </c>
      <c r="F20" s="4" t="s">
        <v>14</v>
      </c>
      <c r="G20" s="4">
        <v>2</v>
      </c>
      <c r="H20" s="4">
        <f t="shared" ref="H20" si="19">I20-N20</f>
        <v>12310</v>
      </c>
      <c r="I20" s="4">
        <v>24010</v>
      </c>
      <c r="J20" s="4">
        <f t="shared" ref="J20" si="20">K20-I20</f>
        <v>0</v>
      </c>
      <c r="K20" s="1">
        <v>24010</v>
      </c>
      <c r="L20" s="135">
        <f t="shared" ref="L20" si="21">N20-M20</f>
        <v>0</v>
      </c>
      <c r="M20" s="132">
        <v>11700</v>
      </c>
      <c r="N20" s="2">
        <v>11700</v>
      </c>
      <c r="O20" s="112"/>
    </row>
    <row r="21" spans="1:15" ht="29.25" customHeight="1" x14ac:dyDescent="0.3">
      <c r="A21" s="4">
        <v>11</v>
      </c>
      <c r="B21" s="10" t="s">
        <v>1363</v>
      </c>
      <c r="C21" s="10"/>
      <c r="D21" s="10"/>
      <c r="E21" s="10" t="s">
        <v>1345</v>
      </c>
      <c r="F21" s="4" t="s">
        <v>14</v>
      </c>
      <c r="G21" s="4">
        <v>1</v>
      </c>
      <c r="H21" s="4">
        <f t="shared" ref="H21" si="22">I21-N21</f>
        <v>11780</v>
      </c>
      <c r="I21" s="4">
        <v>11780</v>
      </c>
      <c r="J21" s="4">
        <f t="shared" ref="J21" si="23">K21-I21</f>
        <v>0</v>
      </c>
      <c r="K21" s="1">
        <v>11780</v>
      </c>
      <c r="L21" s="135">
        <f t="shared" ref="L21" si="24">N21-M21</f>
        <v>0</v>
      </c>
      <c r="M21" s="132"/>
      <c r="N21" s="2"/>
      <c r="O21" s="112"/>
    </row>
    <row r="22" spans="1:15" ht="31.2" x14ac:dyDescent="0.3">
      <c r="A22" s="4">
        <v>12</v>
      </c>
      <c r="B22" s="10" t="s">
        <v>1166</v>
      </c>
      <c r="C22" s="10"/>
      <c r="D22" s="10"/>
      <c r="E22" s="10" t="s">
        <v>726</v>
      </c>
      <c r="F22" s="4" t="s">
        <v>1360</v>
      </c>
      <c r="G22" s="4">
        <v>5</v>
      </c>
      <c r="H22" s="4">
        <f t="shared" ref="H22:H26" si="25">I22-N22</f>
        <v>32726.9</v>
      </c>
      <c r="I22" s="4">
        <v>33376.9</v>
      </c>
      <c r="J22" s="4">
        <f t="shared" ref="J22:J26" si="26">K22-I22</f>
        <v>0</v>
      </c>
      <c r="K22" s="1">
        <v>33376.9</v>
      </c>
      <c r="L22" s="135">
        <f t="shared" ref="L22:L26" si="27">N22-M22</f>
        <v>0</v>
      </c>
      <c r="M22" s="132">
        <v>650</v>
      </c>
      <c r="N22" s="2">
        <f>650</f>
        <v>650</v>
      </c>
      <c r="O22" s="112">
        <v>0.9</v>
      </c>
    </row>
    <row r="23" spans="1:15" ht="39.9" customHeight="1" x14ac:dyDescent="0.3">
      <c r="A23" s="4">
        <v>12</v>
      </c>
      <c r="B23" s="10" t="s">
        <v>1166</v>
      </c>
      <c r="C23" s="10"/>
      <c r="D23" s="10"/>
      <c r="E23" s="10" t="s">
        <v>726</v>
      </c>
      <c r="F23" s="4" t="s">
        <v>1335</v>
      </c>
      <c r="G23" s="4">
        <v>2</v>
      </c>
      <c r="H23" s="4">
        <f t="shared" ref="H23" si="28">I23-N23</f>
        <v>697.7</v>
      </c>
      <c r="I23" s="4">
        <v>697.7</v>
      </c>
      <c r="J23" s="4">
        <f t="shared" ref="J23" si="29">K23-I23</f>
        <v>0</v>
      </c>
      <c r="K23" s="1">
        <v>697.7</v>
      </c>
      <c r="L23" s="135">
        <f t="shared" ref="L23" si="30">N23-M23</f>
        <v>0</v>
      </c>
      <c r="M23" s="132">
        <v>0</v>
      </c>
      <c r="N23" s="2">
        <v>0</v>
      </c>
      <c r="O23" s="112">
        <v>0.9</v>
      </c>
    </row>
    <row r="24" spans="1:15" ht="39.9" customHeight="1" x14ac:dyDescent="0.3">
      <c r="A24" s="4">
        <v>12</v>
      </c>
      <c r="B24" s="10" t="s">
        <v>1166</v>
      </c>
      <c r="C24" s="10"/>
      <c r="D24" s="10"/>
      <c r="E24" s="10" t="s">
        <v>726</v>
      </c>
      <c r="F24" s="4" t="s">
        <v>1310</v>
      </c>
      <c r="G24" s="4">
        <v>4</v>
      </c>
      <c r="H24" s="4">
        <f t="shared" si="25"/>
        <v>25198</v>
      </c>
      <c r="I24" s="4">
        <v>25798</v>
      </c>
      <c r="J24" s="4">
        <f t="shared" si="26"/>
        <v>0</v>
      </c>
      <c r="K24" s="1">
        <v>25798</v>
      </c>
      <c r="L24" s="135">
        <f t="shared" si="27"/>
        <v>0</v>
      </c>
      <c r="M24" s="132">
        <v>600</v>
      </c>
      <c r="N24" s="2">
        <f>600</f>
        <v>600</v>
      </c>
      <c r="O24" s="112">
        <v>0.95</v>
      </c>
    </row>
    <row r="25" spans="1:15" ht="39.9" customHeight="1" x14ac:dyDescent="0.3">
      <c r="A25" s="4">
        <v>12</v>
      </c>
      <c r="B25" s="10" t="s">
        <v>1166</v>
      </c>
      <c r="C25" s="10"/>
      <c r="D25" s="10"/>
      <c r="E25" s="10" t="s">
        <v>816</v>
      </c>
      <c r="F25" s="4" t="s">
        <v>1360</v>
      </c>
      <c r="G25" s="4">
        <v>1</v>
      </c>
      <c r="H25" s="4">
        <f t="shared" ref="H25" si="31">I25-N25</f>
        <v>3465</v>
      </c>
      <c r="I25" s="4">
        <v>3465</v>
      </c>
      <c r="J25" s="4">
        <f t="shared" ref="J25" si="32">K25-I25</f>
        <v>0</v>
      </c>
      <c r="K25" s="1">
        <v>3465</v>
      </c>
      <c r="L25" s="135">
        <f t="shared" ref="L25" si="33">N25-M25</f>
        <v>0</v>
      </c>
      <c r="M25" s="132">
        <v>0</v>
      </c>
      <c r="N25" s="2">
        <v>0</v>
      </c>
      <c r="O25" s="112">
        <v>0.9</v>
      </c>
    </row>
    <row r="26" spans="1:15" ht="39.9" customHeight="1" x14ac:dyDescent="0.3">
      <c r="A26" s="4">
        <v>12</v>
      </c>
      <c r="B26" s="10" t="s">
        <v>1166</v>
      </c>
      <c r="C26" s="10"/>
      <c r="D26" s="10"/>
      <c r="E26" s="10" t="s">
        <v>816</v>
      </c>
      <c r="F26" s="4" t="s">
        <v>1310</v>
      </c>
      <c r="G26" s="4">
        <v>1</v>
      </c>
      <c r="H26" s="4">
        <f t="shared" si="25"/>
        <v>8493.75</v>
      </c>
      <c r="I26" s="4">
        <v>8493.75</v>
      </c>
      <c r="J26" s="4">
        <f t="shared" si="26"/>
        <v>0</v>
      </c>
      <c r="K26" s="1">
        <v>8493.75</v>
      </c>
      <c r="L26" s="135">
        <f t="shared" si="27"/>
        <v>0</v>
      </c>
      <c r="M26" s="132">
        <v>0</v>
      </c>
      <c r="N26" s="2">
        <v>0</v>
      </c>
      <c r="O26" s="112">
        <v>0.9</v>
      </c>
    </row>
    <row r="27" spans="1:15" ht="39.9" customHeight="1" x14ac:dyDescent="0.3">
      <c r="A27" s="4">
        <v>12</v>
      </c>
      <c r="B27" s="10" t="s">
        <v>1166</v>
      </c>
      <c r="C27" s="10"/>
      <c r="D27" s="10"/>
      <c r="E27" s="10" t="s">
        <v>1345</v>
      </c>
      <c r="F27" s="4" t="s">
        <v>14</v>
      </c>
      <c r="G27" s="4">
        <v>1</v>
      </c>
      <c r="H27" s="4">
        <f t="shared" ref="H27" si="34">I27-N27</f>
        <v>3400</v>
      </c>
      <c r="I27" s="4">
        <v>3400</v>
      </c>
      <c r="J27" s="4">
        <f t="shared" ref="J27" si="35">K27-I27</f>
        <v>0</v>
      </c>
      <c r="K27" s="1">
        <v>3400</v>
      </c>
      <c r="L27" s="135">
        <f t="shared" ref="L27" si="36">N27-M27</f>
        <v>0</v>
      </c>
      <c r="M27" s="132">
        <v>0</v>
      </c>
      <c r="N27" s="2">
        <v>0</v>
      </c>
      <c r="O27" s="112">
        <v>1</v>
      </c>
    </row>
    <row r="28" spans="1:15" ht="39.9" customHeight="1" x14ac:dyDescent="0.3">
      <c r="A28" s="4">
        <v>13</v>
      </c>
      <c r="B28" s="10" t="s">
        <v>1374</v>
      </c>
      <c r="C28" s="10"/>
      <c r="D28" s="10"/>
      <c r="E28" s="10" t="s">
        <v>1230</v>
      </c>
      <c r="F28" s="4" t="s">
        <v>1375</v>
      </c>
      <c r="G28" s="4">
        <v>1</v>
      </c>
      <c r="H28" s="4">
        <f t="shared" ref="H28" si="37">I28-N28</f>
        <v>2400</v>
      </c>
      <c r="I28" s="4">
        <v>2400</v>
      </c>
      <c r="J28" s="4">
        <f t="shared" ref="J28" si="38">K28-I28</f>
        <v>0</v>
      </c>
      <c r="K28" s="1">
        <v>2400</v>
      </c>
      <c r="L28" s="135">
        <f t="shared" ref="L28" si="39">N28-M28</f>
        <v>0</v>
      </c>
      <c r="M28" s="132">
        <v>0</v>
      </c>
      <c r="N28" s="2">
        <v>0</v>
      </c>
      <c r="O28" s="112">
        <v>0.8</v>
      </c>
    </row>
    <row r="29" spans="1:15" ht="39.9" customHeight="1" x14ac:dyDescent="0.3">
      <c r="A29" s="4">
        <v>13</v>
      </c>
      <c r="B29" s="10" t="s">
        <v>1374</v>
      </c>
      <c r="C29" s="10"/>
      <c r="D29" s="10"/>
      <c r="E29" s="10" t="s">
        <v>1376</v>
      </c>
      <c r="F29" s="4" t="s">
        <v>1375</v>
      </c>
      <c r="G29" s="4">
        <v>1</v>
      </c>
      <c r="H29" s="4">
        <f t="shared" ref="H29" si="40">I29-N29</f>
        <v>3375</v>
      </c>
      <c r="I29" s="4">
        <v>3375</v>
      </c>
      <c r="J29" s="4">
        <f t="shared" ref="J29" si="41">K29-I29</f>
        <v>0</v>
      </c>
      <c r="K29" s="1">
        <v>3375</v>
      </c>
      <c r="L29" s="135">
        <f t="shared" ref="L29" si="42">N29-M29</f>
        <v>0</v>
      </c>
      <c r="M29" s="132">
        <v>0</v>
      </c>
      <c r="N29" s="2">
        <v>0</v>
      </c>
      <c r="O29" s="112">
        <v>0.9</v>
      </c>
    </row>
    <row r="30" spans="1:15" ht="39.9" customHeight="1" x14ac:dyDescent="0.3">
      <c r="A30" s="4">
        <v>14</v>
      </c>
      <c r="B30" s="10" t="s">
        <v>1377</v>
      </c>
      <c r="C30" s="10"/>
      <c r="D30" s="10"/>
      <c r="E30" s="10" t="s">
        <v>1378</v>
      </c>
      <c r="F30" s="4" t="s">
        <v>1403</v>
      </c>
      <c r="G30" s="4">
        <v>1</v>
      </c>
      <c r="H30" s="4">
        <f t="shared" ref="H30:H31" si="43">I30-N30</f>
        <v>3600</v>
      </c>
      <c r="I30" s="4">
        <v>3600</v>
      </c>
      <c r="J30" s="4">
        <f t="shared" ref="J30:J31" si="44">K30-I30</f>
        <v>0</v>
      </c>
      <c r="K30" s="1">
        <v>3600</v>
      </c>
      <c r="L30" s="135">
        <f t="shared" ref="L30:L31" si="45">N30-M30</f>
        <v>0</v>
      </c>
      <c r="M30" s="132">
        <v>0</v>
      </c>
      <c r="N30" s="2">
        <v>0</v>
      </c>
      <c r="O30" s="112">
        <v>0.9</v>
      </c>
    </row>
    <row r="31" spans="1:15" ht="39.9" customHeight="1" x14ac:dyDescent="0.3">
      <c r="A31" s="4">
        <v>15</v>
      </c>
      <c r="B31" s="10" t="s">
        <v>1153</v>
      </c>
      <c r="C31" s="10"/>
      <c r="D31" s="10"/>
      <c r="E31" s="10" t="s">
        <v>1380</v>
      </c>
      <c r="F31" s="4" t="s">
        <v>1360</v>
      </c>
      <c r="G31" s="4">
        <v>3</v>
      </c>
      <c r="H31" s="4">
        <f t="shared" si="43"/>
        <v>66107</v>
      </c>
      <c r="I31" s="4">
        <v>66367</v>
      </c>
      <c r="J31" s="4">
        <f t="shared" si="44"/>
        <v>0</v>
      </c>
      <c r="K31" s="1">
        <v>66367</v>
      </c>
      <c r="L31" s="135">
        <f t="shared" si="45"/>
        <v>0</v>
      </c>
      <c r="M31" s="132">
        <v>260</v>
      </c>
      <c r="N31" s="2">
        <v>260</v>
      </c>
      <c r="O31" s="112">
        <v>0.95</v>
      </c>
    </row>
    <row r="32" spans="1:15" ht="39.9" customHeight="1" x14ac:dyDescent="0.3">
      <c r="A32" s="4">
        <v>15</v>
      </c>
      <c r="B32" s="10" t="s">
        <v>1153</v>
      </c>
      <c r="C32" s="10"/>
      <c r="D32" s="10"/>
      <c r="E32" s="10" t="s">
        <v>1380</v>
      </c>
      <c r="F32" s="4" t="s">
        <v>1334</v>
      </c>
      <c r="G32" s="4">
        <v>2</v>
      </c>
      <c r="H32" s="4">
        <f t="shared" ref="H32" si="46">I32-N32</f>
        <v>7908</v>
      </c>
      <c r="I32" s="4">
        <v>7908</v>
      </c>
      <c r="J32" s="4">
        <f t="shared" ref="J32" si="47">K32-I32</f>
        <v>0</v>
      </c>
      <c r="K32" s="1">
        <v>7908</v>
      </c>
      <c r="L32" s="135">
        <f t="shared" ref="L32" si="48">N32-M32</f>
        <v>0</v>
      </c>
      <c r="M32" s="132">
        <v>0</v>
      </c>
      <c r="N32" s="2">
        <v>0</v>
      </c>
      <c r="O32" s="112">
        <v>0.95</v>
      </c>
    </row>
    <row r="33" spans="1:15" ht="39.9" customHeight="1" x14ac:dyDescent="0.3">
      <c r="A33" s="4">
        <v>15</v>
      </c>
      <c r="B33" s="10" t="s">
        <v>1153</v>
      </c>
      <c r="C33" s="10"/>
      <c r="D33" s="10"/>
      <c r="E33" s="10" t="s">
        <v>1380</v>
      </c>
      <c r="F33" s="4" t="s">
        <v>1381</v>
      </c>
      <c r="G33" s="4">
        <v>3</v>
      </c>
      <c r="H33" s="4">
        <f t="shared" ref="H33" si="49">I33-N33</f>
        <v>40303.699999999997</v>
      </c>
      <c r="I33" s="4">
        <v>40303.699999999997</v>
      </c>
      <c r="J33" s="4">
        <f t="shared" ref="J33" si="50">K33-I33</f>
        <v>0</v>
      </c>
      <c r="K33" s="1">
        <v>40303.699999999997</v>
      </c>
      <c r="L33" s="135">
        <f t="shared" ref="L33" si="51">N33-M33</f>
        <v>0</v>
      </c>
      <c r="M33" s="132">
        <v>0</v>
      </c>
      <c r="N33" s="2">
        <v>0</v>
      </c>
      <c r="O33" s="112">
        <v>0.95</v>
      </c>
    </row>
    <row r="34" spans="1:15" ht="39.9" customHeight="1" x14ac:dyDescent="0.3">
      <c r="A34" s="4">
        <v>15</v>
      </c>
      <c r="B34" s="10" t="s">
        <v>1153</v>
      </c>
      <c r="C34" s="10"/>
      <c r="D34" s="10"/>
      <c r="E34" s="10" t="s">
        <v>1380</v>
      </c>
      <c r="F34" s="4" t="s">
        <v>1335</v>
      </c>
      <c r="G34" s="4">
        <v>3</v>
      </c>
      <c r="H34" s="4">
        <f t="shared" ref="H34:H35" si="52">I34-N34</f>
        <v>128378</v>
      </c>
      <c r="I34" s="4">
        <v>128378</v>
      </c>
      <c r="J34" s="4">
        <f t="shared" ref="J34:J35" si="53">K34-I34</f>
        <v>0</v>
      </c>
      <c r="K34" s="1">
        <v>128378</v>
      </c>
      <c r="L34" s="135">
        <f t="shared" ref="L34:L35" si="54">N34-M34</f>
        <v>0</v>
      </c>
      <c r="M34" s="132">
        <v>0</v>
      </c>
      <c r="N34" s="2">
        <v>0</v>
      </c>
      <c r="O34" s="112">
        <v>0.95</v>
      </c>
    </row>
    <row r="35" spans="1:15" ht="39.9" customHeight="1" x14ac:dyDescent="0.3">
      <c r="A35" s="4">
        <v>16</v>
      </c>
      <c r="B35" s="10" t="s">
        <v>1399</v>
      </c>
      <c r="C35" s="10"/>
      <c r="D35" s="10"/>
      <c r="E35" s="10" t="s">
        <v>1345</v>
      </c>
      <c r="F35" s="4" t="s">
        <v>14</v>
      </c>
      <c r="G35" s="4">
        <v>2</v>
      </c>
      <c r="H35" s="4">
        <f t="shared" si="52"/>
        <v>19640</v>
      </c>
      <c r="I35" s="4">
        <v>19640</v>
      </c>
      <c r="J35" s="4">
        <f t="shared" si="53"/>
        <v>0</v>
      </c>
      <c r="K35" s="1">
        <v>19640</v>
      </c>
      <c r="L35" s="135">
        <f t="shared" si="54"/>
        <v>0</v>
      </c>
      <c r="M35" s="132">
        <v>0</v>
      </c>
      <c r="N35" s="2">
        <v>0</v>
      </c>
      <c r="O35" s="112">
        <v>1</v>
      </c>
    </row>
    <row r="36" spans="1:15" ht="39.9" customHeight="1" x14ac:dyDescent="0.3">
      <c r="A36" s="4">
        <v>17</v>
      </c>
      <c r="B36" s="130" t="s">
        <v>1400</v>
      </c>
      <c r="C36" s="10"/>
      <c r="D36" s="10"/>
      <c r="E36" s="10" t="s">
        <v>1473</v>
      </c>
      <c r="F36" s="4" t="s">
        <v>14</v>
      </c>
      <c r="G36" s="4">
        <v>9</v>
      </c>
      <c r="H36" s="4">
        <f t="shared" ref="H36:H38" si="55">I36-N36</f>
        <v>139469</v>
      </c>
      <c r="I36" s="4">
        <v>139469</v>
      </c>
      <c r="J36" s="4">
        <f t="shared" ref="J36:J38" si="56">K36-I36</f>
        <v>0</v>
      </c>
      <c r="K36" s="1">
        <v>139469</v>
      </c>
      <c r="L36" s="135">
        <f t="shared" ref="L36:L38" si="57">N36-M36</f>
        <v>0</v>
      </c>
      <c r="M36" s="132">
        <v>0</v>
      </c>
      <c r="N36" s="2">
        <v>0</v>
      </c>
      <c r="O36" s="112">
        <v>1</v>
      </c>
    </row>
    <row r="37" spans="1:15" ht="39.9" customHeight="1" x14ac:dyDescent="0.3">
      <c r="A37" s="4">
        <v>18</v>
      </c>
      <c r="B37" s="10" t="s">
        <v>1401</v>
      </c>
      <c r="C37" s="10"/>
      <c r="D37" s="10"/>
      <c r="E37" s="10" t="s">
        <v>621</v>
      </c>
      <c r="F37" s="4" t="s">
        <v>1360</v>
      </c>
      <c r="G37" s="4">
        <v>3</v>
      </c>
      <c r="H37" s="4">
        <f t="shared" si="55"/>
        <v>6840</v>
      </c>
      <c r="I37" s="4">
        <v>6840</v>
      </c>
      <c r="J37" s="4">
        <f t="shared" si="56"/>
        <v>0</v>
      </c>
      <c r="K37" s="1">
        <v>6840</v>
      </c>
      <c r="L37" s="135">
        <f t="shared" si="57"/>
        <v>0</v>
      </c>
      <c r="M37" s="132">
        <v>0</v>
      </c>
      <c r="N37" s="2">
        <v>0</v>
      </c>
      <c r="O37" s="112">
        <v>0.9</v>
      </c>
    </row>
    <row r="38" spans="1:15" ht="39.9" customHeight="1" x14ac:dyDescent="0.3">
      <c r="A38" s="4">
        <v>18</v>
      </c>
      <c r="B38" s="10" t="s">
        <v>1401</v>
      </c>
      <c r="C38" s="10"/>
      <c r="D38" s="10"/>
      <c r="E38" s="10" t="s">
        <v>1260</v>
      </c>
      <c r="F38" s="4" t="s">
        <v>1403</v>
      </c>
      <c r="G38" s="4">
        <v>3</v>
      </c>
      <c r="H38" s="4">
        <f t="shared" si="55"/>
        <v>4628</v>
      </c>
      <c r="I38" s="4">
        <v>4628</v>
      </c>
      <c r="J38" s="4">
        <f t="shared" si="56"/>
        <v>0</v>
      </c>
      <c r="K38" s="1">
        <v>4628</v>
      </c>
      <c r="L38" s="135">
        <f t="shared" si="57"/>
        <v>0</v>
      </c>
      <c r="M38" s="132">
        <v>0</v>
      </c>
      <c r="N38" s="2">
        <v>0</v>
      </c>
      <c r="O38" s="112">
        <v>0.9</v>
      </c>
    </row>
    <row r="39" spans="1:15" ht="39.9" customHeight="1" x14ac:dyDescent="0.3">
      <c r="A39" s="4">
        <v>18</v>
      </c>
      <c r="B39" s="10" t="s">
        <v>1401</v>
      </c>
      <c r="C39" s="10"/>
      <c r="D39" s="10"/>
      <c r="E39" s="10" t="s">
        <v>621</v>
      </c>
      <c r="F39" s="4" t="s">
        <v>1403</v>
      </c>
      <c r="G39" s="4">
        <v>2</v>
      </c>
      <c r="H39" s="4">
        <f t="shared" ref="H39" si="58">I39-N39</f>
        <v>4830</v>
      </c>
      <c r="I39" s="4">
        <v>5130</v>
      </c>
      <c r="J39" s="4">
        <f t="shared" ref="J39" si="59">K39-I39</f>
        <v>0</v>
      </c>
      <c r="K39" s="1">
        <v>5130</v>
      </c>
      <c r="L39" s="135">
        <f t="shared" ref="L39" si="60">N39-M39</f>
        <v>0</v>
      </c>
      <c r="M39" s="132">
        <v>300</v>
      </c>
      <c r="N39" s="2">
        <v>300</v>
      </c>
      <c r="O39" s="112">
        <v>0.9</v>
      </c>
    </row>
    <row r="40" spans="1:15" ht="39.9" customHeight="1" x14ac:dyDescent="0.3">
      <c r="A40" s="4">
        <v>20</v>
      </c>
      <c r="B40" s="10" t="s">
        <v>1406</v>
      </c>
      <c r="C40" s="10"/>
      <c r="D40" s="10"/>
      <c r="E40" s="10" t="s">
        <v>1407</v>
      </c>
      <c r="F40" s="4" t="s">
        <v>14</v>
      </c>
      <c r="G40" s="4">
        <v>1</v>
      </c>
      <c r="H40" s="4">
        <f t="shared" ref="H40:H42" si="61">I40-N40</f>
        <v>7500</v>
      </c>
      <c r="I40" s="4">
        <v>7500</v>
      </c>
      <c r="J40" s="4">
        <f t="shared" ref="J40:J42" si="62">K40-I40</f>
        <v>0</v>
      </c>
      <c r="K40" s="1">
        <v>7500</v>
      </c>
      <c r="L40" s="135">
        <f t="shared" ref="L40:L42" si="63">N40-M40</f>
        <v>0</v>
      </c>
      <c r="M40" s="132">
        <v>0</v>
      </c>
      <c r="N40" s="2">
        <v>0</v>
      </c>
      <c r="O40" s="112">
        <v>0.5</v>
      </c>
    </row>
    <row r="41" spans="1:15" ht="39.9" customHeight="1" x14ac:dyDescent="0.3">
      <c r="A41" s="4">
        <v>21</v>
      </c>
      <c r="B41" s="10" t="s">
        <v>1188</v>
      </c>
      <c r="C41" s="10"/>
      <c r="D41" s="10"/>
      <c r="E41" s="10" t="s">
        <v>1408</v>
      </c>
      <c r="F41" s="4" t="s">
        <v>1335</v>
      </c>
      <c r="G41" s="4">
        <v>4</v>
      </c>
      <c r="H41" s="4">
        <f t="shared" si="61"/>
        <v>3080</v>
      </c>
      <c r="I41" s="4">
        <v>3080</v>
      </c>
      <c r="J41" s="4">
        <f t="shared" si="62"/>
        <v>0</v>
      </c>
      <c r="K41" s="1">
        <v>3080</v>
      </c>
      <c r="L41" s="135">
        <f t="shared" si="63"/>
        <v>0</v>
      </c>
      <c r="M41" s="132">
        <v>0</v>
      </c>
      <c r="N41" s="2">
        <v>0</v>
      </c>
      <c r="O41" s="112">
        <v>0.95</v>
      </c>
    </row>
    <row r="42" spans="1:15" ht="39.9" customHeight="1" x14ac:dyDescent="0.3">
      <c r="A42" s="4">
        <v>21</v>
      </c>
      <c r="B42" s="10" t="s">
        <v>1188</v>
      </c>
      <c r="C42" s="10"/>
      <c r="D42" s="10"/>
      <c r="E42" s="10" t="s">
        <v>1408</v>
      </c>
      <c r="F42" s="4" t="s">
        <v>1360</v>
      </c>
      <c r="G42" s="4">
        <v>4</v>
      </c>
      <c r="H42" s="4">
        <f t="shared" si="61"/>
        <v>4764</v>
      </c>
      <c r="I42" s="4">
        <v>4764</v>
      </c>
      <c r="J42" s="4">
        <f t="shared" si="62"/>
        <v>0</v>
      </c>
      <c r="K42" s="1">
        <v>4764</v>
      </c>
      <c r="L42" s="135">
        <f t="shared" si="63"/>
        <v>0</v>
      </c>
      <c r="M42" s="132">
        <v>0</v>
      </c>
      <c r="N42" s="2">
        <v>0</v>
      </c>
      <c r="O42" s="112">
        <v>0.95</v>
      </c>
    </row>
    <row r="43" spans="1:15" ht="39.9" customHeight="1" x14ac:dyDescent="0.3">
      <c r="A43" s="4">
        <v>21</v>
      </c>
      <c r="B43" s="10" t="s">
        <v>1188</v>
      </c>
      <c r="C43" s="10"/>
      <c r="D43" s="10"/>
      <c r="E43" s="10" t="s">
        <v>1408</v>
      </c>
      <c r="F43" s="4" t="s">
        <v>1310</v>
      </c>
      <c r="G43" s="4">
        <v>4</v>
      </c>
      <c r="H43" s="4">
        <f t="shared" ref="H43:H47" si="64">I43-N43</f>
        <v>3736</v>
      </c>
      <c r="I43" s="4">
        <v>3736</v>
      </c>
      <c r="J43" s="4">
        <f t="shared" ref="J43:J47" si="65">K43-I43</f>
        <v>0</v>
      </c>
      <c r="K43" s="1">
        <v>3736</v>
      </c>
      <c r="L43" s="135">
        <f t="shared" ref="L43:L47" si="66">N43-M43</f>
        <v>0</v>
      </c>
      <c r="M43" s="132">
        <v>0</v>
      </c>
      <c r="N43" s="2">
        <v>0</v>
      </c>
      <c r="O43" s="112">
        <v>0.95</v>
      </c>
    </row>
    <row r="44" spans="1:15" ht="39.9" customHeight="1" x14ac:dyDescent="0.3">
      <c r="A44" s="4">
        <v>22</v>
      </c>
      <c r="B44" s="10" t="s">
        <v>1409</v>
      </c>
      <c r="C44" s="10"/>
      <c r="D44" s="10"/>
      <c r="E44" s="10" t="s">
        <v>1410</v>
      </c>
      <c r="F44" s="4" t="s">
        <v>14</v>
      </c>
      <c r="G44" s="4">
        <v>1</v>
      </c>
      <c r="H44" s="4">
        <f t="shared" si="64"/>
        <v>31500</v>
      </c>
      <c r="I44" s="4">
        <v>31500</v>
      </c>
      <c r="J44" s="4">
        <f t="shared" si="65"/>
        <v>0</v>
      </c>
      <c r="K44" s="1">
        <v>31500</v>
      </c>
      <c r="L44" s="135">
        <f t="shared" si="66"/>
        <v>0</v>
      </c>
      <c r="M44" s="132">
        <v>0</v>
      </c>
      <c r="N44" s="2">
        <v>0</v>
      </c>
      <c r="O44" s="112">
        <v>1</v>
      </c>
    </row>
    <row r="45" spans="1:15" ht="39.9" customHeight="1" x14ac:dyDescent="0.3">
      <c r="A45" s="4">
        <v>23</v>
      </c>
      <c r="B45" s="10" t="s">
        <v>1448</v>
      </c>
      <c r="C45" s="10"/>
      <c r="D45" s="10"/>
      <c r="E45" s="10" t="s">
        <v>1260</v>
      </c>
      <c r="F45" s="10" t="s">
        <v>1449</v>
      </c>
      <c r="G45" s="4">
        <v>2</v>
      </c>
      <c r="H45" s="4">
        <f t="shared" si="64"/>
        <v>3016</v>
      </c>
      <c r="I45" s="4">
        <v>3016</v>
      </c>
      <c r="J45" s="4">
        <f t="shared" si="65"/>
        <v>0</v>
      </c>
      <c r="K45" s="1">
        <v>3016</v>
      </c>
      <c r="L45" s="135">
        <f t="shared" si="66"/>
        <v>0</v>
      </c>
      <c r="M45" s="132">
        <v>0</v>
      </c>
      <c r="N45" s="2">
        <v>0</v>
      </c>
      <c r="O45" s="112">
        <v>0.9</v>
      </c>
    </row>
    <row r="46" spans="1:15" ht="39.9" customHeight="1" x14ac:dyDescent="0.3">
      <c r="A46" s="4">
        <v>23</v>
      </c>
      <c r="B46" s="10" t="s">
        <v>1448</v>
      </c>
      <c r="C46" s="10"/>
      <c r="D46" s="10"/>
      <c r="E46" s="10" t="s">
        <v>1260</v>
      </c>
      <c r="F46" s="4" t="s">
        <v>1310</v>
      </c>
      <c r="G46" s="4">
        <v>1</v>
      </c>
      <c r="H46" s="4">
        <f t="shared" ref="H46" si="67">I46-N46</f>
        <v>416</v>
      </c>
      <c r="I46" s="4">
        <v>416</v>
      </c>
      <c r="J46" s="4">
        <f t="shared" ref="J46" si="68">K46-I46</f>
        <v>0</v>
      </c>
      <c r="K46" s="1">
        <v>416</v>
      </c>
      <c r="L46" s="135">
        <f t="shared" ref="L46" si="69">N46-M46</f>
        <v>0</v>
      </c>
      <c r="M46" s="132">
        <v>0</v>
      </c>
      <c r="N46" s="2">
        <v>0</v>
      </c>
      <c r="O46" s="112">
        <v>0.9</v>
      </c>
    </row>
    <row r="47" spans="1:15" ht="39.9" customHeight="1" x14ac:dyDescent="0.3">
      <c r="A47" s="4">
        <v>24</v>
      </c>
      <c r="B47" s="10" t="s">
        <v>354</v>
      </c>
      <c r="C47" s="10"/>
      <c r="D47" s="10"/>
      <c r="E47" s="10" t="s">
        <v>621</v>
      </c>
      <c r="F47" s="10" t="s">
        <v>1403</v>
      </c>
      <c r="G47" s="4">
        <v>1</v>
      </c>
      <c r="H47" s="4">
        <f t="shared" si="64"/>
        <v>896</v>
      </c>
      <c r="I47" s="4">
        <v>896</v>
      </c>
      <c r="J47" s="4">
        <f t="shared" si="65"/>
        <v>0</v>
      </c>
      <c r="K47" s="1">
        <v>896</v>
      </c>
      <c r="L47" s="135">
        <f t="shared" si="66"/>
        <v>0</v>
      </c>
      <c r="M47" s="132">
        <v>0</v>
      </c>
      <c r="N47" s="2">
        <v>0</v>
      </c>
      <c r="O47" s="112">
        <v>0.95</v>
      </c>
    </row>
    <row r="48" spans="1:15" ht="39.9" customHeight="1" x14ac:dyDescent="0.3">
      <c r="A48" s="4">
        <v>25</v>
      </c>
      <c r="B48" s="10" t="s">
        <v>354</v>
      </c>
      <c r="C48" s="10"/>
      <c r="D48" s="10"/>
      <c r="E48" s="10" t="s">
        <v>621</v>
      </c>
      <c r="F48" s="10" t="s">
        <v>1360</v>
      </c>
      <c r="G48" s="4">
        <v>1</v>
      </c>
      <c r="H48" s="4">
        <f t="shared" ref="H48" si="70">I48-N48</f>
        <v>1316.7</v>
      </c>
      <c r="I48" s="4">
        <v>1316.7</v>
      </c>
      <c r="J48" s="4">
        <f t="shared" ref="J48" si="71">K48-I48</f>
        <v>0</v>
      </c>
      <c r="K48" s="1">
        <v>1316.7</v>
      </c>
      <c r="L48" s="135">
        <f t="shared" ref="L48" si="72">N48-M48</f>
        <v>0</v>
      </c>
      <c r="M48" s="132">
        <v>0</v>
      </c>
      <c r="N48" s="2">
        <v>0</v>
      </c>
      <c r="O48" s="112">
        <v>0.95</v>
      </c>
    </row>
    <row r="49" spans="1:15" ht="39.9" customHeight="1" x14ac:dyDescent="0.3">
      <c r="A49" s="4">
        <v>26</v>
      </c>
      <c r="B49" s="10" t="s">
        <v>1537</v>
      </c>
      <c r="C49" s="10"/>
      <c r="D49" s="10"/>
      <c r="E49" s="10" t="s">
        <v>1538</v>
      </c>
      <c r="F49" s="10" t="s">
        <v>14</v>
      </c>
      <c r="G49" s="4">
        <v>1</v>
      </c>
      <c r="H49" s="4">
        <f t="shared" ref="H49" si="73">I49-N49</f>
        <v>16000</v>
      </c>
      <c r="I49" s="4">
        <v>16000</v>
      </c>
      <c r="J49" s="4">
        <f t="shared" ref="J49" si="74">K49-I49</f>
        <v>0</v>
      </c>
      <c r="K49" s="1">
        <v>16000</v>
      </c>
      <c r="L49" s="135">
        <f t="shared" ref="L49" si="75">N49-M49</f>
        <v>0</v>
      </c>
      <c r="M49" s="132">
        <v>0</v>
      </c>
      <c r="N49" s="2">
        <v>0</v>
      </c>
      <c r="O49" s="112">
        <v>1</v>
      </c>
    </row>
    <row r="50" spans="1:15" ht="39.9" customHeight="1" x14ac:dyDescent="0.3">
      <c r="A50" s="4">
        <v>27</v>
      </c>
      <c r="B50" s="10" t="s">
        <v>1539</v>
      </c>
      <c r="C50" s="10"/>
      <c r="D50" s="10"/>
      <c r="E50" s="10" t="s">
        <v>1540</v>
      </c>
      <c r="F50" s="4" t="s">
        <v>1360</v>
      </c>
      <c r="G50" s="4">
        <v>1</v>
      </c>
      <c r="H50" s="4">
        <f t="shared" ref="H50:H51" si="76">I50-N50</f>
        <v>3654</v>
      </c>
      <c r="I50" s="4">
        <v>3654</v>
      </c>
      <c r="J50" s="4">
        <f t="shared" ref="J50:J51" si="77">K50-I50</f>
        <v>0</v>
      </c>
      <c r="K50" s="1">
        <v>3654</v>
      </c>
      <c r="L50" s="135">
        <f t="shared" ref="L50:L51" si="78">N50-M50</f>
        <v>0</v>
      </c>
      <c r="M50" s="132">
        <v>0</v>
      </c>
      <c r="N50" s="2">
        <v>0</v>
      </c>
      <c r="O50" s="112">
        <v>0.9</v>
      </c>
    </row>
    <row r="51" spans="1:15" ht="39.9" customHeight="1" x14ac:dyDescent="0.3">
      <c r="A51" s="4">
        <v>28</v>
      </c>
      <c r="B51" s="10" t="s">
        <v>1539</v>
      </c>
      <c r="C51" s="10"/>
      <c r="D51" s="10"/>
      <c r="E51" s="10" t="s">
        <v>1177</v>
      </c>
      <c r="F51" s="10" t="s">
        <v>1403</v>
      </c>
      <c r="G51" s="4">
        <v>1</v>
      </c>
      <c r="H51" s="4">
        <f t="shared" si="76"/>
        <v>1881</v>
      </c>
      <c r="I51" s="4">
        <v>1881</v>
      </c>
      <c r="J51" s="4">
        <f t="shared" si="77"/>
        <v>0</v>
      </c>
      <c r="K51" s="1">
        <v>1881</v>
      </c>
      <c r="L51" s="135">
        <f t="shared" si="78"/>
        <v>0</v>
      </c>
      <c r="M51" s="132">
        <v>0</v>
      </c>
      <c r="N51" s="2">
        <v>0</v>
      </c>
      <c r="O51" s="112">
        <v>0.9</v>
      </c>
    </row>
    <row r="52" spans="1:15" ht="39.9" customHeight="1" x14ac:dyDescent="0.3">
      <c r="A52" s="4">
        <v>29</v>
      </c>
      <c r="B52" s="10" t="s">
        <v>1738</v>
      </c>
      <c r="C52" s="10"/>
      <c r="D52" s="10"/>
      <c r="E52" s="10" t="s">
        <v>1739</v>
      </c>
      <c r="F52" s="10" t="s">
        <v>1740</v>
      </c>
      <c r="G52" s="4">
        <v>1</v>
      </c>
      <c r="H52" s="4">
        <f t="shared" ref="H52" si="79">I52-N52</f>
        <v>1351</v>
      </c>
      <c r="I52" s="4">
        <v>1351</v>
      </c>
      <c r="J52" s="4">
        <f t="shared" ref="J52" si="80">K52-I52</f>
        <v>0</v>
      </c>
      <c r="K52" s="1">
        <v>1351</v>
      </c>
      <c r="L52" s="135">
        <f t="shared" ref="L52" si="81">N52-M52</f>
        <v>0</v>
      </c>
      <c r="M52" s="132">
        <v>0</v>
      </c>
      <c r="N52" s="2">
        <v>0</v>
      </c>
      <c r="O52" s="112">
        <v>0.9</v>
      </c>
    </row>
    <row r="53" spans="1:15" ht="39.9" customHeight="1" x14ac:dyDescent="0.55000000000000004">
      <c r="A53" s="4"/>
      <c r="B53" s="10"/>
      <c r="C53" s="10"/>
      <c r="D53" s="10"/>
      <c r="E53" s="10"/>
      <c r="F53" s="4"/>
      <c r="G53" s="4"/>
      <c r="H53" s="4"/>
      <c r="I53" s="4"/>
      <c r="J53" s="4"/>
      <c r="K53" s="1"/>
      <c r="L53" s="93"/>
      <c r="M53" s="132"/>
      <c r="N53" s="2"/>
      <c r="O53" s="144"/>
    </row>
    <row r="54" spans="1:15" ht="39.9" customHeight="1" x14ac:dyDescent="0.55000000000000004">
      <c r="A54" s="4"/>
      <c r="B54" s="10"/>
      <c r="C54" s="10"/>
      <c r="D54" s="10"/>
      <c r="E54" s="10"/>
      <c r="F54" s="4"/>
      <c r="G54" s="4"/>
      <c r="H54" s="4"/>
      <c r="I54" s="4"/>
      <c r="J54" s="4"/>
      <c r="K54" s="1"/>
      <c r="L54" s="93"/>
      <c r="M54" s="132"/>
      <c r="N54" s="2"/>
      <c r="O54" s="144"/>
    </row>
    <row r="55" spans="1:15" ht="39.9" customHeight="1" x14ac:dyDescent="0.55000000000000004">
      <c r="A55" s="4"/>
      <c r="B55" s="10"/>
      <c r="C55" s="10"/>
      <c r="D55" s="10"/>
      <c r="E55" s="10"/>
      <c r="F55" s="4"/>
      <c r="G55" s="4"/>
      <c r="H55" s="4"/>
      <c r="I55" s="4"/>
      <c r="J55" s="4"/>
      <c r="K55" s="1"/>
      <c r="L55" s="93"/>
      <c r="M55" s="132"/>
      <c r="N55" s="2"/>
      <c r="O55" s="144"/>
    </row>
    <row r="56" spans="1:15" ht="39.9" customHeight="1" x14ac:dyDescent="0.55000000000000004">
      <c r="A56" s="4"/>
      <c r="B56" s="10"/>
      <c r="C56" s="10"/>
      <c r="D56" s="10"/>
      <c r="E56" s="10"/>
      <c r="F56" s="4"/>
      <c r="G56" s="4"/>
      <c r="H56" s="4"/>
      <c r="I56" s="4"/>
      <c r="J56" s="4"/>
      <c r="K56" s="1"/>
      <c r="L56" s="93"/>
      <c r="M56" s="132"/>
      <c r="N56" s="2"/>
      <c r="O56" s="144"/>
    </row>
    <row r="57" spans="1:15" ht="39.9" customHeight="1" x14ac:dyDescent="0.55000000000000004">
      <c r="A57" s="4"/>
      <c r="B57" s="10"/>
      <c r="C57" s="10"/>
      <c r="D57" s="10"/>
      <c r="E57" s="10"/>
      <c r="F57" s="4"/>
      <c r="G57" s="4"/>
      <c r="H57" s="4"/>
      <c r="I57" s="4"/>
      <c r="J57" s="4"/>
      <c r="K57" s="1"/>
      <c r="L57" s="93"/>
      <c r="M57" s="132"/>
      <c r="N57" s="2"/>
      <c r="O57" s="144"/>
    </row>
    <row r="58" spans="1:15" ht="84.6" customHeight="1" x14ac:dyDescent="0.55000000000000004">
      <c r="A58" s="4"/>
      <c r="B58" s="10"/>
      <c r="C58" s="10"/>
      <c r="D58" s="10"/>
      <c r="E58" s="10"/>
      <c r="F58" s="4"/>
      <c r="G58" s="4"/>
      <c r="H58" s="4"/>
      <c r="I58" s="4"/>
      <c r="J58" s="4"/>
      <c r="K58" s="1"/>
      <c r="L58" s="93"/>
      <c r="M58" s="132"/>
      <c r="N58" s="2"/>
      <c r="O58" s="144"/>
    </row>
    <row r="59" spans="1:15" ht="57.6" customHeight="1" x14ac:dyDescent="0.55000000000000004">
      <c r="A59" s="4"/>
      <c r="B59" s="10"/>
      <c r="C59" s="10"/>
      <c r="D59" s="10"/>
      <c r="E59" s="10"/>
      <c r="F59" s="4"/>
      <c r="G59" s="4"/>
      <c r="H59" s="4"/>
      <c r="I59" s="4"/>
      <c r="J59" s="4"/>
      <c r="K59" s="1"/>
      <c r="L59" s="93"/>
      <c r="M59" s="132"/>
      <c r="N59" s="2"/>
      <c r="O59" s="144"/>
    </row>
    <row r="60" spans="1:15" ht="68.400000000000006" customHeight="1" x14ac:dyDescent="0.55000000000000004">
      <c r="A60" s="4"/>
      <c r="B60" s="10"/>
      <c r="C60" s="10"/>
      <c r="D60" s="10"/>
      <c r="E60" s="10"/>
      <c r="F60" s="4"/>
      <c r="G60" s="4"/>
      <c r="H60" s="4"/>
      <c r="I60" s="4"/>
      <c r="J60" s="4"/>
      <c r="K60" s="1"/>
      <c r="L60" s="93"/>
      <c r="M60" s="132"/>
      <c r="N60" s="2"/>
      <c r="O60" s="144"/>
    </row>
    <row r="61" spans="1:15" ht="71.400000000000006" customHeight="1" x14ac:dyDescent="0.55000000000000004">
      <c r="A61" s="4"/>
      <c r="B61" s="10"/>
      <c r="C61" s="10"/>
      <c r="D61" s="10"/>
      <c r="E61" s="10"/>
      <c r="F61" s="4"/>
      <c r="G61" s="4"/>
      <c r="H61" s="4"/>
      <c r="I61" s="4"/>
      <c r="J61" s="4"/>
      <c r="K61" s="1"/>
      <c r="L61" s="93"/>
      <c r="M61" s="132"/>
      <c r="N61" s="2"/>
      <c r="O61" s="144"/>
    </row>
    <row r="62" spans="1:15" ht="39.9" customHeight="1" x14ac:dyDescent="0.55000000000000004">
      <c r="A62" s="4"/>
      <c r="B62" s="10"/>
      <c r="C62" s="10"/>
      <c r="D62" s="10"/>
      <c r="E62" s="10"/>
      <c r="F62" s="4"/>
      <c r="G62" s="4"/>
      <c r="H62" s="4"/>
      <c r="I62" s="4"/>
      <c r="J62" s="4"/>
      <c r="K62" s="1"/>
      <c r="L62" s="93"/>
      <c r="M62" s="132"/>
      <c r="N62" s="2"/>
      <c r="O62" s="144"/>
    </row>
    <row r="63" spans="1:15" ht="39.9" customHeight="1" x14ac:dyDescent="0.55000000000000004">
      <c r="A63" s="4"/>
      <c r="B63" s="10"/>
      <c r="C63" s="10"/>
      <c r="D63" s="10"/>
      <c r="E63" s="10"/>
      <c r="F63" s="4"/>
      <c r="G63" s="4"/>
      <c r="H63" s="4"/>
      <c r="I63" s="4"/>
      <c r="J63" s="4"/>
      <c r="K63" s="1"/>
      <c r="L63" s="93"/>
      <c r="M63" s="132"/>
      <c r="N63" s="2"/>
      <c r="O63" s="144"/>
    </row>
    <row r="64" spans="1:15" ht="31.2" x14ac:dyDescent="0.55000000000000004">
      <c r="A64" s="4"/>
      <c r="B64" s="10"/>
      <c r="C64" s="10"/>
      <c r="D64" s="10"/>
      <c r="E64" s="10"/>
      <c r="F64" s="4"/>
      <c r="G64" s="4"/>
      <c r="H64" s="4"/>
      <c r="I64" s="4"/>
      <c r="J64" s="4"/>
      <c r="K64" s="1"/>
      <c r="L64" s="93"/>
      <c r="M64" s="132"/>
      <c r="N64" s="2"/>
      <c r="O64" s="144"/>
    </row>
    <row r="65" spans="1:15" ht="31.2" x14ac:dyDescent="0.55000000000000004">
      <c r="A65" s="4"/>
      <c r="B65" s="10"/>
      <c r="C65" s="10"/>
      <c r="D65" s="10"/>
      <c r="E65" s="10"/>
      <c r="F65" s="4"/>
      <c r="G65" s="4"/>
      <c r="H65" s="4"/>
      <c r="I65" s="4"/>
      <c r="J65" s="4"/>
      <c r="K65" s="1"/>
      <c r="L65" s="93"/>
      <c r="M65" s="132"/>
      <c r="N65" s="2"/>
      <c r="O65" s="144"/>
    </row>
    <row r="66" spans="1:15" ht="31.2" x14ac:dyDescent="0.55000000000000004">
      <c r="A66" s="4"/>
      <c r="B66" s="10"/>
      <c r="C66" s="10"/>
      <c r="D66" s="10"/>
      <c r="E66" s="10"/>
      <c r="F66" s="4"/>
      <c r="G66" s="4"/>
      <c r="H66" s="4"/>
      <c r="I66" s="4"/>
      <c r="J66" s="4"/>
      <c r="K66" s="1"/>
      <c r="L66" s="93"/>
      <c r="M66" s="132"/>
      <c r="N66" s="2"/>
      <c r="O66" s="144"/>
    </row>
    <row r="67" spans="1:15" ht="31.2" x14ac:dyDescent="0.55000000000000004">
      <c r="A67" s="4"/>
      <c r="B67" s="10"/>
      <c r="C67" s="10"/>
      <c r="D67" s="10"/>
      <c r="E67" s="10"/>
      <c r="F67" s="4"/>
      <c r="G67" s="4"/>
      <c r="H67" s="4"/>
      <c r="I67" s="4"/>
      <c r="J67" s="4"/>
      <c r="K67" s="1"/>
      <c r="L67" s="93"/>
      <c r="M67" s="132"/>
      <c r="N67" s="2"/>
      <c r="O67" s="144"/>
    </row>
    <row r="68" spans="1:15" ht="31.2" x14ac:dyDescent="0.55000000000000004">
      <c r="A68" s="4"/>
      <c r="B68" s="10"/>
      <c r="C68" s="10"/>
      <c r="D68" s="10"/>
      <c r="E68" s="10"/>
      <c r="F68" s="4"/>
      <c r="G68" s="4"/>
      <c r="H68" s="4"/>
      <c r="I68" s="4"/>
      <c r="J68" s="4"/>
      <c r="K68" s="1"/>
      <c r="L68" s="93"/>
      <c r="M68" s="132"/>
      <c r="N68" s="2"/>
      <c r="O68" s="144"/>
    </row>
    <row r="69" spans="1:15" ht="31.2" x14ac:dyDescent="0.55000000000000004">
      <c r="A69" s="4"/>
      <c r="B69" s="10"/>
      <c r="C69" s="10"/>
      <c r="D69" s="10"/>
      <c r="E69" s="10"/>
      <c r="F69" s="4"/>
      <c r="G69" s="4"/>
      <c r="H69" s="4"/>
      <c r="I69" s="4"/>
      <c r="J69" s="4"/>
      <c r="K69" s="1"/>
      <c r="L69" s="93"/>
      <c r="M69" s="132"/>
      <c r="N69" s="2"/>
      <c r="O69" s="144"/>
    </row>
    <row r="70" spans="1:15" ht="31.2" x14ac:dyDescent="0.55000000000000004">
      <c r="A70" s="4"/>
      <c r="B70" s="10"/>
      <c r="C70" s="10"/>
      <c r="D70" s="10"/>
      <c r="E70" s="10"/>
      <c r="F70" s="4"/>
      <c r="G70" s="4"/>
      <c r="H70" s="4"/>
      <c r="I70" s="4"/>
      <c r="J70" s="4"/>
      <c r="K70" s="1"/>
      <c r="L70" s="93"/>
      <c r="M70" s="132"/>
      <c r="N70" s="2"/>
      <c r="O70" s="144"/>
    </row>
    <row r="71" spans="1:15" ht="31.2" x14ac:dyDescent="0.55000000000000004">
      <c r="A71" s="4"/>
      <c r="B71" s="10"/>
      <c r="C71" s="10"/>
      <c r="D71" s="10"/>
      <c r="E71" s="10"/>
      <c r="F71" s="4"/>
      <c r="G71" s="4"/>
      <c r="H71" s="4"/>
      <c r="I71" s="4"/>
      <c r="J71" s="4"/>
      <c r="K71" s="1"/>
      <c r="L71" s="93"/>
      <c r="M71" s="132"/>
      <c r="N71" s="2"/>
      <c r="O71" s="144"/>
    </row>
    <row r="72" spans="1:15" ht="31.2" x14ac:dyDescent="0.55000000000000004">
      <c r="A72" s="4"/>
      <c r="B72" s="10"/>
      <c r="C72" s="10"/>
      <c r="D72" s="10"/>
      <c r="E72" s="10"/>
      <c r="F72" s="4"/>
      <c r="G72" s="4"/>
      <c r="H72" s="4"/>
      <c r="I72" s="4"/>
      <c r="J72" s="4"/>
      <c r="K72" s="1"/>
      <c r="L72" s="93"/>
      <c r="M72" s="132"/>
      <c r="N72" s="2"/>
      <c r="O72" s="144"/>
    </row>
    <row r="73" spans="1:15" ht="31.2" x14ac:dyDescent="0.55000000000000004">
      <c r="A73" s="4"/>
      <c r="B73" s="10"/>
      <c r="C73" s="10"/>
      <c r="D73" s="10"/>
      <c r="E73" s="10"/>
      <c r="F73" s="4"/>
      <c r="G73" s="4"/>
      <c r="H73" s="4"/>
      <c r="I73" s="4"/>
      <c r="J73" s="4"/>
      <c r="K73" s="1"/>
      <c r="L73" s="93"/>
      <c r="M73" s="132"/>
      <c r="N73" s="2"/>
      <c r="O73" s="144"/>
    </row>
    <row r="74" spans="1:15" ht="31.2" x14ac:dyDescent="0.55000000000000004">
      <c r="A74" s="4"/>
      <c r="B74" s="10"/>
      <c r="C74" s="10"/>
      <c r="D74" s="10"/>
      <c r="E74" s="10"/>
      <c r="F74" s="4"/>
      <c r="G74" s="4"/>
      <c r="H74" s="4"/>
      <c r="I74" s="4"/>
      <c r="J74" s="4"/>
      <c r="K74" s="1"/>
      <c r="L74" s="93"/>
      <c r="M74" s="132"/>
      <c r="N74" s="2"/>
      <c r="O74" s="144"/>
    </row>
    <row r="75" spans="1:15" ht="31.2" x14ac:dyDescent="0.55000000000000004">
      <c r="A75" s="4"/>
      <c r="B75" s="10"/>
      <c r="C75" s="10"/>
      <c r="D75" s="10"/>
      <c r="E75" s="10"/>
      <c r="F75" s="4"/>
      <c r="G75" s="4"/>
      <c r="H75" s="4"/>
      <c r="I75" s="4"/>
      <c r="J75" s="4"/>
      <c r="K75" s="1"/>
      <c r="L75" s="93"/>
      <c r="M75" s="132"/>
      <c r="N75" s="2"/>
      <c r="O75" s="144"/>
    </row>
    <row r="76" spans="1:15" ht="39.9" customHeight="1" x14ac:dyDescent="0.55000000000000004">
      <c r="A76" s="4"/>
      <c r="B76" s="10"/>
      <c r="C76" s="10"/>
      <c r="D76" s="10"/>
      <c r="E76" s="10"/>
      <c r="F76" s="4"/>
      <c r="G76" s="4"/>
      <c r="H76" s="4"/>
      <c r="I76" s="4"/>
      <c r="J76" s="4"/>
      <c r="K76" s="1"/>
      <c r="L76" s="93"/>
      <c r="M76" s="132"/>
      <c r="N76" s="2"/>
      <c r="O76" s="144"/>
    </row>
    <row r="77" spans="1:15" ht="39.9" customHeight="1" x14ac:dyDescent="0.55000000000000004">
      <c r="A77" s="4"/>
      <c r="B77" s="10"/>
      <c r="C77" s="10"/>
      <c r="D77" s="10"/>
      <c r="E77" s="10"/>
      <c r="F77" s="4"/>
      <c r="G77" s="4"/>
      <c r="H77" s="4"/>
      <c r="I77" s="4"/>
      <c r="J77" s="4"/>
      <c r="K77" s="1"/>
      <c r="L77" s="93"/>
      <c r="M77" s="132"/>
      <c r="N77" s="2"/>
      <c r="O77" s="144"/>
    </row>
    <row r="78" spans="1:15" ht="39.9" customHeight="1" x14ac:dyDescent="0.55000000000000004">
      <c r="A78" s="4"/>
      <c r="B78" s="10"/>
      <c r="C78" s="10"/>
      <c r="D78" s="10"/>
      <c r="E78" s="10"/>
      <c r="F78" s="4"/>
      <c r="G78" s="4"/>
      <c r="H78" s="44"/>
      <c r="I78" s="4"/>
      <c r="J78" s="4"/>
      <c r="K78" s="1"/>
      <c r="L78" s="93"/>
      <c r="M78" s="132"/>
      <c r="N78" s="2"/>
      <c r="O78" s="144"/>
    </row>
    <row r="79" spans="1:15" ht="39.9" customHeight="1" x14ac:dyDescent="0.55000000000000004">
      <c r="A79" s="4"/>
      <c r="B79" s="10"/>
      <c r="C79" s="10"/>
      <c r="D79" s="10"/>
      <c r="E79" s="10"/>
      <c r="F79" s="4"/>
      <c r="G79" s="4"/>
      <c r="H79" s="4"/>
      <c r="I79" s="4"/>
      <c r="J79" s="4"/>
      <c r="K79" s="1"/>
      <c r="L79" s="93"/>
      <c r="M79" s="132"/>
      <c r="N79" s="2"/>
      <c r="O79" s="144"/>
    </row>
    <row r="80" spans="1:15" ht="39.9" customHeight="1" x14ac:dyDescent="0.55000000000000004">
      <c r="A80" s="4"/>
      <c r="B80" s="10"/>
      <c r="C80" s="10"/>
      <c r="D80" s="10"/>
      <c r="E80" s="10"/>
      <c r="F80" s="4"/>
      <c r="G80" s="4"/>
      <c r="H80" s="4"/>
      <c r="I80" s="4"/>
      <c r="J80" s="4"/>
      <c r="K80" s="1"/>
      <c r="L80" s="93"/>
      <c r="M80" s="132"/>
      <c r="N80" s="2"/>
      <c r="O80" s="144"/>
    </row>
    <row r="81" spans="1:15" ht="39.9" customHeight="1" x14ac:dyDescent="0.55000000000000004">
      <c r="A81" s="4"/>
      <c r="B81" s="10"/>
      <c r="C81" s="10"/>
      <c r="D81" s="10"/>
      <c r="E81" s="10"/>
      <c r="F81" s="4"/>
      <c r="G81" s="4"/>
      <c r="H81" s="4"/>
      <c r="I81" s="4"/>
      <c r="J81" s="4"/>
      <c r="K81" s="1"/>
      <c r="L81" s="93"/>
      <c r="M81" s="132"/>
      <c r="N81" s="2"/>
      <c r="O81" s="144"/>
    </row>
    <row r="82" spans="1:15" ht="39.9" customHeight="1" x14ac:dyDescent="0.55000000000000004">
      <c r="A82" s="4"/>
      <c r="B82" s="10"/>
      <c r="C82" s="10"/>
      <c r="D82" s="10"/>
      <c r="E82" s="10"/>
      <c r="F82" s="4"/>
      <c r="G82" s="4"/>
      <c r="H82" s="4"/>
      <c r="I82" s="4"/>
      <c r="J82" s="4"/>
      <c r="K82" s="1"/>
      <c r="L82" s="93"/>
      <c r="M82" s="132"/>
      <c r="N82" s="2"/>
      <c r="O82" s="144"/>
    </row>
    <row r="83" spans="1:15" ht="39.9" customHeight="1" x14ac:dyDescent="0.55000000000000004">
      <c r="A83" s="4"/>
      <c r="B83" s="10"/>
      <c r="C83" s="10"/>
      <c r="D83" s="10"/>
      <c r="E83" s="10"/>
      <c r="F83" s="4"/>
      <c r="G83" s="4"/>
      <c r="H83" s="4"/>
      <c r="I83" s="4"/>
      <c r="J83" s="4"/>
      <c r="K83" s="1"/>
      <c r="L83" s="93"/>
      <c r="M83" s="132"/>
      <c r="N83" s="2"/>
      <c r="O83" s="144"/>
    </row>
    <row r="84" spans="1:15" ht="39.9" customHeight="1" x14ac:dyDescent="0.55000000000000004">
      <c r="A84" s="4"/>
      <c r="B84" s="10"/>
      <c r="C84" s="10"/>
      <c r="D84" s="10"/>
      <c r="E84" s="10"/>
      <c r="F84" s="4"/>
      <c r="G84" s="4"/>
      <c r="H84" s="4"/>
      <c r="I84" s="4"/>
      <c r="J84" s="4"/>
      <c r="K84" s="1"/>
      <c r="L84" s="93"/>
      <c r="M84" s="132"/>
      <c r="N84" s="2"/>
      <c r="O84" s="144"/>
    </row>
    <row r="85" spans="1:15" ht="39.9" customHeight="1" x14ac:dyDescent="0.55000000000000004">
      <c r="A85" s="4"/>
      <c r="B85" s="10"/>
      <c r="C85" s="10"/>
      <c r="D85" s="10"/>
      <c r="E85" s="10"/>
      <c r="F85" s="4"/>
      <c r="G85" s="4"/>
      <c r="H85" s="4"/>
      <c r="I85" s="4"/>
      <c r="J85" s="4"/>
      <c r="K85" s="1"/>
      <c r="L85" s="93"/>
      <c r="M85" s="132"/>
      <c r="N85" s="2"/>
      <c r="O85" s="144"/>
    </row>
    <row r="86" spans="1:15" ht="39.9" customHeight="1" x14ac:dyDescent="0.55000000000000004">
      <c r="A86" s="4"/>
      <c r="B86" s="10"/>
      <c r="C86" s="10"/>
      <c r="D86" s="10"/>
      <c r="E86" s="10"/>
      <c r="F86" s="4"/>
      <c r="G86" s="4"/>
      <c r="H86" s="4"/>
      <c r="I86" s="4"/>
      <c r="J86" s="4"/>
      <c r="K86" s="1"/>
      <c r="L86" s="93"/>
      <c r="M86" s="132"/>
      <c r="N86" s="2"/>
      <c r="O86" s="144"/>
    </row>
    <row r="87" spans="1:15" ht="39.9" customHeight="1" x14ac:dyDescent="0.55000000000000004">
      <c r="A87" s="4"/>
      <c r="B87" s="10"/>
      <c r="C87" s="10"/>
      <c r="D87" s="10"/>
      <c r="E87" s="10"/>
      <c r="F87" s="4"/>
      <c r="G87" s="4"/>
      <c r="H87" s="4"/>
      <c r="I87" s="4"/>
      <c r="J87" s="4"/>
      <c r="K87" s="1"/>
      <c r="L87" s="93"/>
      <c r="M87" s="132"/>
      <c r="N87" s="2"/>
      <c r="O87" s="144"/>
    </row>
    <row r="88" spans="1:15" ht="39.9" customHeight="1" x14ac:dyDescent="0.55000000000000004">
      <c r="A88" s="4"/>
      <c r="B88" s="10"/>
      <c r="C88" s="10"/>
      <c r="D88" s="10"/>
      <c r="E88" s="10"/>
      <c r="F88" s="4"/>
      <c r="G88" s="4"/>
      <c r="H88" s="4"/>
      <c r="I88" s="4"/>
      <c r="J88" s="4"/>
      <c r="K88" s="1"/>
      <c r="L88" s="93"/>
      <c r="M88" s="132"/>
      <c r="N88" s="2"/>
      <c r="O88" s="144"/>
    </row>
    <row r="89" spans="1:15" ht="63.6" customHeight="1" x14ac:dyDescent="0.55000000000000004">
      <c r="A89" s="4"/>
      <c r="B89" s="10"/>
      <c r="C89" s="10"/>
      <c r="D89" s="10"/>
      <c r="E89" s="10"/>
      <c r="F89" s="4"/>
      <c r="G89" s="4"/>
      <c r="H89" s="4"/>
      <c r="I89" s="4"/>
      <c r="J89" s="4"/>
      <c r="K89" s="1"/>
      <c r="L89" s="93"/>
      <c r="M89" s="132"/>
      <c r="N89" s="2"/>
      <c r="O89" s="144"/>
    </row>
    <row r="90" spans="1:15" ht="39.9" customHeight="1" x14ac:dyDescent="0.55000000000000004">
      <c r="A90" s="4"/>
      <c r="B90" s="10"/>
      <c r="C90" s="10"/>
      <c r="D90" s="10"/>
      <c r="E90" s="10"/>
      <c r="F90" s="4"/>
      <c r="G90" s="4"/>
      <c r="H90" s="4"/>
      <c r="I90" s="4"/>
      <c r="J90" s="4"/>
      <c r="K90" s="1"/>
      <c r="L90" s="93"/>
      <c r="M90" s="132"/>
      <c r="N90" s="2"/>
      <c r="O90" s="144"/>
    </row>
    <row r="91" spans="1:15" ht="39.9" customHeight="1" x14ac:dyDescent="0.55000000000000004">
      <c r="A91" s="4"/>
      <c r="B91" s="10"/>
      <c r="C91" s="10"/>
      <c r="D91" s="10"/>
      <c r="E91" s="10"/>
      <c r="F91" s="4"/>
      <c r="G91" s="4"/>
      <c r="H91" s="4"/>
      <c r="I91" s="4"/>
      <c r="J91" s="4"/>
      <c r="K91" s="1"/>
      <c r="L91" s="93"/>
      <c r="M91" s="132"/>
      <c r="N91" s="2"/>
      <c r="O91" s="144"/>
    </row>
    <row r="92" spans="1:15" ht="39.9" customHeight="1" x14ac:dyDescent="0.55000000000000004">
      <c r="A92" s="4"/>
      <c r="B92" s="10"/>
      <c r="C92" s="10"/>
      <c r="D92" s="10"/>
      <c r="E92" s="10"/>
      <c r="F92" s="4"/>
      <c r="G92" s="4"/>
      <c r="H92" s="4"/>
      <c r="I92" s="4"/>
      <c r="J92" s="4"/>
      <c r="K92" s="1"/>
      <c r="L92" s="93"/>
      <c r="M92" s="132"/>
      <c r="N92" s="2"/>
      <c r="O92" s="144"/>
    </row>
    <row r="93" spans="1:15" ht="39.6" customHeight="1" x14ac:dyDescent="0.55000000000000004">
      <c r="A93" s="4"/>
      <c r="B93" s="10"/>
      <c r="C93" s="10"/>
      <c r="D93" s="10"/>
      <c r="E93" s="10"/>
      <c r="F93" s="4"/>
      <c r="G93" s="4"/>
      <c r="H93" s="4"/>
      <c r="I93" s="4"/>
      <c r="J93" s="4"/>
      <c r="K93" s="1"/>
      <c r="L93" s="93"/>
      <c r="M93" s="132"/>
      <c r="N93" s="2"/>
      <c r="O93" s="144"/>
    </row>
    <row r="94" spans="1:15" ht="39.6" customHeight="1" x14ac:dyDescent="0.55000000000000004">
      <c r="A94" s="4"/>
      <c r="B94" s="10"/>
      <c r="C94" s="10"/>
      <c r="D94" s="10"/>
      <c r="E94" s="10"/>
      <c r="F94" s="4"/>
      <c r="G94" s="4"/>
      <c r="H94" s="4"/>
      <c r="I94" s="4"/>
      <c r="J94" s="4"/>
      <c r="K94" s="1"/>
      <c r="L94" s="93"/>
      <c r="M94" s="132"/>
      <c r="N94" s="2"/>
      <c r="O94" s="144"/>
    </row>
    <row r="95" spans="1:15" ht="39.9" customHeight="1" x14ac:dyDescent="0.55000000000000004">
      <c r="A95" s="4"/>
      <c r="B95" s="10"/>
      <c r="C95" s="10"/>
      <c r="D95" s="10"/>
      <c r="E95" s="10"/>
      <c r="F95" s="4"/>
      <c r="G95" s="4"/>
      <c r="H95" s="4"/>
      <c r="I95" s="4"/>
      <c r="J95" s="4"/>
      <c r="K95" s="1"/>
      <c r="L95" s="93"/>
      <c r="M95" s="132"/>
      <c r="N95" s="2"/>
      <c r="O95" s="144"/>
    </row>
    <row r="96" spans="1:15" ht="39.9" customHeight="1" x14ac:dyDescent="0.55000000000000004">
      <c r="A96" s="4"/>
      <c r="B96" s="10"/>
      <c r="C96" s="10"/>
      <c r="D96" s="10"/>
      <c r="E96" s="10"/>
      <c r="F96" s="4"/>
      <c r="G96" s="4"/>
      <c r="H96" s="4"/>
      <c r="I96" s="4"/>
      <c r="J96" s="4"/>
      <c r="K96" s="1"/>
      <c r="L96" s="93"/>
      <c r="M96" s="132"/>
      <c r="N96" s="2"/>
      <c r="O96" s="144"/>
    </row>
    <row r="97" spans="1:15" ht="39.6" customHeight="1" x14ac:dyDescent="0.55000000000000004">
      <c r="A97" s="4"/>
      <c r="B97" s="10"/>
      <c r="C97" s="10"/>
      <c r="D97" s="10"/>
      <c r="E97" s="10"/>
      <c r="F97" s="4"/>
      <c r="G97" s="4"/>
      <c r="H97" s="4"/>
      <c r="I97" s="4"/>
      <c r="J97" s="4"/>
      <c r="K97" s="1"/>
      <c r="L97" s="93"/>
      <c r="M97" s="132"/>
      <c r="N97" s="2"/>
      <c r="O97" s="144"/>
    </row>
    <row r="98" spans="1:15" ht="39.9" customHeight="1" x14ac:dyDescent="0.55000000000000004">
      <c r="A98" s="4"/>
      <c r="B98" s="10"/>
      <c r="C98" s="10"/>
      <c r="D98" s="10"/>
      <c r="E98" s="10"/>
      <c r="F98" s="4"/>
      <c r="G98" s="4"/>
      <c r="H98" s="4"/>
      <c r="I98" s="4"/>
      <c r="J98" s="4"/>
      <c r="K98" s="1"/>
      <c r="L98" s="93"/>
      <c r="M98" s="132"/>
      <c r="N98" s="2"/>
      <c r="O98" s="144"/>
    </row>
    <row r="99" spans="1:15" ht="39.9" customHeight="1" x14ac:dyDescent="0.55000000000000004">
      <c r="A99" s="4"/>
      <c r="B99" s="10"/>
      <c r="C99" s="10"/>
      <c r="D99" s="10"/>
      <c r="E99" s="10"/>
      <c r="F99" s="4"/>
      <c r="G99" s="4"/>
      <c r="H99" s="4"/>
      <c r="I99" s="4"/>
      <c r="J99" s="4"/>
      <c r="K99" s="1"/>
      <c r="L99" s="93"/>
      <c r="M99" s="132"/>
      <c r="N99" s="2"/>
      <c r="O99" s="144"/>
    </row>
    <row r="100" spans="1:15" ht="39.9" customHeight="1" x14ac:dyDescent="0.55000000000000004">
      <c r="A100" s="4"/>
      <c r="B100" s="10"/>
      <c r="C100" s="10"/>
      <c r="D100" s="10"/>
      <c r="E100" s="10"/>
      <c r="F100" s="4"/>
      <c r="G100" s="4"/>
      <c r="H100" s="4"/>
      <c r="I100" s="4"/>
      <c r="J100" s="4"/>
      <c r="K100" s="1"/>
      <c r="L100" s="93"/>
      <c r="M100" s="132"/>
      <c r="N100" s="2"/>
      <c r="O100" s="144"/>
    </row>
    <row r="101" spans="1:15" ht="39.9" customHeight="1" x14ac:dyDescent="0.55000000000000004">
      <c r="A101" s="4"/>
      <c r="B101" s="10"/>
      <c r="C101" s="10"/>
      <c r="D101" s="10"/>
      <c r="E101" s="10"/>
      <c r="F101" s="4"/>
      <c r="G101" s="4"/>
      <c r="H101" s="4"/>
      <c r="I101" s="4"/>
      <c r="J101" s="4"/>
      <c r="K101" s="1"/>
      <c r="L101" s="93"/>
      <c r="M101" s="132"/>
      <c r="N101" s="2"/>
      <c r="O101" s="144"/>
    </row>
    <row r="102" spans="1:15" ht="39.9" customHeight="1" x14ac:dyDescent="0.55000000000000004">
      <c r="A102" s="4"/>
      <c r="B102" s="10"/>
      <c r="C102" s="10"/>
      <c r="D102" s="10"/>
      <c r="E102" s="10"/>
      <c r="F102" s="4"/>
      <c r="G102" s="4"/>
      <c r="H102" s="4"/>
      <c r="I102" s="4"/>
      <c r="J102" s="4"/>
      <c r="K102" s="1"/>
      <c r="L102" s="93"/>
      <c r="M102" s="132"/>
      <c r="N102" s="2"/>
      <c r="O102" s="144"/>
    </row>
    <row r="103" spans="1:15" ht="39.9" customHeight="1" x14ac:dyDescent="0.55000000000000004">
      <c r="A103" s="4"/>
      <c r="B103" s="10"/>
      <c r="C103" s="10"/>
      <c r="D103" s="10"/>
      <c r="E103" s="10"/>
      <c r="F103" s="4"/>
      <c r="G103" s="4"/>
      <c r="H103" s="4"/>
      <c r="I103" s="4"/>
      <c r="J103" s="4"/>
      <c r="K103" s="1"/>
      <c r="L103" s="93"/>
      <c r="M103" s="132"/>
      <c r="N103" s="2"/>
      <c r="O103" s="144"/>
    </row>
    <row r="104" spans="1:15" ht="39.9" customHeight="1" x14ac:dyDescent="0.55000000000000004">
      <c r="A104" s="4"/>
      <c r="B104" s="10"/>
      <c r="C104" s="10"/>
      <c r="D104" s="10"/>
      <c r="E104" s="10"/>
      <c r="F104" s="4"/>
      <c r="G104" s="4"/>
      <c r="H104" s="4"/>
      <c r="I104" s="4"/>
      <c r="J104" s="4"/>
      <c r="K104" s="1"/>
      <c r="L104" s="93"/>
      <c r="M104" s="132"/>
      <c r="N104" s="2"/>
      <c r="O104" s="144"/>
    </row>
    <row r="105" spans="1:15" ht="39.9" customHeight="1" x14ac:dyDescent="0.55000000000000004">
      <c r="A105" s="4"/>
      <c r="B105" s="10"/>
      <c r="C105" s="10"/>
      <c r="D105" s="10"/>
      <c r="E105" s="10"/>
      <c r="F105" s="4"/>
      <c r="G105" s="4"/>
      <c r="H105" s="4"/>
      <c r="I105" s="4"/>
      <c r="J105" s="4"/>
      <c r="K105" s="1"/>
      <c r="L105" s="93"/>
      <c r="M105" s="132"/>
      <c r="N105" s="2"/>
      <c r="O105" s="144"/>
    </row>
    <row r="106" spans="1:15" ht="39.9" customHeight="1" x14ac:dyDescent="0.55000000000000004">
      <c r="A106" s="4"/>
      <c r="B106" s="10"/>
      <c r="C106" s="10"/>
      <c r="D106" s="10"/>
      <c r="E106" s="10"/>
      <c r="F106" s="4"/>
      <c r="G106" s="4"/>
      <c r="H106" s="4"/>
      <c r="I106" s="4"/>
      <c r="J106" s="4"/>
      <c r="K106" s="1"/>
      <c r="L106" s="93"/>
      <c r="M106" s="132"/>
      <c r="N106" s="2"/>
      <c r="O106" s="144"/>
    </row>
    <row r="107" spans="1:15" ht="39.9" customHeight="1" x14ac:dyDescent="0.55000000000000004">
      <c r="A107" s="4"/>
      <c r="B107" s="10"/>
      <c r="C107" s="10"/>
      <c r="D107" s="10"/>
      <c r="E107" s="10"/>
      <c r="F107" s="4"/>
      <c r="G107" s="4"/>
      <c r="H107" s="4"/>
      <c r="I107" s="4"/>
      <c r="J107" s="4"/>
      <c r="K107" s="1"/>
      <c r="L107" s="93"/>
      <c r="M107" s="132"/>
      <c r="N107" s="2"/>
      <c r="O107" s="144"/>
    </row>
    <row r="108" spans="1:15" ht="39.9" customHeight="1" x14ac:dyDescent="0.55000000000000004">
      <c r="A108" s="4"/>
      <c r="B108" s="10"/>
      <c r="C108" s="10"/>
      <c r="D108" s="10"/>
      <c r="E108" s="10"/>
      <c r="F108" s="4"/>
      <c r="G108" s="4"/>
      <c r="H108" s="4"/>
      <c r="I108" s="4"/>
      <c r="J108" s="4"/>
      <c r="K108" s="1"/>
      <c r="L108" s="93"/>
      <c r="M108" s="132"/>
      <c r="N108" s="2"/>
      <c r="O108" s="144"/>
    </row>
    <row r="109" spans="1:15" ht="39.9" customHeight="1" x14ac:dyDescent="0.55000000000000004">
      <c r="A109" s="4"/>
      <c r="B109" s="10"/>
      <c r="C109" s="10"/>
      <c r="D109" s="10"/>
      <c r="E109" s="10"/>
      <c r="F109" s="4"/>
      <c r="G109" s="4"/>
      <c r="H109" s="4"/>
      <c r="I109" s="4"/>
      <c r="J109" s="4"/>
      <c r="K109" s="1"/>
      <c r="L109" s="93"/>
      <c r="M109" s="132"/>
      <c r="N109" s="2"/>
      <c r="O109" s="144"/>
    </row>
    <row r="110" spans="1:15" ht="39.9" customHeight="1" x14ac:dyDescent="0.55000000000000004">
      <c r="A110" s="4"/>
      <c r="B110" s="10"/>
      <c r="C110" s="10"/>
      <c r="D110" s="10"/>
      <c r="E110" s="10"/>
      <c r="F110" s="4"/>
      <c r="G110" s="4"/>
      <c r="H110" s="4"/>
      <c r="I110" s="4"/>
      <c r="J110" s="4"/>
      <c r="K110" s="1"/>
      <c r="L110" s="93"/>
      <c r="M110" s="132"/>
      <c r="N110" s="2"/>
      <c r="O110" s="144"/>
    </row>
    <row r="111" spans="1:15" ht="39.9" customHeight="1" x14ac:dyDescent="0.55000000000000004">
      <c r="A111" s="4"/>
      <c r="B111" s="10"/>
      <c r="C111" s="10"/>
      <c r="D111" s="10"/>
      <c r="E111" s="10"/>
      <c r="F111" s="4"/>
      <c r="G111" s="4"/>
      <c r="H111" s="4"/>
      <c r="I111" s="4"/>
      <c r="J111" s="4"/>
      <c r="K111" s="1"/>
      <c r="L111" s="93"/>
      <c r="M111" s="132"/>
      <c r="N111" s="2"/>
      <c r="O111" s="144"/>
    </row>
    <row r="112" spans="1:15" ht="39.9" customHeight="1" x14ac:dyDescent="0.55000000000000004">
      <c r="A112" s="4"/>
      <c r="B112" s="10"/>
      <c r="C112" s="10"/>
      <c r="D112" s="10"/>
      <c r="E112" s="10"/>
      <c r="F112" s="4"/>
      <c r="G112" s="4"/>
      <c r="H112" s="4"/>
      <c r="I112" s="4"/>
      <c r="J112" s="4"/>
      <c r="K112" s="1"/>
      <c r="L112" s="93"/>
      <c r="M112" s="132"/>
      <c r="N112" s="2"/>
      <c r="O112" s="144"/>
    </row>
    <row r="113" spans="1:15" ht="39.9" customHeight="1" x14ac:dyDescent="0.55000000000000004">
      <c r="A113" s="4"/>
      <c r="B113" s="10"/>
      <c r="C113" s="10"/>
      <c r="D113" s="10"/>
      <c r="E113" s="10"/>
      <c r="F113" s="4"/>
      <c r="G113" s="4"/>
      <c r="H113" s="4"/>
      <c r="I113" s="4"/>
      <c r="J113" s="4"/>
      <c r="K113" s="1"/>
      <c r="L113" s="93"/>
      <c r="M113" s="132"/>
      <c r="N113" s="2"/>
      <c r="O113" s="144"/>
    </row>
    <row r="114" spans="1:15" ht="39.9" customHeight="1" x14ac:dyDescent="0.55000000000000004">
      <c r="A114" s="4"/>
      <c r="B114" s="10"/>
      <c r="C114" s="10"/>
      <c r="D114" s="10"/>
      <c r="E114" s="10"/>
      <c r="F114" s="4"/>
      <c r="G114" s="4"/>
      <c r="H114" s="4"/>
      <c r="I114" s="4"/>
      <c r="J114" s="4"/>
      <c r="K114" s="1"/>
      <c r="L114" s="93"/>
      <c r="M114" s="132"/>
      <c r="N114" s="2"/>
      <c r="O114" s="144"/>
    </row>
    <row r="115" spans="1:15" ht="39.9" customHeight="1" x14ac:dyDescent="0.55000000000000004">
      <c r="A115" s="4"/>
      <c r="B115" s="10"/>
      <c r="C115" s="10"/>
      <c r="D115" s="10"/>
      <c r="E115" s="10"/>
      <c r="F115" s="4"/>
      <c r="G115" s="4"/>
      <c r="H115" s="4"/>
      <c r="I115" s="4"/>
      <c r="J115" s="4"/>
      <c r="K115" s="1"/>
      <c r="L115" s="93"/>
      <c r="M115" s="132"/>
      <c r="N115" s="2"/>
      <c r="O115" s="144"/>
    </row>
    <row r="116" spans="1:15" ht="39.9" customHeight="1" x14ac:dyDescent="0.55000000000000004">
      <c r="A116" s="4"/>
      <c r="B116" s="10"/>
      <c r="C116" s="10"/>
      <c r="D116" s="10"/>
      <c r="E116" s="10"/>
      <c r="F116" s="4"/>
      <c r="G116" s="4"/>
      <c r="H116" s="4"/>
      <c r="I116" s="4"/>
      <c r="J116" s="4"/>
      <c r="K116" s="1"/>
      <c r="L116" s="93"/>
      <c r="M116" s="132"/>
      <c r="N116" s="2"/>
      <c r="O116" s="144"/>
    </row>
    <row r="117" spans="1:15" ht="39.9" customHeight="1" x14ac:dyDescent="0.55000000000000004">
      <c r="A117" s="4"/>
      <c r="B117" s="10"/>
      <c r="C117" s="10"/>
      <c r="D117" s="10"/>
      <c r="E117" s="10"/>
      <c r="F117" s="4"/>
      <c r="G117" s="4"/>
      <c r="H117" s="4"/>
      <c r="I117" s="4"/>
      <c r="J117" s="4"/>
      <c r="K117" s="1"/>
      <c r="L117" s="93"/>
      <c r="M117" s="132"/>
      <c r="N117" s="2"/>
      <c r="O117" s="144"/>
    </row>
    <row r="118" spans="1:15" ht="39.9" customHeight="1" x14ac:dyDescent="0.55000000000000004">
      <c r="A118" s="4"/>
      <c r="B118" s="10"/>
      <c r="C118" s="10"/>
      <c r="D118" s="10"/>
      <c r="E118" s="10"/>
      <c r="F118" s="4"/>
      <c r="G118" s="4"/>
      <c r="H118" s="4"/>
      <c r="I118" s="4"/>
      <c r="J118" s="4"/>
      <c r="K118" s="1"/>
      <c r="L118" s="93"/>
      <c r="M118" s="132"/>
      <c r="N118" s="2"/>
      <c r="O118" s="144"/>
    </row>
    <row r="119" spans="1:15" ht="39.9" customHeight="1" x14ac:dyDescent="0.55000000000000004">
      <c r="A119" s="4"/>
      <c r="B119" s="10"/>
      <c r="C119" s="10"/>
      <c r="D119" s="10"/>
      <c r="E119" s="10"/>
      <c r="F119" s="4"/>
      <c r="G119" s="4"/>
      <c r="H119" s="4"/>
      <c r="I119" s="4"/>
      <c r="J119" s="4"/>
      <c r="K119" s="1"/>
      <c r="L119" s="93"/>
      <c r="M119" s="132"/>
      <c r="N119" s="2"/>
      <c r="O119" s="144"/>
    </row>
    <row r="120" spans="1:15" ht="39.9" customHeight="1" x14ac:dyDescent="0.55000000000000004">
      <c r="A120" s="4"/>
      <c r="B120" s="10"/>
      <c r="C120" s="10"/>
      <c r="D120" s="10"/>
      <c r="E120" s="10"/>
      <c r="F120" s="4"/>
      <c r="G120" s="4"/>
      <c r="H120" s="4"/>
      <c r="I120" s="4"/>
      <c r="J120" s="4"/>
      <c r="K120" s="1"/>
      <c r="L120" s="93"/>
      <c r="M120" s="132"/>
      <c r="N120" s="2"/>
      <c r="O120" s="144"/>
    </row>
    <row r="121" spans="1:15" ht="39.9" customHeight="1" x14ac:dyDescent="0.55000000000000004">
      <c r="A121" s="4"/>
      <c r="B121" s="10"/>
      <c r="C121" s="10"/>
      <c r="D121" s="10"/>
      <c r="E121" s="10"/>
      <c r="F121" s="4"/>
      <c r="G121" s="4"/>
      <c r="H121" s="4"/>
      <c r="I121" s="4"/>
      <c r="J121" s="4"/>
      <c r="K121" s="1"/>
      <c r="L121" s="93"/>
      <c r="M121" s="132"/>
      <c r="N121" s="2"/>
      <c r="O121" s="144"/>
    </row>
    <row r="122" spans="1:15" ht="39.9" customHeight="1" x14ac:dyDescent="0.55000000000000004">
      <c r="A122" s="4"/>
      <c r="B122" s="10"/>
      <c r="C122" s="10"/>
      <c r="D122" s="10"/>
      <c r="E122" s="10"/>
      <c r="F122" s="4"/>
      <c r="G122" s="4"/>
      <c r="H122" s="4"/>
      <c r="I122" s="4"/>
      <c r="J122" s="4"/>
      <c r="K122" s="1"/>
      <c r="L122" s="93"/>
      <c r="M122" s="132"/>
      <c r="N122" s="2"/>
      <c r="O122" s="144"/>
    </row>
    <row r="123" spans="1:15" ht="39.9" customHeight="1" x14ac:dyDescent="0.55000000000000004">
      <c r="A123" s="4"/>
      <c r="B123" s="10"/>
      <c r="C123" s="10"/>
      <c r="D123" s="10"/>
      <c r="E123" s="10"/>
      <c r="F123" s="4"/>
      <c r="G123" s="4"/>
      <c r="H123" s="4"/>
      <c r="I123" s="4"/>
      <c r="J123" s="4"/>
      <c r="K123" s="1"/>
      <c r="L123" s="93"/>
      <c r="M123" s="132"/>
      <c r="N123" s="2"/>
      <c r="O123" s="144"/>
    </row>
    <row r="124" spans="1:15" ht="39.9" customHeight="1" x14ac:dyDescent="0.55000000000000004">
      <c r="A124" s="4"/>
      <c r="B124" s="10"/>
      <c r="C124" s="10"/>
      <c r="D124" s="10"/>
      <c r="E124" s="10"/>
      <c r="F124" s="4"/>
      <c r="G124" s="4"/>
      <c r="H124" s="4"/>
      <c r="I124" s="4"/>
      <c r="J124" s="4"/>
      <c r="K124" s="1"/>
      <c r="L124" s="93"/>
      <c r="M124" s="132"/>
      <c r="N124" s="2"/>
      <c r="O124" s="144"/>
    </row>
    <row r="125" spans="1:15" ht="39.9" customHeight="1" x14ac:dyDescent="0.55000000000000004">
      <c r="A125" s="4"/>
      <c r="B125" s="10"/>
      <c r="C125" s="10"/>
      <c r="D125" s="10"/>
      <c r="E125" s="10"/>
      <c r="F125" s="4"/>
      <c r="G125" s="4"/>
      <c r="H125" s="4"/>
      <c r="I125" s="4"/>
      <c r="J125" s="4"/>
      <c r="K125" s="1"/>
      <c r="L125" s="93"/>
      <c r="M125" s="132"/>
      <c r="N125" s="2"/>
      <c r="O125" s="144"/>
    </row>
    <row r="126" spans="1:15" ht="39.9" customHeight="1" x14ac:dyDescent="0.55000000000000004">
      <c r="A126" s="4"/>
      <c r="B126" s="10"/>
      <c r="C126" s="10"/>
      <c r="D126" s="10"/>
      <c r="E126" s="10"/>
      <c r="F126" s="4"/>
      <c r="G126" s="4"/>
      <c r="H126" s="4"/>
      <c r="I126" s="4"/>
      <c r="J126" s="4"/>
      <c r="K126" s="1"/>
      <c r="L126" s="93"/>
      <c r="M126" s="132"/>
      <c r="N126" s="2"/>
      <c r="O126" s="144"/>
    </row>
    <row r="127" spans="1:15" ht="39.9" customHeight="1" x14ac:dyDescent="0.55000000000000004">
      <c r="A127" s="4">
        <v>62</v>
      </c>
      <c r="B127" s="10"/>
      <c r="C127" s="10"/>
      <c r="D127" s="10"/>
      <c r="E127" s="10"/>
      <c r="F127" s="4"/>
      <c r="G127" s="4"/>
      <c r="H127" s="4">
        <f>I127-N127</f>
        <v>0</v>
      </c>
      <c r="I127" s="4"/>
      <c r="J127" s="4">
        <f>K127-I127</f>
        <v>0</v>
      </c>
      <c r="K127" s="1"/>
      <c r="L127" s="93"/>
      <c r="M127" s="132"/>
      <c r="N127" s="2"/>
      <c r="O127" s="144"/>
    </row>
    <row r="128" spans="1:15" ht="39.9" customHeight="1" x14ac:dyDescent="0.55000000000000004">
      <c r="A128" s="443" t="s">
        <v>3</v>
      </c>
      <c r="B128" s="443"/>
      <c r="C128" s="443"/>
      <c r="D128" s="443"/>
      <c r="E128" s="443"/>
      <c r="F128" s="4"/>
      <c r="G128" s="4"/>
      <c r="H128" s="4">
        <f>SUM(H10:H127)</f>
        <v>1118030.5900000001</v>
      </c>
      <c r="I128" s="4">
        <f>SUM(I10:I127)</f>
        <v>1131540.5900000001</v>
      </c>
      <c r="J128" s="4">
        <f>SUM(J10:J127)</f>
        <v>0</v>
      </c>
      <c r="K128" s="4">
        <f>SUM(K10:K127)</f>
        <v>1131540.5900000001</v>
      </c>
      <c r="L128" s="93"/>
      <c r="M128" s="132">
        <f>SUM(M10:M127)</f>
        <v>13510</v>
      </c>
      <c r="N128" s="4">
        <f>SUM(N10:N127)</f>
        <v>13510</v>
      </c>
      <c r="O128" s="144"/>
    </row>
    <row r="129" spans="1:15" ht="39.9" customHeight="1" x14ac:dyDescent="0.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8"/>
      <c r="L129" s="131"/>
      <c r="M129" s="133"/>
      <c r="N129" s="7"/>
      <c r="O129" s="144"/>
    </row>
  </sheetData>
  <autoFilter ref="A4:O52" xr:uid="{517BCC1D-8DA2-45B7-9FB0-4E8811EC4C0F}"/>
  <mergeCells count="2">
    <mergeCell ref="A1:O2"/>
    <mergeCell ref="A128:E128"/>
  </mergeCells>
  <printOptions horizontalCentered="1" verticalCentered="1"/>
  <pageMargins left="0" right="0" top="0" bottom="0" header="0" footer="0"/>
  <pageSetup scale="27" orientation="landscape" r:id="rId1"/>
  <rowBreaks count="1" manualBreakCount="1">
    <brk id="5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حياه كريمة -ابوحمص </vt:lpstr>
      <vt:lpstr>عمالة ومعدات ابوحمص</vt:lpstr>
      <vt:lpstr>محطة خرسانة -ابوحمص</vt:lpstr>
      <vt:lpstr>بشاير الخير 4 -رشيد</vt:lpstr>
      <vt:lpstr>بورتو جولف مارينا - العلمين</vt:lpstr>
      <vt:lpstr>مبنى التحريات - زيزينيا </vt:lpstr>
      <vt:lpstr>ترعة الحمام</vt:lpstr>
      <vt:lpstr>عام</vt:lpstr>
      <vt:lpstr>المنطقة الشمالية</vt:lpstr>
      <vt:lpstr>مقر الشركة الجديد</vt:lpstr>
      <vt:lpstr>'المنطقة الشمالية'!Print_Area</vt:lpstr>
      <vt:lpstr>'بشاير الخير 4 -رشيد'!Print_Area</vt:lpstr>
      <vt:lpstr>'بورتو جولف مارينا - العلمين'!Print_Area</vt:lpstr>
      <vt:lpstr>'ترعة الحمام'!Print_Area</vt:lpstr>
      <vt:lpstr>'حياه كريمة -ابوحمص '!Print_Area</vt:lpstr>
      <vt:lpstr>عام!Print_Area</vt:lpstr>
      <vt:lpstr>'عمالة ومعدات ابوحمص'!Print_Area</vt:lpstr>
      <vt:lpstr>'مبنى التحريات - زيزينيا '!Print_Area</vt:lpstr>
      <vt:lpstr>'محطة خرسانة -ابوحمص'!Print_Area</vt:lpstr>
      <vt:lpstr>'مقر الشركة الجديد'!Print_Area</vt:lpstr>
      <vt:lpstr>'بشاير الخير 4 -رشيد'!Print_Titles</vt:lpstr>
      <vt:lpstr>'بورتو جولف مارينا - العلمين'!Print_Titles</vt:lpstr>
      <vt:lpstr>'حياه كريمة -ابوحمص '!Print_Titles</vt:lpstr>
      <vt:lpstr>'عمالة ومعدات ابوحمص'!Print_Titles</vt:lpstr>
      <vt:lpstr>'محطة خرسانة -ابوحمص'!Print_Titles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2023-03-15T07:40:16Z</cp:lastPrinted>
  <dcterms:created xsi:type="dcterms:W3CDTF">2019-01-27T09:31:07Z</dcterms:created>
  <dcterms:modified xsi:type="dcterms:W3CDTF">2023-05-13T16:46:38Z</dcterms:modified>
</cp:coreProperties>
</file>