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hmetcan.akuz\Documents\GitHub\Optimus-Primary-Winding\Magnetic Design\"/>
    </mc:Choice>
  </mc:AlternateContent>
  <xr:revisionPtr revIDLastSave="0" documentId="13_ncr:1_{8380CFD7-E8C1-4B3F-9BCE-B52F27785A5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ransformer_Design" sheetId="1" r:id="rId1"/>
    <sheet name="AWG" sheetId="3" r:id="rId2"/>
    <sheet name="Sheet2" sheetId="2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1" l="1"/>
  <c r="B41" i="1"/>
  <c r="B42" i="1" s="1"/>
  <c r="B37" i="1"/>
  <c r="B14" i="1"/>
  <c r="B12" i="1"/>
  <c r="D34" i="1" a="1"/>
  <c r="G33" i="1" a="1"/>
  <c r="D33" i="1" a="1"/>
  <c r="L33" i="1" a="1"/>
  <c r="G34" i="1" a="1"/>
  <c r="L34" i="1" a="1"/>
  <c r="L34" i="1" l="1"/>
  <c r="L33" i="1"/>
  <c r="D34" i="1"/>
  <c r="G34" i="1"/>
  <c r="G33" i="1"/>
  <c r="D33" i="1"/>
  <c r="B22" i="1"/>
  <c r="B24" i="1"/>
  <c r="B13" i="1"/>
  <c r="B15" i="1" s="1"/>
  <c r="B31" i="1" s="1"/>
  <c r="J33" i="1" l="1"/>
  <c r="B23" i="1"/>
  <c r="B25" i="1" l="1"/>
  <c r="B39" i="1" s="1"/>
  <c r="D22" i="1"/>
  <c r="I28" i="1" s="1"/>
  <c r="C39" i="1" l="1"/>
  <c r="B26" i="1"/>
  <c r="B27" i="1" s="1"/>
  <c r="B28" i="1" s="1"/>
  <c r="B29" i="1" s="1"/>
  <c r="B32" i="1" s="1"/>
  <c r="J34" i="1" l="1"/>
  <c r="B40" i="1" l="1"/>
  <c r="B46" i="1" s="1"/>
  <c r="B35" i="1"/>
  <c r="B36" i="1" s="1"/>
  <c r="C4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<sst xmlns="http://schemas.openxmlformats.org/spreadsheetml/2006/main" count="218" uniqueCount="157">
  <si>
    <t>Voltage Pri Min</t>
  </si>
  <si>
    <t>V</t>
  </si>
  <si>
    <t>Voltage Pri Max</t>
  </si>
  <si>
    <t>POWER Out</t>
  </si>
  <si>
    <t>W</t>
  </si>
  <si>
    <t>Efficiency</t>
  </si>
  <si>
    <t>Fsw</t>
  </si>
  <si>
    <t>Hz</t>
  </si>
  <si>
    <t>Vout</t>
  </si>
  <si>
    <t>A</t>
  </si>
  <si>
    <t>Requirements</t>
  </si>
  <si>
    <t>Duty Cyle (Dmax)</t>
  </si>
  <si>
    <t>Pin_max</t>
  </si>
  <si>
    <t>Power Calculations</t>
  </si>
  <si>
    <t>I_pri</t>
  </si>
  <si>
    <t>Reflected Voltage (Vr)</t>
  </si>
  <si>
    <t>Vout_diode</t>
  </si>
  <si>
    <t>Note:</t>
  </si>
  <si>
    <t xml:space="preserve">Vr is chosen as 12V to obtain Dmax=0.5 </t>
  </si>
  <si>
    <t>Transformer Characteristics and Calculations</t>
  </si>
  <si>
    <t>Bmax</t>
  </si>
  <si>
    <t>Ae</t>
  </si>
  <si>
    <t>T</t>
  </si>
  <si>
    <t>mm^2</t>
  </si>
  <si>
    <t>Ipri,rms</t>
  </si>
  <si>
    <t>Arms</t>
  </si>
  <si>
    <t>L_pri</t>
  </si>
  <si>
    <t>Turn ratio (Np/Ns)</t>
  </si>
  <si>
    <t>Np</t>
  </si>
  <si>
    <t>H</t>
  </si>
  <si>
    <t>uH</t>
  </si>
  <si>
    <t>Np_integer</t>
  </si>
  <si>
    <t>Ns</t>
  </si>
  <si>
    <t>Ns_integer</t>
  </si>
  <si>
    <t>Isec</t>
  </si>
  <si>
    <t>Isec,rms</t>
  </si>
  <si>
    <t>A_L</t>
  </si>
  <si>
    <t>nH/turns^2</t>
  </si>
  <si>
    <t>Current Desity, J</t>
  </si>
  <si>
    <t>A/mm^2</t>
  </si>
  <si>
    <t>Krf</t>
  </si>
  <si>
    <t>Window Area,Aw</t>
  </si>
  <si>
    <t>A_pri</t>
  </si>
  <si>
    <t>A_sec</t>
  </si>
  <si>
    <t>Winding Area</t>
  </si>
  <si>
    <t>Fill factor, Kcu</t>
  </si>
  <si>
    <t>G gauge</t>
  </si>
  <si>
    <t>Conductor</t>
  </si>
  <si>
    <t>Diameter Inches</t>
  </si>
  <si>
    <t>Diameter mm</t>
  </si>
  <si>
    <r>
      <t>Conductor cross section in mm</t>
    </r>
    <r>
      <rPr>
        <vertAlign val="superscript"/>
        <sz val="8"/>
        <color rgb="FF000000"/>
        <rFont val="Arial"/>
        <family val="2"/>
      </rPr>
      <t>2</t>
    </r>
  </si>
  <si>
    <t>Ohms per 1000 ft.</t>
  </si>
  <si>
    <t>Ohms per km</t>
  </si>
  <si>
    <t>Maximum amps for chassis wiring</t>
  </si>
  <si>
    <t>Maximum amps for</t>
  </si>
  <si>
    <t>power transmission</t>
  </si>
  <si>
    <t>Maximum frequency for</t>
  </si>
  <si>
    <t>100% skin depth for solid conductor copper</t>
  </si>
  <si>
    <t>Breaking force Soft Annealed Cu 37000 PSI</t>
  </si>
  <si>
    <t>125 Hz</t>
  </si>
  <si>
    <t>6120 lbs</t>
  </si>
  <si>
    <t>160 Hz</t>
  </si>
  <si>
    <t>4860 lbs</t>
  </si>
  <si>
    <t>200 Hz</t>
  </si>
  <si>
    <t>3860 lbs</t>
  </si>
  <si>
    <t>250 Hz</t>
  </si>
  <si>
    <t>3060 lbs</t>
  </si>
  <si>
    <t>325 Hz</t>
  </si>
  <si>
    <t>2430 lbs</t>
  </si>
  <si>
    <t>410 Hz</t>
  </si>
  <si>
    <t>1930 lbs</t>
  </si>
  <si>
    <t>500 Hz</t>
  </si>
  <si>
    <t>1530 lbs</t>
  </si>
  <si>
    <t>650 Hz</t>
  </si>
  <si>
    <t>1210 lbs</t>
  </si>
  <si>
    <t>810 Hz</t>
  </si>
  <si>
    <t>960 lbs</t>
  </si>
  <si>
    <t>1100 Hz</t>
  </si>
  <si>
    <t>760 lbs</t>
  </si>
  <si>
    <t>1300 Hz</t>
  </si>
  <si>
    <t>605 lbs</t>
  </si>
  <si>
    <t>1650 Hz</t>
  </si>
  <si>
    <t>480 lbs</t>
  </si>
  <si>
    <t>2050 Hz</t>
  </si>
  <si>
    <t>380 lbs</t>
  </si>
  <si>
    <t>2600 Hz</t>
  </si>
  <si>
    <t>314 lbs</t>
  </si>
  <si>
    <t>3200 Hz</t>
  </si>
  <si>
    <t>249 lbs</t>
  </si>
  <si>
    <t>4150 Hz</t>
  </si>
  <si>
    <t>197 lbs</t>
  </si>
  <si>
    <t>5300 Hz</t>
  </si>
  <si>
    <t>150 lbs</t>
  </si>
  <si>
    <t>6700 Hz</t>
  </si>
  <si>
    <t>119 lbs</t>
  </si>
  <si>
    <t>8250 Hz</t>
  </si>
  <si>
    <t>94 lbs</t>
  </si>
  <si>
    <t>11 k Hz</t>
  </si>
  <si>
    <t>75 lbs</t>
  </si>
  <si>
    <t>13 k Hz</t>
  </si>
  <si>
    <t>59 lbs</t>
  </si>
  <si>
    <t>17 kHz</t>
  </si>
  <si>
    <t>47 lbs</t>
  </si>
  <si>
    <t>21 kHz</t>
  </si>
  <si>
    <t>37 lbs</t>
  </si>
  <si>
    <t>27 kHz</t>
  </si>
  <si>
    <t>29 lbs</t>
  </si>
  <si>
    <t>33 kHz</t>
  </si>
  <si>
    <t>23 lbs</t>
  </si>
  <si>
    <t>42 kHz</t>
  </si>
  <si>
    <t>18 lbs</t>
  </si>
  <si>
    <t>53 kHz</t>
  </si>
  <si>
    <t>14.5 lbs</t>
  </si>
  <si>
    <t>68 kHz</t>
  </si>
  <si>
    <t>11.5 lbs</t>
  </si>
  <si>
    <t>85 kHz</t>
  </si>
  <si>
    <t>9 lbs</t>
  </si>
  <si>
    <t>107 kHz</t>
  </si>
  <si>
    <t>7.2 lbs</t>
  </si>
  <si>
    <t>130 kHz</t>
  </si>
  <si>
    <t>5.5 lbs</t>
  </si>
  <si>
    <t>170 kHz</t>
  </si>
  <si>
    <t>4.5 lbs</t>
  </si>
  <si>
    <t>210 kHz</t>
  </si>
  <si>
    <t>3.6 lbs</t>
  </si>
  <si>
    <t>270 kHz</t>
  </si>
  <si>
    <t>2.75 lbs</t>
  </si>
  <si>
    <t>340 kHz</t>
  </si>
  <si>
    <t>2.25 lbs</t>
  </si>
  <si>
    <t>430 kHz</t>
  </si>
  <si>
    <t>1.8 lbs</t>
  </si>
  <si>
    <t>Metric 2.0</t>
  </si>
  <si>
    <t>440 kHz</t>
  </si>
  <si>
    <t>primary cable AWG</t>
  </si>
  <si>
    <t>Diameter</t>
  </si>
  <si>
    <t>secondary cable AWG</t>
  </si>
  <si>
    <t>Area</t>
  </si>
  <si>
    <t>Parallel</t>
  </si>
  <si>
    <t>mm</t>
  </si>
  <si>
    <t>E42/21/20-3C94</t>
  </si>
  <si>
    <t xml:space="preserve"> Selected Core Name:</t>
  </si>
  <si>
    <t>MLT</t>
  </si>
  <si>
    <t>R_pri</t>
  </si>
  <si>
    <t>R_sec</t>
  </si>
  <si>
    <t>resis_pri</t>
  </si>
  <si>
    <t>resis_sec</t>
  </si>
  <si>
    <t>mOhm</t>
  </si>
  <si>
    <t>Le</t>
  </si>
  <si>
    <t>Gap length, l_g</t>
  </si>
  <si>
    <t>Permiability, u (ungapped)</t>
  </si>
  <si>
    <t>Steinmetz Coeff</t>
  </si>
  <si>
    <t>a</t>
  </si>
  <si>
    <t>x</t>
  </si>
  <si>
    <t>y</t>
  </si>
  <si>
    <t>Volume</t>
  </si>
  <si>
    <t>Core loss</t>
  </si>
  <si>
    <t>Copper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</si>
</sst>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b/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A9"/>
        <bgColor indexed="64"/>
      </patternFill>
    </fill>
  </fills>
  <borders count="1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/>
      <top style="thin">
        <color indexed="64"/>
      </top>
      <bottom/>
      <diagonal/>
    </border>
    <border>
      <left/>
      <right style="double">
        <color rgb="FF3F3F3F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3">
    <xf numFmtId="0" fontId="0" fillId="0" borderId="0" xfId="0"/>
    <xf numFmtId="0" fontId="0" fillId="0" borderId="2" xfId="0" applyBorder="1"/>
    <xf numFmtId="0" fontId="0" fillId="3" borderId="2" xfId="0" applyFill="1" applyBorder="1"/>
    <xf numFmtId="0" fontId="0" fillId="0" borderId="0" xfId="0" applyAlignment="1">
      <alignment horizontal="center"/>
    </xf>
    <xf numFmtId="0" fontId="0" fillId="4" borderId="2" xfId="0" applyFill="1" applyBorder="1"/>
    <xf numFmtId="0" fontId="0" fillId="5" borderId="2" xfId="0" applyFill="1" applyBorder="1"/>
    <xf numFmtId="0" fontId="0" fillId="4" borderId="12" xfId="0" applyFill="1" applyBorder="1"/>
    <xf numFmtId="0" fontId="0" fillId="0" borderId="12" xfId="0" applyBorder="1"/>
    <xf numFmtId="17" fontId="0" fillId="0" borderId="0" xfId="0" applyNumberFormat="1"/>
    <xf numFmtId="0" fontId="0" fillId="0" borderId="13" xfId="0" applyBorder="1"/>
    <xf numFmtId="0" fontId="0" fillId="3" borderId="8" xfId="0" applyFill="1" applyBorder="1"/>
    <xf numFmtId="0" fontId="2" fillId="6" borderId="15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0" fillId="0" borderId="17" xfId="0" applyBorder="1"/>
    <xf numFmtId="0" fontId="4" fillId="3" borderId="14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1" xfId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2" fillId="6" borderId="15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0" fillId="0" borderId="18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175260</xdr:colOff>
      <xdr:row>11</xdr:row>
      <xdr:rowOff>152400</xdr:rowOff>
    </xdr:from>
    <xdr:to>
      <xdr:col>8</xdr:col>
      <xdr:colOff>177989</xdr:colOff>
      <xdr:row>15</xdr:row>
      <xdr:rowOff>35340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9CDE50-E00E-414A-8C28-9A90CB2CE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7940" y="2186940"/>
          <a:ext cx="1367979" cy="605570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10</xdr:col>
      <xdr:colOff>60960</xdr:colOff>
      <xdr:row>12</xdr:row>
      <xdr:rowOff>45720</xdr:rowOff>
    </xdr:from>
    <xdr:to>
      <xdr:col>12</xdr:col>
      <xdr:colOff>225620</xdr:colOff>
      <xdr:row>14</xdr:row>
      <xdr:rowOff>172481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1196A0-DA7C-4FBA-803A-47EDF343C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02040" y="2263140"/>
          <a:ext cx="1382590" cy="483631"/>
        </a:xfrm>
        <a:prstGeom prst="rect">
          <a:avLst/>
        </a:prstGeom>
      </xdr:spPr>
    </xdr:pic>
    <xdr:clientData/>
  </xdr:twoCellAnchor>
  <xdr:twoCellAnchor editAs="oneCell">
    <xdr:from>
      <xdr:col>16</xdr:col>
      <xdr:colOff>205740</xdr:colOff>
      <xdr:row>12</xdr:row>
      <xdr:rowOff>68580</xdr:rowOff>
    </xdr:from>
    <xdr:to>
      <xdr:col>18</xdr:col>
      <xdr:colOff>216073</xdr:colOff>
      <xdr:row>14</xdr:row>
      <xdr:rowOff>101877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3E1515-7BDC-4D94-BFB3-79670D7A1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04420" y="2286000"/>
          <a:ext cx="1238423" cy="405407"/>
        </a:xfrm>
        <a:prstGeom prst="rect">
          <a:avLst/>
        </a:prstGeom>
      </xdr:spPr>
    </xdr:pic>
    <xdr:clientData/>
  </xdr:twoCellAnchor>
  <xdr:twoCellAnchor editAs="oneCell">
    <xdr:from>
      <xdr:col>13</xdr:col>
      <xdr:colOff>160020</xdr:colOff>
      <xdr:row>12</xdr:row>
      <xdr:rowOff>99060</xdr:rowOff>
    </xdr:from>
    <xdr:to>
      <xdr:col>14</xdr:col>
      <xdr:colOff>553251</xdr:colOff>
      <xdr:row>14</xdr:row>
      <xdr:rowOff>96047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FF6530C-3575-46DD-8A67-03003EA6C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29900" y="2316480"/>
          <a:ext cx="1200316" cy="356397"/>
        </a:xfrm>
        <a:prstGeom prst="rect">
          <a:avLst/>
        </a:prstGeom>
      </xdr:spPr>
    </xdr:pic>
    <xdr:clientData/>
  </xdr:twoCellAnchor>
  <xdr:twoCellAnchor editAs="oneCell">
    <xdr:from>
      <xdr:col>14</xdr:col>
      <xdr:colOff>148590</xdr:colOff>
      <xdr:row>16</xdr:row>
      <xdr:rowOff>107950</xdr:rowOff>
    </xdr:from>
    <xdr:to>
      <xdr:col>17</xdr:col>
      <xdr:colOff>225523</xdr:colOff>
      <xdr:row>18</xdr:row>
      <xdr:rowOff>137181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01BB1FA-F107-1B26-59E1-9CF1E13FE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90810" y="3056890"/>
          <a:ext cx="1905733" cy="386101"/>
        </a:xfrm>
        <a:prstGeom prst="rect">
          <a:avLst/>
        </a:prstGeom>
      </xdr:spPr>
    </xdr:pic>
    <xdr:clientData/>
  </xdr:twoCellAnchor>
  <xdr:twoCellAnchor editAs="oneCell">
    <xdr:from>
      <xdr:col>6</xdr:col>
      <xdr:colOff>234950</xdr:colOff>
      <xdr:row>15</xdr:row>
      <xdr:rowOff>99060</xdr:rowOff>
    </xdr:from>
    <xdr:to>
      <xdr:col>8</xdr:col>
      <xdr:colOff>378538</xdr:colOff>
      <xdr:row>19</xdr:row>
      <xdr:rowOff>62902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46A4CA8-430C-C118-8B6D-96DA8EBF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26990" y="2865120"/>
          <a:ext cx="1522808" cy="703617"/>
        </a:xfrm>
        <a:prstGeom prst="rect">
          <a:avLst/>
        </a:prstGeom>
      </xdr:spPr>
    </xdr:pic>
    <xdr:clientData/>
  </xdr:twoCellAnchor>
  <xdr:twoCellAnchor editAs="oneCell">
    <xdr:from>
      <xdr:col>10</xdr:col>
      <xdr:colOff>137160</xdr:colOff>
      <xdr:row>15</xdr:row>
      <xdr:rowOff>152400</xdr:rowOff>
    </xdr:from>
    <xdr:to>
      <xdr:col>13</xdr:col>
      <xdr:colOff>135889</xdr:colOff>
      <xdr:row>19</xdr:row>
      <xdr:rowOff>62230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C5FE2B-D029-3A15-28C3-F65BF2293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7620" y="2918460"/>
          <a:ext cx="1813559" cy="647700"/>
        </a:xfrm>
        <a:prstGeom prst="rect">
          <a:avLst/>
        </a:prstGeom>
      </xdr:spPr>
    </xdr:pic>
    <xdr:clientData/>
  </xdr:twoCellAnchor>
  <xdr:twoCellAnchor editAs="oneCell">
    <xdr:from>
      <xdr:col>6</xdr:col>
      <xdr:colOff>518160</xdr:colOff>
      <xdr:row>35</xdr:row>
      <xdr:rowOff>175260</xdr:rowOff>
    </xdr:from>
    <xdr:to>
      <xdr:col>9</xdr:col>
      <xdr:colOff>434505</xdr:colOff>
      <xdr:row>40</xdr:row>
      <xdr:rowOff>39438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3AB5A5-117A-7FCF-1E74-12689AE5D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69280" y="6812280"/>
          <a:ext cx="1905165" cy="778578"/>
        </a:xfrm>
        <a:prstGeom prst="rect">
          <a:avLst/>
        </a:prstGeom>
      </xdr:spPr>
    </xdr:pic>
    <xdr:clientData/>
  </xdr:twoCellAnchor>
  <xdr:twoCellAnchor editAs="oneCell">
    <xdr:from>
      <xdr:col>6</xdr:col>
      <xdr:colOff>586740</xdr:colOff>
      <xdr:row>42</xdr:row>
      <xdr:rowOff>31750</xdr:rowOff>
    </xdr:from>
    <xdr:to>
      <xdr:col>9</xdr:col>
      <xdr:colOff>581419</xdr:colOff>
      <xdr:row>45</xdr:row>
      <xdr:rowOff>20381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02207CF-3ED4-9D93-8D23-D5524BC9B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37860" y="7948930"/>
          <a:ext cx="1983499" cy="5372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141947</xdr:rowOff>
    </xdr:from>
    <xdr:to>
      <xdr:col>23</xdr:col>
      <xdr:colOff>463550</xdr:colOff>
      <xdr:row>39</xdr:row>
      <xdr:rowOff>60959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61F175-48CB-0DAE-B05C-F81C8BC77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247"/>
          <a:ext cx="14484350" cy="6732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topLeftCell="A20" workbookViewId="0">
      <selection activeCell="M41" sqref="M41"/>
    </sheetView>
  </sheetViews>
  <sheetFormatPr defaultRowHeight="14.4" x14ac:dyDescent="0.3"/>
  <cols>
    <col min="1" max="1" width="23.77734375" bestFit="1" customWidth="1"/>
    <col min="2" max="2" width="12.109375" bestFit="1" customWidth="1"/>
    <col min="3" max="3" width="11.44140625" customWidth="1"/>
    <col min="4" max="4" width="11.77734375" bestFit="1" customWidth="1"/>
    <col min="5" max="5" width="7.109375" customWidth="1"/>
    <col min="7" max="7" width="11.21875" customWidth="1"/>
    <col min="14" max="14" width="12" bestFit="1" customWidth="1"/>
  </cols>
  <sheetData>
    <row r="1" spans="1:16" ht="15.6" thickTop="1" thickBot="1" x14ac:dyDescent="0.35">
      <c r="A1" s="18" t="s">
        <v>10</v>
      </c>
      <c r="B1" s="19"/>
      <c r="C1" s="20"/>
    </row>
    <row r="2" spans="1:16" ht="15" thickTop="1" x14ac:dyDescent="0.3">
      <c r="A2" s="2" t="s">
        <v>0</v>
      </c>
      <c r="B2" s="1">
        <v>12</v>
      </c>
      <c r="C2" s="1" t="s">
        <v>1</v>
      </c>
    </row>
    <row r="3" spans="1:16" x14ac:dyDescent="0.3">
      <c r="A3" s="2" t="s">
        <v>2</v>
      </c>
      <c r="B3" s="1">
        <v>18</v>
      </c>
      <c r="C3" s="1" t="s">
        <v>1</v>
      </c>
    </row>
    <row r="4" spans="1:16" x14ac:dyDescent="0.3">
      <c r="A4" s="2" t="s">
        <v>3</v>
      </c>
      <c r="B4" s="1">
        <v>48</v>
      </c>
      <c r="C4" s="1" t="s">
        <v>4</v>
      </c>
    </row>
    <row r="5" spans="1:16" x14ac:dyDescent="0.3">
      <c r="A5" s="2" t="s">
        <v>5</v>
      </c>
      <c r="B5" s="1">
        <v>0.85</v>
      </c>
      <c r="C5" s="1"/>
    </row>
    <row r="6" spans="1:16" x14ac:dyDescent="0.3">
      <c r="A6" s="2" t="s">
        <v>6</v>
      </c>
      <c r="B6" s="1">
        <v>60000</v>
      </c>
      <c r="C6" s="1" t="s">
        <v>7</v>
      </c>
    </row>
    <row r="7" spans="1:16" x14ac:dyDescent="0.3">
      <c r="A7" s="2" t="s">
        <v>8</v>
      </c>
      <c r="B7" s="1">
        <v>48</v>
      </c>
      <c r="C7" s="1" t="s">
        <v>1</v>
      </c>
      <c r="K7" s="3"/>
    </row>
    <row r="8" spans="1:16" x14ac:dyDescent="0.3">
      <c r="A8" s="2" t="s">
        <v>16</v>
      </c>
      <c r="B8" s="5">
        <v>1</v>
      </c>
      <c r="C8" s="1" t="s">
        <v>1</v>
      </c>
    </row>
    <row r="9" spans="1:16" x14ac:dyDescent="0.3">
      <c r="A9" s="2" t="s">
        <v>15</v>
      </c>
      <c r="B9" s="1">
        <v>12</v>
      </c>
      <c r="C9" s="1" t="s">
        <v>1</v>
      </c>
      <c r="F9" s="4" t="s">
        <v>17</v>
      </c>
      <c r="G9" s="27" t="s">
        <v>18</v>
      </c>
      <c r="H9" s="27"/>
      <c r="I9" s="27"/>
      <c r="J9" s="27"/>
    </row>
    <row r="10" spans="1:16" x14ac:dyDescent="0.3">
      <c r="A10" s="10" t="s">
        <v>40</v>
      </c>
      <c r="B10" s="1">
        <v>0.4</v>
      </c>
      <c r="C10" s="1"/>
    </row>
    <row r="11" spans="1:16" x14ac:dyDescent="0.3">
      <c r="A11" s="21" t="s">
        <v>13</v>
      </c>
      <c r="B11" s="22"/>
      <c r="C11" s="23"/>
    </row>
    <row r="12" spans="1:16" x14ac:dyDescent="0.3">
      <c r="A12" s="4" t="s">
        <v>12</v>
      </c>
      <c r="B12" s="1">
        <f>B4/B5</f>
        <v>56.470588235294116</v>
      </c>
      <c r="C12" s="1" t="s">
        <v>4</v>
      </c>
    </row>
    <row r="13" spans="1:16" x14ac:dyDescent="0.3">
      <c r="A13" s="4" t="s">
        <v>14</v>
      </c>
      <c r="B13" s="1">
        <f>2*B12/(B2*B14)</f>
        <v>18.823529411764707</v>
      </c>
      <c r="C13" s="1" t="s">
        <v>9</v>
      </c>
    </row>
    <row r="14" spans="1:16" x14ac:dyDescent="0.3">
      <c r="A14" s="4" t="s">
        <v>11</v>
      </c>
      <c r="B14" s="5">
        <f>B9/(B9+B2)</f>
        <v>0.5</v>
      </c>
      <c r="C14" s="5"/>
      <c r="F14">
        <v>12</v>
      </c>
      <c r="J14">
        <v>13</v>
      </c>
      <c r="M14">
        <v>14</v>
      </c>
      <c r="P14">
        <v>15</v>
      </c>
    </row>
    <row r="15" spans="1:16" x14ac:dyDescent="0.3">
      <c r="A15" s="4" t="s">
        <v>24</v>
      </c>
      <c r="B15" s="1">
        <f>B13*SQRT(B14/3)</f>
        <v>7.684673702849186</v>
      </c>
      <c r="C15" s="1" t="s">
        <v>25</v>
      </c>
    </row>
    <row r="16" spans="1:16" x14ac:dyDescent="0.3">
      <c r="A16" s="4"/>
      <c r="B16" s="1"/>
      <c r="C16" s="1"/>
    </row>
    <row r="17" spans="1:14" x14ac:dyDescent="0.3">
      <c r="A17" s="24" t="s">
        <v>19</v>
      </c>
      <c r="B17" s="25"/>
      <c r="C17" s="26"/>
    </row>
    <row r="18" spans="1:14" x14ac:dyDescent="0.3">
      <c r="A18" s="2" t="s">
        <v>20</v>
      </c>
      <c r="B18" s="1">
        <v>0.27</v>
      </c>
      <c r="C18" s="1" t="s">
        <v>22</v>
      </c>
      <c r="F18">
        <v>21</v>
      </c>
      <c r="J18">
        <v>22</v>
      </c>
      <c r="N18">
        <v>23</v>
      </c>
    </row>
    <row r="19" spans="1:14" x14ac:dyDescent="0.3">
      <c r="A19" s="2" t="s">
        <v>21</v>
      </c>
      <c r="B19" s="5">
        <v>233</v>
      </c>
      <c r="C19" s="1" t="s">
        <v>23</v>
      </c>
    </row>
    <row r="20" spans="1:14" x14ac:dyDescent="0.3">
      <c r="A20" s="2" t="s">
        <v>41</v>
      </c>
      <c r="B20" s="5">
        <v>374</v>
      </c>
      <c r="C20" s="1" t="s">
        <v>23</v>
      </c>
    </row>
    <row r="21" spans="1:14" ht="31.2" customHeight="1" x14ac:dyDescent="0.3">
      <c r="A21" s="2" t="s">
        <v>36</v>
      </c>
      <c r="B21" s="5">
        <v>5200</v>
      </c>
      <c r="C21" s="1" t="s">
        <v>37</v>
      </c>
      <c r="D21" s="28" t="s">
        <v>140</v>
      </c>
      <c r="E21" s="28"/>
      <c r="F21" s="29" t="s">
        <v>139</v>
      </c>
      <c r="G21" s="29"/>
    </row>
    <row r="22" spans="1:14" x14ac:dyDescent="0.3">
      <c r="A22" s="4" t="s">
        <v>26</v>
      </c>
      <c r="B22" s="1">
        <f>(B2*B14)^2/(2*B12*B6*B10)</f>
        <v>1.3281250000000001E-5</v>
      </c>
      <c r="C22" s="1" t="s">
        <v>29</v>
      </c>
      <c r="D22" s="14">
        <f>B22*1000000</f>
        <v>13.281250000000002</v>
      </c>
      <c r="E22" s="14" t="s">
        <v>30</v>
      </c>
      <c r="F22" s="9"/>
    </row>
    <row r="23" spans="1:14" x14ac:dyDescent="0.3">
      <c r="A23" s="4" t="s">
        <v>28</v>
      </c>
      <c r="B23" s="1">
        <f>(B22*B13*10^6)/(B18*B19)</f>
        <v>3.9739310125576219</v>
      </c>
      <c r="C23" s="1"/>
    </row>
    <row r="24" spans="1:14" x14ac:dyDescent="0.3">
      <c r="A24" s="4" t="s">
        <v>27</v>
      </c>
      <c r="B24" s="1">
        <f>(B2*B14)/((B4+B8)*(1-B14))</f>
        <v>0.24489795918367346</v>
      </c>
      <c r="C24" s="1"/>
    </row>
    <row r="25" spans="1:14" x14ac:dyDescent="0.3">
      <c r="A25" s="4" t="s">
        <v>31</v>
      </c>
      <c r="B25" s="1">
        <f>ROUND(B23,0)</f>
        <v>4</v>
      </c>
      <c r="C25" s="1"/>
    </row>
    <row r="26" spans="1:14" x14ac:dyDescent="0.3">
      <c r="A26" s="4" t="s">
        <v>32</v>
      </c>
      <c r="B26" s="1">
        <f>B25/B24</f>
        <v>16.333333333333332</v>
      </c>
      <c r="C26" s="1"/>
    </row>
    <row r="27" spans="1:14" x14ac:dyDescent="0.3">
      <c r="A27" s="6" t="s">
        <v>33</v>
      </c>
      <c r="B27" s="7">
        <f>ROUND(B26,0)</f>
        <v>16</v>
      </c>
      <c r="C27" s="7"/>
      <c r="F27" s="17"/>
      <c r="G27" s="17"/>
    </row>
    <row r="28" spans="1:14" x14ac:dyDescent="0.3">
      <c r="A28" s="4" t="s">
        <v>34</v>
      </c>
      <c r="B28" s="1">
        <f>B13*B25/B27</f>
        <v>4.7058823529411766</v>
      </c>
      <c r="C28" s="1" t="s">
        <v>9</v>
      </c>
      <c r="I28">
        <f>1000*D22/16</f>
        <v>830.07812500000011</v>
      </c>
    </row>
    <row r="29" spans="1:14" x14ac:dyDescent="0.3">
      <c r="A29" s="4" t="s">
        <v>35</v>
      </c>
      <c r="B29" s="1">
        <f>B28*SQRT((1-B14)/3)</f>
        <v>1.9211684257122965</v>
      </c>
      <c r="C29" s="1" t="s">
        <v>9</v>
      </c>
    </row>
    <row r="30" spans="1:14" x14ac:dyDescent="0.3">
      <c r="A30" s="2" t="s">
        <v>38</v>
      </c>
      <c r="B30" s="1">
        <v>5</v>
      </c>
      <c r="C30" s="1" t="s">
        <v>39</v>
      </c>
    </row>
    <row r="31" spans="1:14" x14ac:dyDescent="0.3">
      <c r="A31" s="4" t="s">
        <v>42</v>
      </c>
      <c r="B31" s="1">
        <f>B15/B30</f>
        <v>1.5369347405698373</v>
      </c>
      <c r="C31" s="1" t="s">
        <v>23</v>
      </c>
      <c r="D31" s="8"/>
      <c r="F31" s="8"/>
    </row>
    <row r="32" spans="1:14" x14ac:dyDescent="0.3">
      <c r="A32" s="4" t="s">
        <v>43</v>
      </c>
      <c r="B32" s="7">
        <f>B29/B30</f>
        <v>0.38423368514245931</v>
      </c>
      <c r="C32" s="7" t="s">
        <v>23</v>
      </c>
    </row>
    <row r="33" spans="1:12" x14ac:dyDescent="0.3">
      <c r="A33" s="2" t="s">
        <v>133</v>
      </c>
      <c r="B33" s="1">
        <v>24</v>
      </c>
      <c r="C33" s="4" t="s">
        <v>136</v>
      </c>
      <c r="D33" s="1" cm="1">
        <f t="array" aca="1" ref="D33" ca="1">INDIRECT("AWG!D" &amp; B33+6)</f>
        <v>0.20499999999999999</v>
      </c>
      <c r="E33" s="1" t="s">
        <v>23</v>
      </c>
      <c r="F33" s="4" t="s">
        <v>134</v>
      </c>
      <c r="G33" s="1" cm="1">
        <f t="array" aca="1" ref="G33" ca="1">INDIRECT("AWG!C" &amp; B33+6)</f>
        <v>0.51053999999999999</v>
      </c>
      <c r="H33" s="1" t="s">
        <v>138</v>
      </c>
      <c r="I33" s="4" t="s">
        <v>137</v>
      </c>
      <c r="J33" s="1">
        <f ca="1">ROUNDUP(B31/D33,0)</f>
        <v>8</v>
      </c>
      <c r="K33" s="1" t="s">
        <v>144</v>
      </c>
      <c r="L33" s="1" cm="1">
        <f t="array" aca="1" ref="L33" ca="1">INDIRECT("AWG!F" &amp; B33+6)</f>
        <v>84.197599999999994</v>
      </c>
    </row>
    <row r="34" spans="1:12" x14ac:dyDescent="0.3">
      <c r="A34" s="2" t="s">
        <v>135</v>
      </c>
      <c r="B34" s="1">
        <v>24</v>
      </c>
      <c r="C34" s="4" t="s">
        <v>136</v>
      </c>
      <c r="D34" s="1" cm="1">
        <f t="array" aca="1" ref="D34" ca="1">INDIRECT("AWG!D" &amp; B34+6)</f>
        <v>0.20499999999999999</v>
      </c>
      <c r="E34" s="1" t="s">
        <v>23</v>
      </c>
      <c r="F34" s="4" t="s">
        <v>134</v>
      </c>
      <c r="G34" s="1" cm="1">
        <f t="array" aca="1" ref="G34" ca="1">INDIRECT("AWG!C" &amp; B34+6)</f>
        <v>0.51053999999999999</v>
      </c>
      <c r="H34" s="1" t="s">
        <v>138</v>
      </c>
      <c r="I34" s="4" t="s">
        <v>137</v>
      </c>
      <c r="J34" s="1">
        <f ca="1">ROUNDUP(B32/D34,0)</f>
        <v>2</v>
      </c>
      <c r="K34" s="1" t="s">
        <v>145</v>
      </c>
      <c r="L34" s="1" cm="1">
        <f t="array" aca="1" ref="L34" ca="1">INDIRECT("AWG!F" &amp; B34+6)</f>
        <v>84.197599999999994</v>
      </c>
    </row>
    <row r="35" spans="1:12" x14ac:dyDescent="0.3">
      <c r="A35" s="4" t="s">
        <v>44</v>
      </c>
      <c r="B35" s="14">
        <f ca="1">D33*J33*B25+D34*J34*B27</f>
        <v>13.12</v>
      </c>
      <c r="C35" s="14" t="s">
        <v>23</v>
      </c>
    </row>
    <row r="36" spans="1:12" x14ac:dyDescent="0.3">
      <c r="A36" s="6" t="s">
        <v>45</v>
      </c>
      <c r="B36" s="7">
        <f ca="1">B35/B20</f>
        <v>3.5080213903743315E-2</v>
      </c>
      <c r="C36" s="7"/>
    </row>
    <row r="37" spans="1:12" x14ac:dyDescent="0.3">
      <c r="A37" s="2" t="s">
        <v>141</v>
      </c>
      <c r="B37" s="1">
        <f>2*3.14*(30.9-12.2)/2</f>
        <v>58.718000000000004</v>
      </c>
      <c r="C37" s="1"/>
      <c r="D37" s="1"/>
    </row>
    <row r="38" spans="1:12" x14ac:dyDescent="0.3">
      <c r="A38" s="2" t="s">
        <v>147</v>
      </c>
      <c r="B38" s="1">
        <v>97</v>
      </c>
      <c r="C38" s="1" t="s">
        <v>138</v>
      </c>
      <c r="D38" s="1"/>
    </row>
    <row r="39" spans="1:12" x14ac:dyDescent="0.3">
      <c r="A39" s="4" t="s">
        <v>142</v>
      </c>
      <c r="B39" s="1">
        <f ca="1">(B25*B37*L33)/(J33*10^6)</f>
        <v>2.4719573384000002E-3</v>
      </c>
      <c r="C39" s="1">
        <f ca="1">1000*B39</f>
        <v>2.4719573384000002</v>
      </c>
      <c r="D39" s="1" t="s">
        <v>146</v>
      </c>
    </row>
    <row r="40" spans="1:12" x14ac:dyDescent="0.3">
      <c r="A40" s="4" t="s">
        <v>143</v>
      </c>
      <c r="B40" s="1">
        <f ca="1">(B27*B37*L34)/(J34*10^6)</f>
        <v>3.9551317414400003E-2</v>
      </c>
      <c r="C40" s="1">
        <f ca="1">1000*B40</f>
        <v>39.551317414400003</v>
      </c>
      <c r="D40" s="1" t="s">
        <v>146</v>
      </c>
    </row>
    <row r="41" spans="1:12" x14ac:dyDescent="0.3">
      <c r="A41" s="4" t="s">
        <v>149</v>
      </c>
      <c r="B41" s="1">
        <f>(B38*B21)/(0.4*3.14*B19*100)</f>
        <v>17.235723462999918</v>
      </c>
      <c r="C41" s="1"/>
    </row>
    <row r="42" spans="1:12" x14ac:dyDescent="0.3">
      <c r="A42" s="6" t="s">
        <v>148</v>
      </c>
      <c r="B42" s="7">
        <f>B19*B41/B21</f>
        <v>0.77229299363057324</v>
      </c>
      <c r="C42" s="7" t="s">
        <v>138</v>
      </c>
    </row>
    <row r="43" spans="1:12" x14ac:dyDescent="0.3">
      <c r="A43" s="2" t="s">
        <v>150</v>
      </c>
      <c r="B43" s="2" t="s">
        <v>151</v>
      </c>
      <c r="C43" s="2" t="s">
        <v>152</v>
      </c>
      <c r="D43" s="2" t="s">
        <v>153</v>
      </c>
      <c r="E43" s="2" t="s">
        <v>154</v>
      </c>
    </row>
    <row r="44" spans="1:12" x14ac:dyDescent="0.3">
      <c r="A44" s="1"/>
      <c r="B44" s="1">
        <v>3.5301024810000001</v>
      </c>
      <c r="C44" s="1">
        <v>1.4199999679999999</v>
      </c>
      <c r="D44" s="1">
        <v>2.8849999359999998</v>
      </c>
      <c r="E44" s="1">
        <v>5.1289999999999996</v>
      </c>
    </row>
    <row r="45" spans="1:12" x14ac:dyDescent="0.3">
      <c r="A45" s="4" t="s">
        <v>155</v>
      </c>
      <c r="B45" s="1">
        <f>((B44*((B6)^C44)*((B18)^D44))*E44)/10^6</f>
        <v>2.5251031932306423</v>
      </c>
      <c r="C45" s="1" t="s">
        <v>4</v>
      </c>
      <c r="D45" s="32"/>
      <c r="E45" s="1"/>
    </row>
    <row r="46" spans="1:12" x14ac:dyDescent="0.3">
      <c r="A46" s="4" t="s">
        <v>156</v>
      </c>
      <c r="B46" s="1">
        <f ca="1">B39*(B15^2)+B40*(B29^2)</f>
        <v>0.29195897514666669</v>
      </c>
      <c r="C46" s="1" t="s">
        <v>4</v>
      </c>
    </row>
  </sheetData>
  <mergeCells count="7">
    <mergeCell ref="F27:G27"/>
    <mergeCell ref="A1:C1"/>
    <mergeCell ref="A11:C11"/>
    <mergeCell ref="A17:C17"/>
    <mergeCell ref="G9:J9"/>
    <mergeCell ref="D21:E21"/>
    <mergeCell ref="F21:G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E545-7F3F-4161-810A-0A86D0D5D381}">
  <dimension ref="A1:J39"/>
  <sheetViews>
    <sheetView topLeftCell="A5" workbookViewId="0">
      <selection activeCell="A21" sqref="A21:J21"/>
    </sheetView>
  </sheetViews>
  <sheetFormatPr defaultRowHeight="14.4" x14ac:dyDescent="0.3"/>
  <cols>
    <col min="1" max="1" width="7.21875" bestFit="1" customWidth="1"/>
    <col min="9" max="9" width="11.88671875" bestFit="1" customWidth="1"/>
  </cols>
  <sheetData>
    <row r="1" spans="1:10" ht="20.399999999999999" x14ac:dyDescent="0.3">
      <c r="A1" s="30" t="s">
        <v>46</v>
      </c>
      <c r="B1" s="11" t="s">
        <v>47</v>
      </c>
      <c r="C1" s="11" t="s">
        <v>47</v>
      </c>
      <c r="D1" s="30" t="s">
        <v>50</v>
      </c>
      <c r="E1" s="30" t="s">
        <v>51</v>
      </c>
      <c r="F1" s="30" t="s">
        <v>52</v>
      </c>
      <c r="G1" s="30" t="s">
        <v>53</v>
      </c>
      <c r="H1" s="11" t="s">
        <v>54</v>
      </c>
      <c r="I1" s="11" t="s">
        <v>56</v>
      </c>
      <c r="J1" s="30" t="s">
        <v>58</v>
      </c>
    </row>
    <row r="2" spans="1:10" ht="35.4" customHeight="1" x14ac:dyDescent="0.3">
      <c r="A2" s="31"/>
      <c r="B2" s="12" t="s">
        <v>48</v>
      </c>
      <c r="C2" s="12" t="s">
        <v>49</v>
      </c>
      <c r="D2" s="31"/>
      <c r="E2" s="31"/>
      <c r="F2" s="31"/>
      <c r="G2" s="31"/>
      <c r="H2" s="12" t="s">
        <v>55</v>
      </c>
      <c r="I2" s="12" t="s">
        <v>57</v>
      </c>
      <c r="J2" s="31"/>
    </row>
    <row r="3" spans="1:10" x14ac:dyDescent="0.3">
      <c r="A3" s="16">
        <v>0</v>
      </c>
      <c r="B3" s="13">
        <v>0.46</v>
      </c>
      <c r="C3" s="15">
        <v>11.683999999999999</v>
      </c>
      <c r="D3" s="15">
        <v>107</v>
      </c>
      <c r="E3" s="13">
        <v>4.9000000000000002E-2</v>
      </c>
      <c r="F3" s="13">
        <v>0.16072</v>
      </c>
      <c r="G3" s="13">
        <v>380</v>
      </c>
      <c r="H3" s="13">
        <v>302</v>
      </c>
      <c r="I3" s="13" t="s">
        <v>59</v>
      </c>
      <c r="J3" s="13" t="s">
        <v>60</v>
      </c>
    </row>
    <row r="4" spans="1:10" x14ac:dyDescent="0.3">
      <c r="A4" s="16">
        <v>0</v>
      </c>
      <c r="B4" s="13">
        <v>0.40960000000000002</v>
      </c>
      <c r="C4" s="15">
        <v>10.403840000000001</v>
      </c>
      <c r="D4" s="15">
        <v>84.9</v>
      </c>
      <c r="E4" s="13">
        <v>6.1800000000000001E-2</v>
      </c>
      <c r="F4" s="13">
        <v>0.202704</v>
      </c>
      <c r="G4" s="13">
        <v>328</v>
      </c>
      <c r="H4" s="13">
        <v>239</v>
      </c>
      <c r="I4" s="13" t="s">
        <v>61</v>
      </c>
      <c r="J4" s="13" t="s">
        <v>62</v>
      </c>
    </row>
    <row r="5" spans="1:10" x14ac:dyDescent="0.3">
      <c r="A5" s="16">
        <v>0</v>
      </c>
      <c r="B5" s="13">
        <v>0.36480000000000001</v>
      </c>
      <c r="C5" s="15">
        <v>9.2659199999999995</v>
      </c>
      <c r="D5" s="15">
        <v>67.400000000000006</v>
      </c>
      <c r="E5" s="13">
        <v>7.7899999999999997E-2</v>
      </c>
      <c r="F5" s="13">
        <v>0.25551200000000002</v>
      </c>
      <c r="G5" s="13">
        <v>283</v>
      </c>
      <c r="H5" s="13">
        <v>190</v>
      </c>
      <c r="I5" s="13" t="s">
        <v>63</v>
      </c>
      <c r="J5" s="13" t="s">
        <v>64</v>
      </c>
    </row>
    <row r="6" spans="1:10" x14ac:dyDescent="0.3">
      <c r="A6" s="16">
        <v>0</v>
      </c>
      <c r="B6" s="13">
        <v>0.32490000000000002</v>
      </c>
      <c r="C6" s="15">
        <v>8.2524599999999992</v>
      </c>
      <c r="D6" s="15">
        <v>53.5</v>
      </c>
      <c r="E6" s="13">
        <v>9.8299999999999998E-2</v>
      </c>
      <c r="F6" s="13">
        <v>0.32242399999999999</v>
      </c>
      <c r="G6" s="13">
        <v>245</v>
      </c>
      <c r="H6" s="13">
        <v>150</v>
      </c>
      <c r="I6" s="13" t="s">
        <v>65</v>
      </c>
      <c r="J6" s="13" t="s">
        <v>66</v>
      </c>
    </row>
    <row r="7" spans="1:10" x14ac:dyDescent="0.3">
      <c r="A7" s="16">
        <v>1</v>
      </c>
      <c r="B7" s="13">
        <v>0.2893</v>
      </c>
      <c r="C7" s="15">
        <v>7.3482200000000004</v>
      </c>
      <c r="D7" s="15">
        <v>42.4</v>
      </c>
      <c r="E7" s="13">
        <v>0.1239</v>
      </c>
      <c r="F7" s="13">
        <v>0.40639199999999998</v>
      </c>
      <c r="G7" s="13">
        <v>211</v>
      </c>
      <c r="H7" s="13">
        <v>119</v>
      </c>
      <c r="I7" s="13" t="s">
        <v>67</v>
      </c>
      <c r="J7" s="13" t="s">
        <v>68</v>
      </c>
    </row>
    <row r="8" spans="1:10" x14ac:dyDescent="0.3">
      <c r="A8" s="16">
        <v>2</v>
      </c>
      <c r="B8" s="13">
        <v>0.2576</v>
      </c>
      <c r="C8" s="15">
        <v>6.5430400000000004</v>
      </c>
      <c r="D8" s="15">
        <v>33.6</v>
      </c>
      <c r="E8" s="13">
        <v>0.15629999999999999</v>
      </c>
      <c r="F8" s="13">
        <v>0.51266400000000001</v>
      </c>
      <c r="G8" s="13">
        <v>181</v>
      </c>
      <c r="H8" s="13">
        <v>94</v>
      </c>
      <c r="I8" s="13" t="s">
        <v>69</v>
      </c>
      <c r="J8" s="13" t="s">
        <v>70</v>
      </c>
    </row>
    <row r="9" spans="1:10" x14ac:dyDescent="0.3">
      <c r="A9" s="16">
        <v>3</v>
      </c>
      <c r="B9" s="13">
        <v>0.22939999999999999</v>
      </c>
      <c r="C9" s="15">
        <v>5.8267600000000002</v>
      </c>
      <c r="D9" s="15">
        <v>26.7</v>
      </c>
      <c r="E9" s="13">
        <v>0.19700000000000001</v>
      </c>
      <c r="F9" s="13">
        <v>0.64615999999999996</v>
      </c>
      <c r="G9" s="13">
        <v>158</v>
      </c>
      <c r="H9" s="13">
        <v>75</v>
      </c>
      <c r="I9" s="13" t="s">
        <v>71</v>
      </c>
      <c r="J9" s="13" t="s">
        <v>72</v>
      </c>
    </row>
    <row r="10" spans="1:10" x14ac:dyDescent="0.3">
      <c r="A10" s="16">
        <v>4</v>
      </c>
      <c r="B10" s="13">
        <v>0.20430000000000001</v>
      </c>
      <c r="C10" s="15">
        <v>5.1892199999999997</v>
      </c>
      <c r="D10" s="15">
        <v>21.1</v>
      </c>
      <c r="E10" s="13">
        <v>0.2485</v>
      </c>
      <c r="F10" s="13">
        <v>0.81508000000000003</v>
      </c>
      <c r="G10" s="13">
        <v>135</v>
      </c>
      <c r="H10" s="13">
        <v>60</v>
      </c>
      <c r="I10" s="13" t="s">
        <v>73</v>
      </c>
      <c r="J10" s="13" t="s">
        <v>74</v>
      </c>
    </row>
    <row r="11" spans="1:10" x14ac:dyDescent="0.3">
      <c r="A11" s="16">
        <v>5</v>
      </c>
      <c r="B11" s="13">
        <v>0.18190000000000001</v>
      </c>
      <c r="C11" s="15">
        <v>4.62026</v>
      </c>
      <c r="D11" s="15">
        <v>16.8</v>
      </c>
      <c r="E11" s="13">
        <v>0.31330000000000002</v>
      </c>
      <c r="F11" s="13">
        <v>1.0276240000000001</v>
      </c>
      <c r="G11" s="13">
        <v>118</v>
      </c>
      <c r="H11" s="13">
        <v>47</v>
      </c>
      <c r="I11" s="13" t="s">
        <v>75</v>
      </c>
      <c r="J11" s="13" t="s">
        <v>76</v>
      </c>
    </row>
    <row r="12" spans="1:10" x14ac:dyDescent="0.3">
      <c r="A12" s="16">
        <v>6</v>
      </c>
      <c r="B12" s="13">
        <v>0.16200000000000001</v>
      </c>
      <c r="C12" s="15">
        <v>4.1147999999999998</v>
      </c>
      <c r="D12" s="15">
        <v>13.3</v>
      </c>
      <c r="E12" s="13">
        <v>0.39510000000000001</v>
      </c>
      <c r="F12" s="13">
        <v>1.295928</v>
      </c>
      <c r="G12" s="13">
        <v>101</v>
      </c>
      <c r="H12" s="13">
        <v>37</v>
      </c>
      <c r="I12" s="13" t="s">
        <v>77</v>
      </c>
      <c r="J12" s="13" t="s">
        <v>78</v>
      </c>
    </row>
    <row r="13" spans="1:10" x14ac:dyDescent="0.3">
      <c r="A13" s="16">
        <v>7</v>
      </c>
      <c r="B13" s="13">
        <v>0.14430000000000001</v>
      </c>
      <c r="C13" s="15">
        <v>3.6652200000000001</v>
      </c>
      <c r="D13" s="15">
        <v>10.6</v>
      </c>
      <c r="E13" s="13">
        <v>0.49819999999999998</v>
      </c>
      <c r="F13" s="13">
        <v>1.634096</v>
      </c>
      <c r="G13" s="13">
        <v>89</v>
      </c>
      <c r="H13" s="13">
        <v>30</v>
      </c>
      <c r="I13" s="13" t="s">
        <v>79</v>
      </c>
      <c r="J13" s="13" t="s">
        <v>80</v>
      </c>
    </row>
    <row r="14" spans="1:10" x14ac:dyDescent="0.3">
      <c r="A14" s="16">
        <v>8</v>
      </c>
      <c r="B14" s="13">
        <v>0.1285</v>
      </c>
      <c r="C14" s="15">
        <v>3.2639</v>
      </c>
      <c r="D14" s="15">
        <v>8.3699999999999992</v>
      </c>
      <c r="E14" s="13">
        <v>0.62819999999999998</v>
      </c>
      <c r="F14" s="13">
        <v>2.0604960000000001</v>
      </c>
      <c r="G14" s="13">
        <v>73</v>
      </c>
      <c r="H14" s="13">
        <v>24</v>
      </c>
      <c r="I14" s="13" t="s">
        <v>81</v>
      </c>
      <c r="J14" s="13" t="s">
        <v>82</v>
      </c>
    </row>
    <row r="15" spans="1:10" x14ac:dyDescent="0.3">
      <c r="A15" s="16">
        <v>9</v>
      </c>
      <c r="B15" s="13">
        <v>0.1144</v>
      </c>
      <c r="C15" s="15">
        <v>2.9057599999999999</v>
      </c>
      <c r="D15" s="15">
        <v>6.63</v>
      </c>
      <c r="E15" s="13">
        <v>0.79210000000000003</v>
      </c>
      <c r="F15" s="13">
        <v>2.5980880000000002</v>
      </c>
      <c r="G15" s="13">
        <v>64</v>
      </c>
      <c r="H15" s="13">
        <v>19</v>
      </c>
      <c r="I15" s="13" t="s">
        <v>83</v>
      </c>
      <c r="J15" s="13" t="s">
        <v>84</v>
      </c>
    </row>
    <row r="16" spans="1:10" x14ac:dyDescent="0.3">
      <c r="A16" s="16">
        <v>10</v>
      </c>
      <c r="B16" s="13">
        <v>0.1019</v>
      </c>
      <c r="C16" s="15">
        <v>2.58826</v>
      </c>
      <c r="D16" s="15">
        <v>5.26</v>
      </c>
      <c r="E16" s="13">
        <v>0.99890000000000001</v>
      </c>
      <c r="F16" s="13">
        <v>3.276392</v>
      </c>
      <c r="G16" s="13">
        <v>55</v>
      </c>
      <c r="H16" s="13">
        <v>15</v>
      </c>
      <c r="I16" s="13" t="s">
        <v>85</v>
      </c>
      <c r="J16" s="13" t="s">
        <v>86</v>
      </c>
    </row>
    <row r="17" spans="1:10" x14ac:dyDescent="0.3">
      <c r="A17" s="16">
        <v>11</v>
      </c>
      <c r="B17" s="13">
        <v>9.0700000000000003E-2</v>
      </c>
      <c r="C17" s="15">
        <v>2.3037800000000002</v>
      </c>
      <c r="D17" s="15">
        <v>4.17</v>
      </c>
      <c r="E17" s="13">
        <v>1.26</v>
      </c>
      <c r="F17" s="13">
        <v>4.1327999999999996</v>
      </c>
      <c r="G17" s="13">
        <v>47</v>
      </c>
      <c r="H17" s="13">
        <v>12</v>
      </c>
      <c r="I17" s="13" t="s">
        <v>87</v>
      </c>
      <c r="J17" s="13" t="s">
        <v>88</v>
      </c>
    </row>
    <row r="18" spans="1:10" x14ac:dyDescent="0.3">
      <c r="A18" s="16">
        <v>12</v>
      </c>
      <c r="B18" s="13">
        <v>8.0799999999999997E-2</v>
      </c>
      <c r="C18" s="15">
        <v>2.0523199999999999</v>
      </c>
      <c r="D18" s="15">
        <v>3.31</v>
      </c>
      <c r="E18" s="13">
        <v>1.5880000000000001</v>
      </c>
      <c r="F18" s="13">
        <v>5.2086399999999999</v>
      </c>
      <c r="G18" s="13">
        <v>41</v>
      </c>
      <c r="H18" s="13">
        <v>9.3000000000000007</v>
      </c>
      <c r="I18" s="13" t="s">
        <v>89</v>
      </c>
      <c r="J18" s="13" t="s">
        <v>90</v>
      </c>
    </row>
    <row r="19" spans="1:10" x14ac:dyDescent="0.3">
      <c r="A19" s="16">
        <v>13</v>
      </c>
      <c r="B19" s="13">
        <v>7.1999999999999995E-2</v>
      </c>
      <c r="C19" s="15">
        <v>1.8288</v>
      </c>
      <c r="D19" s="15">
        <v>2.63</v>
      </c>
      <c r="E19" s="13">
        <v>2.0030000000000001</v>
      </c>
      <c r="F19" s="13">
        <v>6.5698400000000001</v>
      </c>
      <c r="G19" s="13">
        <v>35</v>
      </c>
      <c r="H19" s="13">
        <v>7.4</v>
      </c>
      <c r="I19" s="13" t="s">
        <v>91</v>
      </c>
      <c r="J19" s="13" t="s">
        <v>92</v>
      </c>
    </row>
    <row r="20" spans="1:10" x14ac:dyDescent="0.3">
      <c r="A20" s="16">
        <v>14</v>
      </c>
      <c r="B20" s="13">
        <v>6.4100000000000004E-2</v>
      </c>
      <c r="C20" s="15">
        <v>1.6281399999999999</v>
      </c>
      <c r="D20" s="15">
        <v>2.08</v>
      </c>
      <c r="E20" s="13">
        <v>2.5249999999999999</v>
      </c>
      <c r="F20" s="13">
        <v>8.282</v>
      </c>
      <c r="G20" s="13">
        <v>32</v>
      </c>
      <c r="H20" s="13">
        <v>5.9</v>
      </c>
      <c r="I20" s="13" t="s">
        <v>93</v>
      </c>
      <c r="J20" s="13" t="s">
        <v>94</v>
      </c>
    </row>
    <row r="21" spans="1:10" x14ac:dyDescent="0.3">
      <c r="A21" s="16">
        <v>15</v>
      </c>
      <c r="B21" s="13">
        <v>5.7099999999999998E-2</v>
      </c>
      <c r="C21" s="15">
        <v>1.45034</v>
      </c>
      <c r="D21" s="15">
        <v>1.65</v>
      </c>
      <c r="E21" s="13">
        <v>3.1840000000000002</v>
      </c>
      <c r="F21" s="13">
        <v>10.443519999999999</v>
      </c>
      <c r="G21" s="13">
        <v>28</v>
      </c>
      <c r="H21" s="13">
        <v>4.7</v>
      </c>
      <c r="I21" s="13" t="s">
        <v>95</v>
      </c>
      <c r="J21" s="13" t="s">
        <v>96</v>
      </c>
    </row>
    <row r="22" spans="1:10" x14ac:dyDescent="0.3">
      <c r="A22" s="16">
        <v>16</v>
      </c>
      <c r="B22" s="13">
        <v>5.0799999999999998E-2</v>
      </c>
      <c r="C22" s="15">
        <v>1.2903199999999999</v>
      </c>
      <c r="D22" s="15">
        <v>1.31</v>
      </c>
      <c r="E22" s="13">
        <v>4.016</v>
      </c>
      <c r="F22" s="13">
        <v>13.17248</v>
      </c>
      <c r="G22" s="13">
        <v>22</v>
      </c>
      <c r="H22" s="13">
        <v>3.7</v>
      </c>
      <c r="I22" s="13" t="s">
        <v>97</v>
      </c>
      <c r="J22" s="13" t="s">
        <v>98</v>
      </c>
    </row>
    <row r="23" spans="1:10" x14ac:dyDescent="0.3">
      <c r="A23" s="16">
        <v>17</v>
      </c>
      <c r="B23" s="13">
        <v>4.53E-2</v>
      </c>
      <c r="C23" s="15">
        <v>1.15062</v>
      </c>
      <c r="D23" s="15">
        <v>1.04</v>
      </c>
      <c r="E23" s="13">
        <v>5.0640000000000001</v>
      </c>
      <c r="F23" s="13">
        <v>16.609919999999999</v>
      </c>
      <c r="G23" s="13">
        <v>19</v>
      </c>
      <c r="H23" s="13">
        <v>2.9</v>
      </c>
      <c r="I23" s="13" t="s">
        <v>99</v>
      </c>
      <c r="J23" s="13" t="s">
        <v>100</v>
      </c>
    </row>
    <row r="24" spans="1:10" x14ac:dyDescent="0.3">
      <c r="A24" s="16">
        <v>18</v>
      </c>
      <c r="B24" s="13">
        <v>4.0300000000000002E-2</v>
      </c>
      <c r="C24" s="15">
        <v>1.02362</v>
      </c>
      <c r="D24" s="15">
        <v>0.82299999999999995</v>
      </c>
      <c r="E24" s="13">
        <v>6.3849999999999998</v>
      </c>
      <c r="F24" s="13">
        <v>20.942799999999998</v>
      </c>
      <c r="G24" s="13">
        <v>16</v>
      </c>
      <c r="H24" s="13">
        <v>2.2999999999999998</v>
      </c>
      <c r="I24" s="13" t="s">
        <v>101</v>
      </c>
      <c r="J24" s="13" t="s">
        <v>102</v>
      </c>
    </row>
    <row r="25" spans="1:10" x14ac:dyDescent="0.3">
      <c r="A25" s="16">
        <v>19</v>
      </c>
      <c r="B25" s="13">
        <v>3.5900000000000001E-2</v>
      </c>
      <c r="C25" s="15">
        <v>0.91186</v>
      </c>
      <c r="D25" s="15">
        <v>0.65300000000000002</v>
      </c>
      <c r="E25" s="13">
        <v>8.0510000000000002</v>
      </c>
      <c r="F25" s="13">
        <v>26.40728</v>
      </c>
      <c r="G25" s="13">
        <v>14</v>
      </c>
      <c r="H25" s="13">
        <v>1.8</v>
      </c>
      <c r="I25" s="13" t="s">
        <v>103</v>
      </c>
      <c r="J25" s="13" t="s">
        <v>104</v>
      </c>
    </row>
    <row r="26" spans="1:10" x14ac:dyDescent="0.3">
      <c r="A26" s="16">
        <v>20</v>
      </c>
      <c r="B26" s="13">
        <v>3.2000000000000001E-2</v>
      </c>
      <c r="C26" s="15">
        <v>0.81279999999999997</v>
      </c>
      <c r="D26" s="15">
        <v>0.51900000000000002</v>
      </c>
      <c r="E26" s="13">
        <v>10.15</v>
      </c>
      <c r="F26" s="13">
        <v>33.292000000000002</v>
      </c>
      <c r="G26" s="13">
        <v>11</v>
      </c>
      <c r="H26" s="13">
        <v>1.5</v>
      </c>
      <c r="I26" s="13" t="s">
        <v>105</v>
      </c>
      <c r="J26" s="13" t="s">
        <v>106</v>
      </c>
    </row>
    <row r="27" spans="1:10" x14ac:dyDescent="0.3">
      <c r="A27" s="16">
        <v>21</v>
      </c>
      <c r="B27" s="13">
        <v>2.8500000000000001E-2</v>
      </c>
      <c r="C27" s="15">
        <v>0.72389999999999999</v>
      </c>
      <c r="D27" s="15">
        <v>0.41199999999999998</v>
      </c>
      <c r="E27" s="13">
        <v>12.8</v>
      </c>
      <c r="F27" s="13">
        <v>41.984000000000002</v>
      </c>
      <c r="G27" s="13">
        <v>9</v>
      </c>
      <c r="H27" s="13">
        <v>1.2</v>
      </c>
      <c r="I27" s="13" t="s">
        <v>107</v>
      </c>
      <c r="J27" s="13" t="s">
        <v>108</v>
      </c>
    </row>
    <row r="28" spans="1:10" x14ac:dyDescent="0.3">
      <c r="A28" s="16">
        <v>22</v>
      </c>
      <c r="B28" s="13">
        <v>2.53E-2</v>
      </c>
      <c r="C28" s="15">
        <v>0.64515999999999996</v>
      </c>
      <c r="D28" s="15">
        <v>0.32700000000000001</v>
      </c>
      <c r="E28" s="13">
        <v>16.14</v>
      </c>
      <c r="F28" s="13">
        <v>52.9392</v>
      </c>
      <c r="G28" s="13">
        <v>7</v>
      </c>
      <c r="H28" s="13">
        <v>0.92</v>
      </c>
      <c r="I28" s="13" t="s">
        <v>109</v>
      </c>
      <c r="J28" s="13" t="s">
        <v>110</v>
      </c>
    </row>
    <row r="29" spans="1:10" x14ac:dyDescent="0.3">
      <c r="A29" s="16">
        <v>23</v>
      </c>
      <c r="B29" s="13">
        <v>2.2599999999999999E-2</v>
      </c>
      <c r="C29" s="15">
        <v>0.57403999999999999</v>
      </c>
      <c r="D29" s="15">
        <v>0.25900000000000001</v>
      </c>
      <c r="E29" s="13">
        <v>20.36</v>
      </c>
      <c r="F29" s="13">
        <v>66.780799999999999</v>
      </c>
      <c r="G29" s="13">
        <v>4.7</v>
      </c>
      <c r="H29" s="13">
        <v>0.72899999999999998</v>
      </c>
      <c r="I29" s="13" t="s">
        <v>111</v>
      </c>
      <c r="J29" s="13" t="s">
        <v>112</v>
      </c>
    </row>
    <row r="30" spans="1:10" x14ac:dyDescent="0.3">
      <c r="A30" s="16">
        <v>24</v>
      </c>
      <c r="B30" s="13">
        <v>2.01E-2</v>
      </c>
      <c r="C30" s="15">
        <v>0.51053999999999999</v>
      </c>
      <c r="D30" s="15">
        <v>0.20499999999999999</v>
      </c>
      <c r="E30" s="13">
        <v>25.67</v>
      </c>
      <c r="F30" s="13">
        <v>84.197599999999994</v>
      </c>
      <c r="G30" s="13">
        <v>3.5</v>
      </c>
      <c r="H30" s="13">
        <v>0.57699999999999996</v>
      </c>
      <c r="I30" s="13" t="s">
        <v>113</v>
      </c>
      <c r="J30" s="13" t="s">
        <v>114</v>
      </c>
    </row>
    <row r="31" spans="1:10" x14ac:dyDescent="0.3">
      <c r="A31" s="16">
        <v>25</v>
      </c>
      <c r="B31" s="13">
        <v>1.7899999999999999E-2</v>
      </c>
      <c r="C31" s="15">
        <v>0.45466000000000001</v>
      </c>
      <c r="D31" s="15">
        <v>0.16200000000000001</v>
      </c>
      <c r="E31" s="13">
        <v>32.369999999999997</v>
      </c>
      <c r="F31" s="13">
        <v>106.17359999999999</v>
      </c>
      <c r="G31" s="13">
        <v>2.7</v>
      </c>
      <c r="H31" s="13">
        <v>0.45700000000000002</v>
      </c>
      <c r="I31" s="13" t="s">
        <v>115</v>
      </c>
      <c r="J31" s="13" t="s">
        <v>116</v>
      </c>
    </row>
    <row r="32" spans="1:10" x14ac:dyDescent="0.3">
      <c r="A32" s="16">
        <v>26</v>
      </c>
      <c r="B32" s="13">
        <v>1.5900000000000001E-2</v>
      </c>
      <c r="C32" s="15">
        <v>0.40386</v>
      </c>
      <c r="D32" s="15">
        <v>0.128</v>
      </c>
      <c r="E32" s="13">
        <v>40.81</v>
      </c>
      <c r="F32" s="13">
        <v>133.85679999999999</v>
      </c>
      <c r="G32" s="13">
        <v>2.2000000000000002</v>
      </c>
      <c r="H32" s="13">
        <v>0.36099999999999999</v>
      </c>
      <c r="I32" s="13" t="s">
        <v>117</v>
      </c>
      <c r="J32" s="13" t="s">
        <v>118</v>
      </c>
    </row>
    <row r="33" spans="1:10" x14ac:dyDescent="0.3">
      <c r="A33" s="16">
        <v>27</v>
      </c>
      <c r="B33" s="13">
        <v>1.4200000000000001E-2</v>
      </c>
      <c r="C33" s="15">
        <v>0.36068</v>
      </c>
      <c r="D33" s="15">
        <v>0.10199999999999999</v>
      </c>
      <c r="E33" s="13">
        <v>51.47</v>
      </c>
      <c r="F33" s="13">
        <v>168.82159999999999</v>
      </c>
      <c r="G33" s="13">
        <v>1.7</v>
      </c>
      <c r="H33" s="13">
        <v>0.28799999999999998</v>
      </c>
      <c r="I33" s="13" t="s">
        <v>119</v>
      </c>
      <c r="J33" s="13" t="s">
        <v>120</v>
      </c>
    </row>
    <row r="34" spans="1:10" x14ac:dyDescent="0.3">
      <c r="A34" s="16">
        <v>28</v>
      </c>
      <c r="B34" s="13">
        <v>1.26E-2</v>
      </c>
      <c r="C34" s="15">
        <v>0.32003999999999999</v>
      </c>
      <c r="D34" s="15">
        <v>0.08</v>
      </c>
      <c r="E34" s="13">
        <v>64.900000000000006</v>
      </c>
      <c r="F34" s="13">
        <v>212.87200000000001</v>
      </c>
      <c r="G34" s="13">
        <v>1.4</v>
      </c>
      <c r="H34" s="13">
        <v>0.22600000000000001</v>
      </c>
      <c r="I34" s="13" t="s">
        <v>121</v>
      </c>
      <c r="J34" s="13" t="s">
        <v>122</v>
      </c>
    </row>
    <row r="35" spans="1:10" x14ac:dyDescent="0.3">
      <c r="A35" s="16">
        <v>29</v>
      </c>
      <c r="B35" s="13">
        <v>1.1299999999999999E-2</v>
      </c>
      <c r="C35" s="15">
        <v>0.28702</v>
      </c>
      <c r="D35" s="15">
        <v>6.4699999999999994E-2</v>
      </c>
      <c r="E35" s="13">
        <v>81.83</v>
      </c>
      <c r="F35" s="13">
        <v>268.4024</v>
      </c>
      <c r="G35" s="13">
        <v>1.2</v>
      </c>
      <c r="H35" s="13">
        <v>0.182</v>
      </c>
      <c r="I35" s="13" t="s">
        <v>123</v>
      </c>
      <c r="J35" s="13" t="s">
        <v>124</v>
      </c>
    </row>
    <row r="36" spans="1:10" x14ac:dyDescent="0.3">
      <c r="A36" s="16">
        <v>30</v>
      </c>
      <c r="B36" s="13">
        <v>0.01</v>
      </c>
      <c r="C36" s="15">
        <v>0.254</v>
      </c>
      <c r="D36" s="15">
        <v>5.0700000000000002E-2</v>
      </c>
      <c r="E36" s="13">
        <v>103.2</v>
      </c>
      <c r="F36" s="13">
        <v>338.49599999999998</v>
      </c>
      <c r="G36" s="13">
        <v>0.86</v>
      </c>
      <c r="H36" s="13">
        <v>0.14199999999999999</v>
      </c>
      <c r="I36" s="13" t="s">
        <v>125</v>
      </c>
      <c r="J36" s="13" t="s">
        <v>126</v>
      </c>
    </row>
    <row r="37" spans="1:10" x14ac:dyDescent="0.3">
      <c r="A37" s="16">
        <v>31</v>
      </c>
      <c r="B37" s="13">
        <v>8.8999999999999999E-3</v>
      </c>
      <c r="C37" s="15">
        <v>0.22606000000000001</v>
      </c>
      <c r="D37" s="15">
        <v>4.0099999999999997E-2</v>
      </c>
      <c r="E37" s="13">
        <v>130.1</v>
      </c>
      <c r="F37" s="13">
        <v>426.72800000000001</v>
      </c>
      <c r="G37" s="13">
        <v>0.7</v>
      </c>
      <c r="H37" s="13">
        <v>0.113</v>
      </c>
      <c r="I37" s="13" t="s">
        <v>127</v>
      </c>
      <c r="J37" s="13" t="s">
        <v>128</v>
      </c>
    </row>
    <row r="38" spans="1:10" x14ac:dyDescent="0.3">
      <c r="A38" s="16">
        <v>32</v>
      </c>
      <c r="B38" s="13">
        <v>8.0000000000000002E-3</v>
      </c>
      <c r="C38" s="15">
        <v>0.20319999999999999</v>
      </c>
      <c r="D38" s="15">
        <v>3.2399999999999998E-2</v>
      </c>
      <c r="E38" s="13">
        <v>164.1</v>
      </c>
      <c r="F38" s="13">
        <v>538.24800000000005</v>
      </c>
      <c r="G38" s="13">
        <v>0.53</v>
      </c>
      <c r="H38" s="13">
        <v>9.0999999999999998E-2</v>
      </c>
      <c r="I38" s="13" t="s">
        <v>129</v>
      </c>
      <c r="J38" s="13" t="s">
        <v>130</v>
      </c>
    </row>
    <row r="39" spans="1:10" ht="20.399999999999999" x14ac:dyDescent="0.3">
      <c r="A39" s="16" t="s">
        <v>131</v>
      </c>
      <c r="B39" s="13">
        <v>7.8700000000000003E-3</v>
      </c>
      <c r="C39" s="15">
        <v>0.2</v>
      </c>
      <c r="D39" s="15">
        <v>3.1399999999999997E-2</v>
      </c>
      <c r="E39" s="13">
        <v>169.39</v>
      </c>
      <c r="F39" s="13">
        <v>555.61</v>
      </c>
      <c r="G39" s="13">
        <v>0.51</v>
      </c>
      <c r="H39" s="13">
        <v>8.7999999999999995E-2</v>
      </c>
      <c r="I39" s="13" t="s">
        <v>132</v>
      </c>
      <c r="J39" s="13"/>
    </row>
  </sheetData>
  <mergeCells count="6">
    <mergeCell ref="J1:J2"/>
    <mergeCell ref="A1:A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55BF-C773-4D1D-B00A-4E91F8B61265}">
  <dimension ref="A1"/>
  <sheetViews>
    <sheetView workbookViewId="0">
      <selection activeCell="C12" sqref="C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375A-A1B7-4EB1-A0F7-C2B99C9A8D8E}">
  <dimension ref="F10:O23"/>
  <sheetViews>
    <sheetView topLeftCell="A5" workbookViewId="0">
      <selection activeCell="F10" sqref="F10:O23"/>
    </sheetView>
  </sheetViews>
  <sheetFormatPr defaultRowHeight="14.4" x14ac:dyDescent="0.3"/>
  <sheetData>
    <row r="10" spans="6:15" ht="30.6" x14ac:dyDescent="0.3">
      <c r="F10" s="30" t="s">
        <v>46</v>
      </c>
      <c r="G10" s="11" t="s">
        <v>47</v>
      </c>
      <c r="H10" s="11" t="s">
        <v>47</v>
      </c>
      <c r="I10" s="30" t="s">
        <v>50</v>
      </c>
      <c r="J10" s="30" t="s">
        <v>51</v>
      </c>
      <c r="K10" s="30" t="s">
        <v>52</v>
      </c>
      <c r="L10" s="30" t="s">
        <v>53</v>
      </c>
      <c r="M10" s="11" t="s">
        <v>54</v>
      </c>
      <c r="N10" s="11" t="s">
        <v>56</v>
      </c>
      <c r="O10" s="30" t="s">
        <v>58</v>
      </c>
    </row>
    <row r="11" spans="6:15" ht="51" x14ac:dyDescent="0.3">
      <c r="F11" s="31"/>
      <c r="G11" s="12" t="s">
        <v>48</v>
      </c>
      <c r="H11" s="12" t="s">
        <v>49</v>
      </c>
      <c r="I11" s="31"/>
      <c r="J11" s="31"/>
      <c r="K11" s="31"/>
      <c r="L11" s="31"/>
      <c r="M11" s="12" t="s">
        <v>55</v>
      </c>
      <c r="N11" s="12" t="s">
        <v>57</v>
      </c>
      <c r="O11" s="31"/>
    </row>
    <row r="12" spans="6:15" x14ac:dyDescent="0.3">
      <c r="F12" s="16">
        <v>15</v>
      </c>
      <c r="G12" s="13">
        <v>5.7099999999999998E-2</v>
      </c>
      <c r="H12" s="15">
        <v>1.45034</v>
      </c>
      <c r="I12" s="15">
        <v>1.65</v>
      </c>
      <c r="J12" s="13">
        <v>3.1840000000000002</v>
      </c>
      <c r="K12" s="13">
        <v>10.443519999999999</v>
      </c>
      <c r="L12" s="13">
        <v>28</v>
      </c>
      <c r="M12" s="13">
        <v>4.7</v>
      </c>
      <c r="N12" s="13" t="s">
        <v>95</v>
      </c>
      <c r="O12" s="13" t="s">
        <v>96</v>
      </c>
    </row>
    <row r="13" spans="6:15" x14ac:dyDescent="0.3">
      <c r="F13" s="16">
        <v>16</v>
      </c>
      <c r="G13" s="13">
        <v>5.0799999999999998E-2</v>
      </c>
      <c r="H13" s="15">
        <v>1.2903199999999999</v>
      </c>
      <c r="I13" s="15">
        <v>1.31</v>
      </c>
      <c r="J13" s="13">
        <v>4.016</v>
      </c>
      <c r="K13" s="13">
        <v>13.17248</v>
      </c>
      <c r="L13" s="13">
        <v>22</v>
      </c>
      <c r="M13" s="13">
        <v>3.7</v>
      </c>
      <c r="N13" s="13" t="s">
        <v>97</v>
      </c>
      <c r="O13" s="13" t="s">
        <v>98</v>
      </c>
    </row>
    <row r="14" spans="6:15" x14ac:dyDescent="0.3">
      <c r="F14" s="16">
        <v>17</v>
      </c>
      <c r="G14" s="13">
        <v>4.53E-2</v>
      </c>
      <c r="H14" s="15">
        <v>1.15062</v>
      </c>
      <c r="I14" s="15">
        <v>1.04</v>
      </c>
      <c r="J14" s="13">
        <v>5.0640000000000001</v>
      </c>
      <c r="K14" s="13">
        <v>16.609919999999999</v>
      </c>
      <c r="L14" s="13">
        <v>19</v>
      </c>
      <c r="M14" s="13">
        <v>2.9</v>
      </c>
      <c r="N14" s="13" t="s">
        <v>99</v>
      </c>
      <c r="O14" s="13" t="s">
        <v>100</v>
      </c>
    </row>
    <row r="15" spans="6:15" x14ac:dyDescent="0.3">
      <c r="F15" s="16">
        <v>18</v>
      </c>
      <c r="G15" s="13">
        <v>4.0300000000000002E-2</v>
      </c>
      <c r="H15" s="15">
        <v>1.02362</v>
      </c>
      <c r="I15" s="15">
        <v>0.82299999999999995</v>
      </c>
      <c r="J15" s="13">
        <v>6.3849999999999998</v>
      </c>
      <c r="K15" s="13">
        <v>20.942799999999998</v>
      </c>
      <c r="L15" s="13">
        <v>16</v>
      </c>
      <c r="M15" s="13">
        <v>2.2999999999999998</v>
      </c>
      <c r="N15" s="13" t="s">
        <v>101</v>
      </c>
      <c r="O15" s="13" t="s">
        <v>102</v>
      </c>
    </row>
    <row r="16" spans="6:15" x14ac:dyDescent="0.3">
      <c r="F16" s="16">
        <v>19</v>
      </c>
      <c r="G16" s="13">
        <v>3.5900000000000001E-2</v>
      </c>
      <c r="H16" s="15">
        <v>0.91186</v>
      </c>
      <c r="I16" s="15">
        <v>0.65300000000000002</v>
      </c>
      <c r="J16" s="13">
        <v>8.0510000000000002</v>
      </c>
      <c r="K16" s="13">
        <v>26.40728</v>
      </c>
      <c r="L16" s="13">
        <v>14</v>
      </c>
      <c r="M16" s="13">
        <v>1.8</v>
      </c>
      <c r="N16" s="13" t="s">
        <v>103</v>
      </c>
      <c r="O16" s="13" t="s">
        <v>104</v>
      </c>
    </row>
    <row r="17" spans="6:15" x14ac:dyDescent="0.3">
      <c r="F17" s="16">
        <v>20</v>
      </c>
      <c r="G17" s="13">
        <v>3.2000000000000001E-2</v>
      </c>
      <c r="H17" s="15">
        <v>0.81279999999999997</v>
      </c>
      <c r="I17" s="15">
        <v>0.51900000000000002</v>
      </c>
      <c r="J17" s="13">
        <v>10.15</v>
      </c>
      <c r="K17" s="13">
        <v>33.292000000000002</v>
      </c>
      <c r="L17" s="13">
        <v>11</v>
      </c>
      <c r="M17" s="13">
        <v>1.5</v>
      </c>
      <c r="N17" s="13" t="s">
        <v>105</v>
      </c>
      <c r="O17" s="13" t="s">
        <v>106</v>
      </c>
    </row>
    <row r="18" spans="6:15" x14ac:dyDescent="0.3">
      <c r="F18" s="16">
        <v>21</v>
      </c>
      <c r="G18" s="13">
        <v>2.8500000000000001E-2</v>
      </c>
      <c r="H18" s="15">
        <v>0.72389999999999999</v>
      </c>
      <c r="I18" s="15">
        <v>0.41199999999999998</v>
      </c>
      <c r="J18" s="13">
        <v>12.8</v>
      </c>
      <c r="K18" s="13">
        <v>41.984000000000002</v>
      </c>
      <c r="L18" s="13">
        <v>9</v>
      </c>
      <c r="M18" s="13">
        <v>1.2</v>
      </c>
      <c r="N18" s="13" t="s">
        <v>107</v>
      </c>
      <c r="O18" s="13" t="s">
        <v>108</v>
      </c>
    </row>
    <row r="19" spans="6:15" x14ac:dyDescent="0.3">
      <c r="F19" s="16">
        <v>22</v>
      </c>
      <c r="G19" s="13">
        <v>2.53E-2</v>
      </c>
      <c r="H19" s="15">
        <v>0.64515999999999996</v>
      </c>
      <c r="I19" s="15">
        <v>0.32700000000000001</v>
      </c>
      <c r="J19" s="13">
        <v>16.14</v>
      </c>
      <c r="K19" s="13">
        <v>52.9392</v>
      </c>
      <c r="L19" s="13">
        <v>7</v>
      </c>
      <c r="M19" s="13">
        <v>0.92</v>
      </c>
      <c r="N19" s="13" t="s">
        <v>109</v>
      </c>
      <c r="O19" s="13" t="s">
        <v>110</v>
      </c>
    </row>
    <row r="20" spans="6:15" x14ac:dyDescent="0.3">
      <c r="F20" s="16">
        <v>23</v>
      </c>
      <c r="G20" s="13">
        <v>2.2599999999999999E-2</v>
      </c>
      <c r="H20" s="15">
        <v>0.57403999999999999</v>
      </c>
      <c r="I20" s="15">
        <v>0.25900000000000001</v>
      </c>
      <c r="J20" s="13">
        <v>20.36</v>
      </c>
      <c r="K20" s="13">
        <v>66.780799999999999</v>
      </c>
      <c r="L20" s="13">
        <v>4.7</v>
      </c>
      <c r="M20" s="13">
        <v>0.72899999999999998</v>
      </c>
      <c r="N20" s="13" t="s">
        <v>111</v>
      </c>
      <c r="O20" s="13" t="s">
        <v>112</v>
      </c>
    </row>
    <row r="21" spans="6:15" x14ac:dyDescent="0.3">
      <c r="F21" s="16">
        <v>24</v>
      </c>
      <c r="G21" s="13">
        <v>2.01E-2</v>
      </c>
      <c r="H21" s="15">
        <v>0.51053999999999999</v>
      </c>
      <c r="I21" s="15">
        <v>0.20499999999999999</v>
      </c>
      <c r="J21" s="13">
        <v>25.67</v>
      </c>
      <c r="K21" s="13">
        <v>84.197599999999994</v>
      </c>
      <c r="L21" s="13">
        <v>3.5</v>
      </c>
      <c r="M21" s="13">
        <v>0.57699999999999996</v>
      </c>
      <c r="N21" s="13" t="s">
        <v>113</v>
      </c>
      <c r="O21" s="13" t="s">
        <v>114</v>
      </c>
    </row>
    <row r="22" spans="6:15" x14ac:dyDescent="0.3">
      <c r="F22" s="16">
        <v>25</v>
      </c>
      <c r="G22" s="13">
        <v>1.7899999999999999E-2</v>
      </c>
      <c r="H22" s="15">
        <v>0.45466000000000001</v>
      </c>
      <c r="I22" s="15">
        <v>0.16200000000000001</v>
      </c>
      <c r="J22" s="13">
        <v>32.369999999999997</v>
      </c>
      <c r="K22" s="13">
        <v>106.17359999999999</v>
      </c>
      <c r="L22" s="13">
        <v>2.7</v>
      </c>
      <c r="M22" s="13">
        <v>0.45700000000000002</v>
      </c>
      <c r="N22" s="13" t="s">
        <v>115</v>
      </c>
      <c r="O22" s="13" t="s">
        <v>116</v>
      </c>
    </row>
    <row r="23" spans="6:15" x14ac:dyDescent="0.3">
      <c r="F23" s="16">
        <v>26</v>
      </c>
      <c r="G23" s="13">
        <v>1.5900000000000001E-2</v>
      </c>
      <c r="H23" s="15">
        <v>0.40386</v>
      </c>
      <c r="I23" s="15">
        <v>0.128</v>
      </c>
      <c r="J23" s="13">
        <v>40.81</v>
      </c>
      <c r="K23" s="13">
        <v>133.85679999999999</v>
      </c>
      <c r="L23" s="13">
        <v>2.2000000000000002</v>
      </c>
      <c r="M23" s="13">
        <v>0.36099999999999999</v>
      </c>
      <c r="N23" s="13" t="s">
        <v>117</v>
      </c>
      <c r="O23" s="13" t="s">
        <v>118</v>
      </c>
    </row>
  </sheetData>
  <mergeCells count="6">
    <mergeCell ref="O10:O11"/>
    <mergeCell ref="F10:F11"/>
    <mergeCell ref="I10:I11"/>
    <mergeCell ref="J10:J11"/>
    <mergeCell ref="K10:K11"/>
    <mergeCell ref="L10:L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399a3f6-84a2-44f7-8781-b1ee60ec893b" origin="userSelected"/>
</file>

<file path=customXml/itemProps1.xml><?xml version="1.0" encoding="utf-8"?>
<ds:datastoreItem xmlns:ds="http://schemas.openxmlformats.org/officeDocument/2006/customXml" ds:itemID="{DAAB3985-EB40-4E8E-BD2F-37518C31538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Transformer_Design</vt:lpstr>
      <vt:lpstr>AWG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Ahmetcan Akuz</cp:lastModifiedBy>
  <dcterms:created xsi:type="dcterms:W3CDTF">2015-06-05T18:17:20Z</dcterms:created>
  <dcterms:modified xsi:type="dcterms:W3CDTF">2023-05-05T17:59:07Z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36aff44d-cc4e-427b-82fc-73beea3b3c3b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uRS4/+v6yVtgVTbOyRlReX5baalU9Qg+</vt:lpwstr>
  </property>
  <property fmtid="{D5CDD505-2E9C-101B-9397-08002B2CF9AE}" pid="5" name="bjClsUserRVM">
    <vt:lpwstr>[]</vt:lpwstr>
  </property>
</Properties>
</file>