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ahocken_mit_edu/Documents/Documents/Olsen Lab/Small Format Recycling/LCA/Final manuscript excel models/"/>
    </mc:Choice>
  </mc:AlternateContent>
  <xr:revisionPtr revIDLastSave="7" documentId="8_{9F6D30B4-2F1E-4F48-85F3-D2112780B504}" xr6:coauthVersionLast="47" xr6:coauthVersionMax="47" xr10:uidLastSave="{C5F9B906-4483-4831-87C0-8FDDCB6952C4}"/>
  <bookViews>
    <workbookView xWindow="28680" yWindow="-120" windowWidth="29040" windowHeight="15840" xr2:uid="{00000000-000D-0000-FFFF-FFFF00000000}"/>
  </bookViews>
  <sheets>
    <sheet name="Important variables and results" sheetId="17" r:id="rId1"/>
    <sheet name="Single.Stream" sheetId="3" r:id="rId2"/>
    <sheet name="SS Material Flow" sheetId="4" r:id="rId3"/>
    <sheet name="Common" sheetId="5" r:id="rId4"/>
    <sheet name="MRF Data-For Common" sheetId="13" r:id="rId5"/>
    <sheet name="Tables and Figures" sheetId="14" r:id="rId6"/>
    <sheet name="Sheet1" sheetId="15" r:id="rId7"/>
  </sheets>
  <externalReferences>
    <externalReference r:id="rId8"/>
  </externalReferences>
  <definedNames>
    <definedName name="EnergyAllocationOptions">Common!$B$116:$B$118</definedName>
    <definedName name="Mat_Rec_Opt">Common!$E$116:$E$118</definedName>
    <definedName name="YN">Common!$A$116:$A$117</definedName>
    <definedName name="YN_Blank">Common!$A$116:$A$118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4" l="1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93" i="4"/>
  <c r="K155" i="3"/>
  <c r="K156" i="3"/>
  <c r="K157" i="3"/>
  <c r="K158" i="3"/>
  <c r="K159" i="3"/>
  <c r="K154" i="3"/>
  <c r="N21" i="4"/>
  <c r="N22" i="4"/>
  <c r="N23" i="4"/>
  <c r="N24" i="4"/>
  <c r="N25" i="4"/>
  <c r="N26" i="4"/>
  <c r="C3" i="4"/>
  <c r="C48" i="4"/>
  <c r="D3" i="4"/>
  <c r="E3" i="4"/>
  <c r="I3" i="4"/>
  <c r="J3" i="4"/>
  <c r="N3" i="4"/>
  <c r="O3" i="4"/>
  <c r="W3" i="4"/>
  <c r="D48" i="4"/>
  <c r="F3" i="4"/>
  <c r="F48" i="4"/>
  <c r="G3" i="4"/>
  <c r="G48" i="4"/>
  <c r="H3" i="4"/>
  <c r="H48" i="4"/>
  <c r="L3" i="4"/>
  <c r="L48" i="4"/>
  <c r="M3" i="4"/>
  <c r="P3" i="4"/>
  <c r="P48" i="4"/>
  <c r="R3" i="4"/>
  <c r="R48" i="4"/>
  <c r="T3" i="4"/>
  <c r="T48" i="4"/>
  <c r="V3" i="4"/>
  <c r="V48" i="4"/>
  <c r="X3" i="4"/>
  <c r="X48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B184" i="4"/>
  <c r="C4" i="4"/>
  <c r="C49" i="4"/>
  <c r="D4" i="4"/>
  <c r="E4" i="4"/>
  <c r="I4" i="4"/>
  <c r="J4" i="4"/>
  <c r="O4" i="4"/>
  <c r="W4" i="4"/>
  <c r="D49" i="4"/>
  <c r="F4" i="4"/>
  <c r="F49" i="4"/>
  <c r="G4" i="4"/>
  <c r="G49" i="4"/>
  <c r="H4" i="4"/>
  <c r="H49" i="4"/>
  <c r="L4" i="4"/>
  <c r="L49" i="4"/>
  <c r="M4" i="4"/>
  <c r="P4" i="4"/>
  <c r="P49" i="4"/>
  <c r="R4" i="4"/>
  <c r="R49" i="4"/>
  <c r="T4" i="4"/>
  <c r="T49" i="4"/>
  <c r="V4" i="4"/>
  <c r="V49" i="4"/>
  <c r="X4" i="4"/>
  <c r="X49" i="4"/>
  <c r="B185" i="4"/>
  <c r="C5" i="4"/>
  <c r="C50" i="4"/>
  <c r="D5" i="4"/>
  <c r="E5" i="4"/>
  <c r="I5" i="4"/>
  <c r="J5" i="4"/>
  <c r="O5" i="4"/>
  <c r="W5" i="4"/>
  <c r="D50" i="4"/>
  <c r="F5" i="4"/>
  <c r="F50" i="4"/>
  <c r="G5" i="4"/>
  <c r="G50" i="4"/>
  <c r="H5" i="4"/>
  <c r="H50" i="4"/>
  <c r="L5" i="4"/>
  <c r="L50" i="4"/>
  <c r="M5" i="4"/>
  <c r="P5" i="4"/>
  <c r="P50" i="4"/>
  <c r="R5" i="4"/>
  <c r="R50" i="4"/>
  <c r="T5" i="4"/>
  <c r="T50" i="4"/>
  <c r="V5" i="4"/>
  <c r="V50" i="4"/>
  <c r="X5" i="4"/>
  <c r="X50" i="4"/>
  <c r="B186" i="4"/>
  <c r="C6" i="4"/>
  <c r="C51" i="4"/>
  <c r="D6" i="4"/>
  <c r="E6" i="4"/>
  <c r="I6" i="4"/>
  <c r="J6" i="4"/>
  <c r="O6" i="4"/>
  <c r="W6" i="4"/>
  <c r="D51" i="4"/>
  <c r="F6" i="4"/>
  <c r="F51" i="4"/>
  <c r="G6" i="4"/>
  <c r="G51" i="4"/>
  <c r="H6" i="4"/>
  <c r="H51" i="4"/>
  <c r="L6" i="4"/>
  <c r="L51" i="4"/>
  <c r="M6" i="4"/>
  <c r="P6" i="4"/>
  <c r="P51" i="4"/>
  <c r="R6" i="4"/>
  <c r="R51" i="4"/>
  <c r="T6" i="4"/>
  <c r="T51" i="4"/>
  <c r="V6" i="4"/>
  <c r="V51" i="4"/>
  <c r="X6" i="4"/>
  <c r="X51" i="4"/>
  <c r="B187" i="4"/>
  <c r="C7" i="4"/>
  <c r="C52" i="4"/>
  <c r="D7" i="4"/>
  <c r="E7" i="4"/>
  <c r="I7" i="4"/>
  <c r="J7" i="4"/>
  <c r="O7" i="4"/>
  <c r="W7" i="4"/>
  <c r="D52" i="4"/>
  <c r="F7" i="4"/>
  <c r="F52" i="4"/>
  <c r="G7" i="4"/>
  <c r="G52" i="4"/>
  <c r="H7" i="4"/>
  <c r="H52" i="4"/>
  <c r="L7" i="4"/>
  <c r="L52" i="4"/>
  <c r="M7" i="4"/>
  <c r="P7" i="4"/>
  <c r="P52" i="4"/>
  <c r="R7" i="4"/>
  <c r="R52" i="4"/>
  <c r="T7" i="4"/>
  <c r="T52" i="4"/>
  <c r="V7" i="4"/>
  <c r="V52" i="4"/>
  <c r="X7" i="4"/>
  <c r="X52" i="4"/>
  <c r="B188" i="4"/>
  <c r="C8" i="4"/>
  <c r="C53" i="4"/>
  <c r="D8" i="4"/>
  <c r="E8" i="4"/>
  <c r="I8" i="4"/>
  <c r="J8" i="4"/>
  <c r="O8" i="4"/>
  <c r="W8" i="4"/>
  <c r="D53" i="4"/>
  <c r="F8" i="4"/>
  <c r="F53" i="4"/>
  <c r="G8" i="4"/>
  <c r="G53" i="4"/>
  <c r="H8" i="4"/>
  <c r="H53" i="4"/>
  <c r="L8" i="4"/>
  <c r="L53" i="4"/>
  <c r="M8" i="4"/>
  <c r="P8" i="4"/>
  <c r="P53" i="4"/>
  <c r="R8" i="4"/>
  <c r="R53" i="4"/>
  <c r="T8" i="4"/>
  <c r="T53" i="4"/>
  <c r="V8" i="4"/>
  <c r="V53" i="4"/>
  <c r="X8" i="4"/>
  <c r="X53" i="4"/>
  <c r="B189" i="4"/>
  <c r="C9" i="4"/>
  <c r="C54" i="4"/>
  <c r="D9" i="4"/>
  <c r="E9" i="4"/>
  <c r="I9" i="4"/>
  <c r="J9" i="4"/>
  <c r="O9" i="4"/>
  <c r="W9" i="4"/>
  <c r="D54" i="4"/>
  <c r="F9" i="4"/>
  <c r="F54" i="4"/>
  <c r="G9" i="4"/>
  <c r="G54" i="4"/>
  <c r="H9" i="4"/>
  <c r="H54" i="4"/>
  <c r="L9" i="4"/>
  <c r="L54" i="4"/>
  <c r="M9" i="4"/>
  <c r="P9" i="4"/>
  <c r="P54" i="4"/>
  <c r="R9" i="4"/>
  <c r="R54" i="4"/>
  <c r="T9" i="4"/>
  <c r="T54" i="4"/>
  <c r="V9" i="4"/>
  <c r="V54" i="4"/>
  <c r="X9" i="4"/>
  <c r="X54" i="4"/>
  <c r="B190" i="4"/>
  <c r="C10" i="4"/>
  <c r="C55" i="4"/>
  <c r="D10" i="4"/>
  <c r="E10" i="4"/>
  <c r="I10" i="4"/>
  <c r="J10" i="4"/>
  <c r="O10" i="4"/>
  <c r="W10" i="4"/>
  <c r="D55" i="4"/>
  <c r="F10" i="4"/>
  <c r="F55" i="4"/>
  <c r="G10" i="4"/>
  <c r="G55" i="4"/>
  <c r="H10" i="4"/>
  <c r="H55" i="4"/>
  <c r="L10" i="4"/>
  <c r="L55" i="4"/>
  <c r="M10" i="4"/>
  <c r="P10" i="4"/>
  <c r="P55" i="4"/>
  <c r="R10" i="4"/>
  <c r="R55" i="4"/>
  <c r="T10" i="4"/>
  <c r="T55" i="4"/>
  <c r="V10" i="4"/>
  <c r="V55" i="4"/>
  <c r="X10" i="4"/>
  <c r="X55" i="4"/>
  <c r="B191" i="4"/>
  <c r="C11" i="4"/>
  <c r="C56" i="4"/>
  <c r="D11" i="4"/>
  <c r="E11" i="4"/>
  <c r="I11" i="4"/>
  <c r="J11" i="4"/>
  <c r="O11" i="4"/>
  <c r="W11" i="4"/>
  <c r="D56" i="4"/>
  <c r="F11" i="4"/>
  <c r="F56" i="4"/>
  <c r="G11" i="4"/>
  <c r="G56" i="4"/>
  <c r="H11" i="4"/>
  <c r="H56" i="4"/>
  <c r="L11" i="4"/>
  <c r="L56" i="4"/>
  <c r="M11" i="4"/>
  <c r="P11" i="4"/>
  <c r="P56" i="4"/>
  <c r="R11" i="4"/>
  <c r="R56" i="4"/>
  <c r="T11" i="4"/>
  <c r="T56" i="4"/>
  <c r="V11" i="4"/>
  <c r="V56" i="4"/>
  <c r="X11" i="4"/>
  <c r="X56" i="4"/>
  <c r="B192" i="4"/>
  <c r="C12" i="4"/>
  <c r="C57" i="4"/>
  <c r="D12" i="4"/>
  <c r="E12" i="4"/>
  <c r="I12" i="4"/>
  <c r="J12" i="4"/>
  <c r="O12" i="4"/>
  <c r="W12" i="4"/>
  <c r="D57" i="4"/>
  <c r="F12" i="4"/>
  <c r="F57" i="4"/>
  <c r="G12" i="4"/>
  <c r="G57" i="4"/>
  <c r="H12" i="4"/>
  <c r="H57" i="4"/>
  <c r="L12" i="4"/>
  <c r="L57" i="4"/>
  <c r="M12" i="4"/>
  <c r="P12" i="4"/>
  <c r="P57" i="4"/>
  <c r="R12" i="4"/>
  <c r="R57" i="4"/>
  <c r="T12" i="4"/>
  <c r="T57" i="4"/>
  <c r="V12" i="4"/>
  <c r="V57" i="4"/>
  <c r="X12" i="4"/>
  <c r="X57" i="4"/>
  <c r="B193" i="4"/>
  <c r="C13" i="4"/>
  <c r="C58" i="4"/>
  <c r="D13" i="4"/>
  <c r="E13" i="4"/>
  <c r="I13" i="4"/>
  <c r="J13" i="4"/>
  <c r="O13" i="4"/>
  <c r="W13" i="4"/>
  <c r="D58" i="4"/>
  <c r="F13" i="4"/>
  <c r="F58" i="4"/>
  <c r="G13" i="4"/>
  <c r="G58" i="4"/>
  <c r="H13" i="4"/>
  <c r="H58" i="4"/>
  <c r="L13" i="4"/>
  <c r="L58" i="4"/>
  <c r="M13" i="4"/>
  <c r="P13" i="4"/>
  <c r="P58" i="4"/>
  <c r="R13" i="4"/>
  <c r="R58" i="4"/>
  <c r="T13" i="4"/>
  <c r="T58" i="4"/>
  <c r="V13" i="4"/>
  <c r="V58" i="4"/>
  <c r="X13" i="4"/>
  <c r="X58" i="4"/>
  <c r="B194" i="4"/>
  <c r="C14" i="4"/>
  <c r="C59" i="4"/>
  <c r="D14" i="4"/>
  <c r="E14" i="4"/>
  <c r="I14" i="4"/>
  <c r="J14" i="4"/>
  <c r="O14" i="4"/>
  <c r="W14" i="4"/>
  <c r="D59" i="4"/>
  <c r="F14" i="4"/>
  <c r="F59" i="4"/>
  <c r="G14" i="4"/>
  <c r="G59" i="4"/>
  <c r="H14" i="4"/>
  <c r="H59" i="4"/>
  <c r="L14" i="4"/>
  <c r="L59" i="4"/>
  <c r="M14" i="4"/>
  <c r="P14" i="4"/>
  <c r="P59" i="4"/>
  <c r="R14" i="4"/>
  <c r="R59" i="4"/>
  <c r="T14" i="4"/>
  <c r="T59" i="4"/>
  <c r="V14" i="4"/>
  <c r="V59" i="4"/>
  <c r="X14" i="4"/>
  <c r="X59" i="4"/>
  <c r="B195" i="4"/>
  <c r="C15" i="4"/>
  <c r="C60" i="4"/>
  <c r="D15" i="4"/>
  <c r="E15" i="4"/>
  <c r="I15" i="4"/>
  <c r="J15" i="4"/>
  <c r="O15" i="4"/>
  <c r="W15" i="4"/>
  <c r="D60" i="4"/>
  <c r="F15" i="4"/>
  <c r="F60" i="4"/>
  <c r="G15" i="4"/>
  <c r="G60" i="4"/>
  <c r="H15" i="4"/>
  <c r="H60" i="4"/>
  <c r="L15" i="4"/>
  <c r="L60" i="4"/>
  <c r="M15" i="4"/>
  <c r="P15" i="4"/>
  <c r="P60" i="4"/>
  <c r="R15" i="4"/>
  <c r="R60" i="4"/>
  <c r="T15" i="4"/>
  <c r="T60" i="4"/>
  <c r="V15" i="4"/>
  <c r="V60" i="4"/>
  <c r="X15" i="4"/>
  <c r="X60" i="4"/>
  <c r="B196" i="4"/>
  <c r="C16" i="4"/>
  <c r="C61" i="4"/>
  <c r="D16" i="4"/>
  <c r="E16" i="4"/>
  <c r="I16" i="4"/>
  <c r="J16" i="4"/>
  <c r="O16" i="4"/>
  <c r="W16" i="4"/>
  <c r="D61" i="4"/>
  <c r="F16" i="4"/>
  <c r="F61" i="4"/>
  <c r="G16" i="4"/>
  <c r="G61" i="4"/>
  <c r="H16" i="4"/>
  <c r="H61" i="4"/>
  <c r="L16" i="4"/>
  <c r="L61" i="4"/>
  <c r="M16" i="4"/>
  <c r="P16" i="4"/>
  <c r="P61" i="4"/>
  <c r="R16" i="4"/>
  <c r="R61" i="4"/>
  <c r="T16" i="4"/>
  <c r="T61" i="4"/>
  <c r="V16" i="4"/>
  <c r="V61" i="4"/>
  <c r="X16" i="4"/>
  <c r="X61" i="4"/>
  <c r="B197" i="4"/>
  <c r="C17" i="4"/>
  <c r="C62" i="4"/>
  <c r="D17" i="4"/>
  <c r="E17" i="4"/>
  <c r="I17" i="4"/>
  <c r="J17" i="4"/>
  <c r="O17" i="4"/>
  <c r="W17" i="4"/>
  <c r="D62" i="4"/>
  <c r="F17" i="4"/>
  <c r="F62" i="4"/>
  <c r="G17" i="4"/>
  <c r="G62" i="4"/>
  <c r="H17" i="4"/>
  <c r="H62" i="4"/>
  <c r="L17" i="4"/>
  <c r="L62" i="4"/>
  <c r="M17" i="4"/>
  <c r="P17" i="4"/>
  <c r="P62" i="4"/>
  <c r="R17" i="4"/>
  <c r="R62" i="4"/>
  <c r="T17" i="4"/>
  <c r="T62" i="4"/>
  <c r="V17" i="4"/>
  <c r="V62" i="4"/>
  <c r="X17" i="4"/>
  <c r="X62" i="4"/>
  <c r="B198" i="4"/>
  <c r="C18" i="4"/>
  <c r="C63" i="4"/>
  <c r="D18" i="4"/>
  <c r="E18" i="4"/>
  <c r="I18" i="4"/>
  <c r="J18" i="4"/>
  <c r="O18" i="4"/>
  <c r="W18" i="4"/>
  <c r="D63" i="4"/>
  <c r="F18" i="4"/>
  <c r="F63" i="4"/>
  <c r="G18" i="4"/>
  <c r="G63" i="4"/>
  <c r="H18" i="4"/>
  <c r="H63" i="4"/>
  <c r="L18" i="4"/>
  <c r="L63" i="4"/>
  <c r="M18" i="4"/>
  <c r="P18" i="4"/>
  <c r="P63" i="4"/>
  <c r="R18" i="4"/>
  <c r="R63" i="4"/>
  <c r="T18" i="4"/>
  <c r="T63" i="4"/>
  <c r="V18" i="4"/>
  <c r="V63" i="4"/>
  <c r="X18" i="4"/>
  <c r="X63" i="4"/>
  <c r="B199" i="4"/>
  <c r="C19" i="4"/>
  <c r="C64" i="4"/>
  <c r="D19" i="4"/>
  <c r="E19" i="4"/>
  <c r="I19" i="4"/>
  <c r="J19" i="4"/>
  <c r="O19" i="4"/>
  <c r="W19" i="4"/>
  <c r="D64" i="4"/>
  <c r="F19" i="4"/>
  <c r="F64" i="4"/>
  <c r="G19" i="4"/>
  <c r="G64" i="4"/>
  <c r="H19" i="4"/>
  <c r="H64" i="4"/>
  <c r="L19" i="4"/>
  <c r="L64" i="4"/>
  <c r="M19" i="4"/>
  <c r="P19" i="4"/>
  <c r="P64" i="4"/>
  <c r="R19" i="4"/>
  <c r="R64" i="4"/>
  <c r="T19" i="4"/>
  <c r="T64" i="4"/>
  <c r="V19" i="4"/>
  <c r="V64" i="4"/>
  <c r="X19" i="4"/>
  <c r="X64" i="4"/>
  <c r="B200" i="4"/>
  <c r="C20" i="4"/>
  <c r="C65" i="4"/>
  <c r="D20" i="4"/>
  <c r="E20" i="4"/>
  <c r="I20" i="4"/>
  <c r="J20" i="4"/>
  <c r="O20" i="4"/>
  <c r="W20" i="4"/>
  <c r="D65" i="4"/>
  <c r="F20" i="4"/>
  <c r="F65" i="4"/>
  <c r="G20" i="4"/>
  <c r="G65" i="4"/>
  <c r="H20" i="4"/>
  <c r="H65" i="4"/>
  <c r="L20" i="4"/>
  <c r="L65" i="4"/>
  <c r="M20" i="4"/>
  <c r="P20" i="4"/>
  <c r="P65" i="4"/>
  <c r="R20" i="4"/>
  <c r="R65" i="4"/>
  <c r="T20" i="4"/>
  <c r="T65" i="4"/>
  <c r="V20" i="4"/>
  <c r="V65" i="4"/>
  <c r="X20" i="4"/>
  <c r="X65" i="4"/>
  <c r="B201" i="4"/>
  <c r="O21" i="4"/>
  <c r="W21" i="4"/>
  <c r="C21" i="4"/>
  <c r="C66" i="4"/>
  <c r="D21" i="4"/>
  <c r="D66" i="4"/>
  <c r="F21" i="4"/>
  <c r="F66" i="4"/>
  <c r="G21" i="4"/>
  <c r="G66" i="4"/>
  <c r="H21" i="4"/>
  <c r="H66" i="4"/>
  <c r="L21" i="4"/>
  <c r="L66" i="4"/>
  <c r="M21" i="4"/>
  <c r="P21" i="4"/>
  <c r="P66" i="4"/>
  <c r="R21" i="4"/>
  <c r="R66" i="4"/>
  <c r="T21" i="4"/>
  <c r="T66" i="4"/>
  <c r="V21" i="4"/>
  <c r="V66" i="4"/>
  <c r="X21" i="4"/>
  <c r="X66" i="4"/>
  <c r="E21" i="4"/>
  <c r="I21" i="4"/>
  <c r="J21" i="4"/>
  <c r="B202" i="4"/>
  <c r="O22" i="4"/>
  <c r="W22" i="4"/>
  <c r="C22" i="4"/>
  <c r="C67" i="4"/>
  <c r="D22" i="4"/>
  <c r="D67" i="4"/>
  <c r="F22" i="4"/>
  <c r="F67" i="4"/>
  <c r="G22" i="4"/>
  <c r="G67" i="4"/>
  <c r="H22" i="4"/>
  <c r="H67" i="4"/>
  <c r="L22" i="4"/>
  <c r="L67" i="4"/>
  <c r="M22" i="4"/>
  <c r="P22" i="4"/>
  <c r="P67" i="4"/>
  <c r="R22" i="4"/>
  <c r="R67" i="4"/>
  <c r="T22" i="4"/>
  <c r="T67" i="4"/>
  <c r="V22" i="4"/>
  <c r="V67" i="4"/>
  <c r="X22" i="4"/>
  <c r="X67" i="4"/>
  <c r="E22" i="4"/>
  <c r="I22" i="4"/>
  <c r="J22" i="4"/>
  <c r="B203" i="4"/>
  <c r="O23" i="4"/>
  <c r="W23" i="4"/>
  <c r="C23" i="4"/>
  <c r="C68" i="4"/>
  <c r="D23" i="4"/>
  <c r="D68" i="4"/>
  <c r="F23" i="4"/>
  <c r="F68" i="4"/>
  <c r="G23" i="4"/>
  <c r="G68" i="4"/>
  <c r="H23" i="4"/>
  <c r="H68" i="4"/>
  <c r="L23" i="4"/>
  <c r="L68" i="4"/>
  <c r="M23" i="4"/>
  <c r="P23" i="4"/>
  <c r="P68" i="4"/>
  <c r="R23" i="4"/>
  <c r="R68" i="4"/>
  <c r="T23" i="4"/>
  <c r="T68" i="4"/>
  <c r="V23" i="4"/>
  <c r="V68" i="4"/>
  <c r="X23" i="4"/>
  <c r="X68" i="4"/>
  <c r="E23" i="4"/>
  <c r="I23" i="4"/>
  <c r="J23" i="4"/>
  <c r="B204" i="4"/>
  <c r="O24" i="4"/>
  <c r="W24" i="4"/>
  <c r="C24" i="4"/>
  <c r="C69" i="4"/>
  <c r="D24" i="4"/>
  <c r="D69" i="4"/>
  <c r="F24" i="4"/>
  <c r="F69" i="4"/>
  <c r="G24" i="4"/>
  <c r="G69" i="4"/>
  <c r="H24" i="4"/>
  <c r="H69" i="4"/>
  <c r="L24" i="4"/>
  <c r="L69" i="4"/>
  <c r="M24" i="4"/>
  <c r="P24" i="4"/>
  <c r="P69" i="4"/>
  <c r="R24" i="4"/>
  <c r="R69" i="4"/>
  <c r="T24" i="4"/>
  <c r="T69" i="4"/>
  <c r="V24" i="4"/>
  <c r="V69" i="4"/>
  <c r="X24" i="4"/>
  <c r="X69" i="4"/>
  <c r="E24" i="4"/>
  <c r="I24" i="4"/>
  <c r="J24" i="4"/>
  <c r="B205" i="4"/>
  <c r="O25" i="4"/>
  <c r="W25" i="4"/>
  <c r="C25" i="4"/>
  <c r="C70" i="4"/>
  <c r="D25" i="4"/>
  <c r="D70" i="4"/>
  <c r="F25" i="4"/>
  <c r="F70" i="4"/>
  <c r="G25" i="4"/>
  <c r="G70" i="4"/>
  <c r="H25" i="4"/>
  <c r="H70" i="4"/>
  <c r="L25" i="4"/>
  <c r="L70" i="4"/>
  <c r="M25" i="4"/>
  <c r="P25" i="4"/>
  <c r="P70" i="4"/>
  <c r="R25" i="4"/>
  <c r="R70" i="4"/>
  <c r="T25" i="4"/>
  <c r="T70" i="4"/>
  <c r="V25" i="4"/>
  <c r="V70" i="4"/>
  <c r="X25" i="4"/>
  <c r="X70" i="4"/>
  <c r="E25" i="4"/>
  <c r="I25" i="4"/>
  <c r="J25" i="4"/>
  <c r="B206" i="4"/>
  <c r="O26" i="4"/>
  <c r="W26" i="4"/>
  <c r="C26" i="4"/>
  <c r="C71" i="4"/>
  <c r="D26" i="4"/>
  <c r="D71" i="4"/>
  <c r="F26" i="4"/>
  <c r="F71" i="4"/>
  <c r="G26" i="4"/>
  <c r="G71" i="4"/>
  <c r="H26" i="4"/>
  <c r="H71" i="4"/>
  <c r="L26" i="4"/>
  <c r="L71" i="4"/>
  <c r="M26" i="4"/>
  <c r="P26" i="4"/>
  <c r="P71" i="4"/>
  <c r="R26" i="4"/>
  <c r="R71" i="4"/>
  <c r="T26" i="4"/>
  <c r="T71" i="4"/>
  <c r="V26" i="4"/>
  <c r="V71" i="4"/>
  <c r="X26" i="4"/>
  <c r="X71" i="4"/>
  <c r="E26" i="4"/>
  <c r="I26" i="4"/>
  <c r="J26" i="4"/>
  <c r="B207" i="4"/>
  <c r="C27" i="4"/>
  <c r="C72" i="4"/>
  <c r="D27" i="4"/>
  <c r="E27" i="4"/>
  <c r="I27" i="4"/>
  <c r="J27" i="4"/>
  <c r="O27" i="4"/>
  <c r="W27" i="4"/>
  <c r="D72" i="4"/>
  <c r="F27" i="4"/>
  <c r="F72" i="4"/>
  <c r="G27" i="4"/>
  <c r="G72" i="4"/>
  <c r="H27" i="4"/>
  <c r="H72" i="4"/>
  <c r="L27" i="4"/>
  <c r="L72" i="4"/>
  <c r="M27" i="4"/>
  <c r="P27" i="4"/>
  <c r="P72" i="4"/>
  <c r="R27" i="4"/>
  <c r="R72" i="4"/>
  <c r="T27" i="4"/>
  <c r="T72" i="4"/>
  <c r="V27" i="4"/>
  <c r="V72" i="4"/>
  <c r="X27" i="4"/>
  <c r="X72" i="4"/>
  <c r="B208" i="4"/>
  <c r="C28" i="4"/>
  <c r="C73" i="4"/>
  <c r="D28" i="4"/>
  <c r="E28" i="4"/>
  <c r="I28" i="4"/>
  <c r="J28" i="4"/>
  <c r="O28" i="4"/>
  <c r="W28" i="4"/>
  <c r="D73" i="4"/>
  <c r="F28" i="4"/>
  <c r="F73" i="4"/>
  <c r="G28" i="4"/>
  <c r="G73" i="4"/>
  <c r="H28" i="4"/>
  <c r="H73" i="4"/>
  <c r="L28" i="4"/>
  <c r="L73" i="4"/>
  <c r="M28" i="4"/>
  <c r="P28" i="4"/>
  <c r="P73" i="4"/>
  <c r="R28" i="4"/>
  <c r="R73" i="4"/>
  <c r="T28" i="4"/>
  <c r="T73" i="4"/>
  <c r="V28" i="4"/>
  <c r="V73" i="4"/>
  <c r="X28" i="4"/>
  <c r="X73" i="4"/>
  <c r="B209" i="4"/>
  <c r="C29" i="4"/>
  <c r="C74" i="4"/>
  <c r="D29" i="4"/>
  <c r="E29" i="4"/>
  <c r="I29" i="4"/>
  <c r="J29" i="4"/>
  <c r="O29" i="4"/>
  <c r="W29" i="4"/>
  <c r="D74" i="4"/>
  <c r="F29" i="4"/>
  <c r="F74" i="4"/>
  <c r="G29" i="4"/>
  <c r="G74" i="4"/>
  <c r="H29" i="4"/>
  <c r="H74" i="4"/>
  <c r="L29" i="4"/>
  <c r="L74" i="4"/>
  <c r="M29" i="4"/>
  <c r="P29" i="4"/>
  <c r="P74" i="4"/>
  <c r="R29" i="4"/>
  <c r="R74" i="4"/>
  <c r="T29" i="4"/>
  <c r="T74" i="4"/>
  <c r="V29" i="4"/>
  <c r="V74" i="4"/>
  <c r="X29" i="4"/>
  <c r="X74" i="4"/>
  <c r="B210" i="4"/>
  <c r="C30" i="4"/>
  <c r="C75" i="4"/>
  <c r="D30" i="4"/>
  <c r="E30" i="4"/>
  <c r="I30" i="4"/>
  <c r="J30" i="4"/>
  <c r="O30" i="4"/>
  <c r="W30" i="4"/>
  <c r="D75" i="4"/>
  <c r="F30" i="4"/>
  <c r="F75" i="4"/>
  <c r="G30" i="4"/>
  <c r="G75" i="4"/>
  <c r="H30" i="4"/>
  <c r="H75" i="4"/>
  <c r="L30" i="4"/>
  <c r="L75" i="4"/>
  <c r="M30" i="4"/>
  <c r="P30" i="4"/>
  <c r="P75" i="4"/>
  <c r="R30" i="4"/>
  <c r="R75" i="4"/>
  <c r="T30" i="4"/>
  <c r="T75" i="4"/>
  <c r="V30" i="4"/>
  <c r="V75" i="4"/>
  <c r="X30" i="4"/>
  <c r="X75" i="4"/>
  <c r="B211" i="4"/>
  <c r="C31" i="4"/>
  <c r="C76" i="4"/>
  <c r="D31" i="4"/>
  <c r="E31" i="4"/>
  <c r="I31" i="4"/>
  <c r="J31" i="4"/>
  <c r="O31" i="4"/>
  <c r="W31" i="4"/>
  <c r="D76" i="4"/>
  <c r="F31" i="4"/>
  <c r="F76" i="4"/>
  <c r="G31" i="4"/>
  <c r="G76" i="4"/>
  <c r="H31" i="4"/>
  <c r="H76" i="4"/>
  <c r="L31" i="4"/>
  <c r="L76" i="4"/>
  <c r="M31" i="4"/>
  <c r="P31" i="4"/>
  <c r="P76" i="4"/>
  <c r="R31" i="4"/>
  <c r="R76" i="4"/>
  <c r="T31" i="4"/>
  <c r="T76" i="4"/>
  <c r="V31" i="4"/>
  <c r="V76" i="4"/>
  <c r="X31" i="4"/>
  <c r="X76" i="4"/>
  <c r="B212" i="4"/>
  <c r="C32" i="4"/>
  <c r="C77" i="4"/>
  <c r="D32" i="4"/>
  <c r="E32" i="4"/>
  <c r="I32" i="4"/>
  <c r="J32" i="4"/>
  <c r="O32" i="4"/>
  <c r="W32" i="4"/>
  <c r="D77" i="4"/>
  <c r="F32" i="4"/>
  <c r="F77" i="4"/>
  <c r="G32" i="4"/>
  <c r="G77" i="4"/>
  <c r="H32" i="4"/>
  <c r="H77" i="4"/>
  <c r="L32" i="4"/>
  <c r="L77" i="4"/>
  <c r="M32" i="4"/>
  <c r="P32" i="4"/>
  <c r="P77" i="4"/>
  <c r="R32" i="4"/>
  <c r="R77" i="4"/>
  <c r="T32" i="4"/>
  <c r="T77" i="4"/>
  <c r="V32" i="4"/>
  <c r="V77" i="4"/>
  <c r="X32" i="4"/>
  <c r="X77" i="4"/>
  <c r="B213" i="4"/>
  <c r="C33" i="4"/>
  <c r="C78" i="4"/>
  <c r="D33" i="4"/>
  <c r="E33" i="4"/>
  <c r="I33" i="4"/>
  <c r="J33" i="4"/>
  <c r="O33" i="4"/>
  <c r="W33" i="4"/>
  <c r="D78" i="4"/>
  <c r="F33" i="4"/>
  <c r="F78" i="4"/>
  <c r="G33" i="4"/>
  <c r="G78" i="4"/>
  <c r="H33" i="4"/>
  <c r="H78" i="4"/>
  <c r="L33" i="4"/>
  <c r="L78" i="4"/>
  <c r="M33" i="4"/>
  <c r="P33" i="4"/>
  <c r="P78" i="4"/>
  <c r="R33" i="4"/>
  <c r="R78" i="4"/>
  <c r="T33" i="4"/>
  <c r="T78" i="4"/>
  <c r="V33" i="4"/>
  <c r="V78" i="4"/>
  <c r="X33" i="4"/>
  <c r="X78" i="4"/>
  <c r="B214" i="4"/>
  <c r="C34" i="4"/>
  <c r="C79" i="4"/>
  <c r="D34" i="4"/>
  <c r="E34" i="4"/>
  <c r="I34" i="4"/>
  <c r="J34" i="4"/>
  <c r="O34" i="4"/>
  <c r="W34" i="4"/>
  <c r="D79" i="4"/>
  <c r="F34" i="4"/>
  <c r="F79" i="4"/>
  <c r="G34" i="4"/>
  <c r="G79" i="4"/>
  <c r="H34" i="4"/>
  <c r="H79" i="4"/>
  <c r="L34" i="4"/>
  <c r="L79" i="4"/>
  <c r="M34" i="4"/>
  <c r="P34" i="4"/>
  <c r="P79" i="4"/>
  <c r="R34" i="4"/>
  <c r="R79" i="4"/>
  <c r="T34" i="4"/>
  <c r="T79" i="4"/>
  <c r="V34" i="4"/>
  <c r="V79" i="4"/>
  <c r="X34" i="4"/>
  <c r="X79" i="4"/>
  <c r="B215" i="4"/>
  <c r="C35" i="4"/>
  <c r="C80" i="4"/>
  <c r="D35" i="4"/>
  <c r="E35" i="4"/>
  <c r="I35" i="4"/>
  <c r="J35" i="4"/>
  <c r="O35" i="4"/>
  <c r="W35" i="4"/>
  <c r="D80" i="4"/>
  <c r="F35" i="4"/>
  <c r="F80" i="4"/>
  <c r="G35" i="4"/>
  <c r="G80" i="4"/>
  <c r="H35" i="4"/>
  <c r="H80" i="4"/>
  <c r="L35" i="4"/>
  <c r="L80" i="4"/>
  <c r="M35" i="4"/>
  <c r="P35" i="4"/>
  <c r="P80" i="4"/>
  <c r="R35" i="4"/>
  <c r="R80" i="4"/>
  <c r="T35" i="4"/>
  <c r="T80" i="4"/>
  <c r="V35" i="4"/>
  <c r="V80" i="4"/>
  <c r="X35" i="4"/>
  <c r="X80" i="4"/>
  <c r="B216" i="4"/>
  <c r="C36" i="4"/>
  <c r="C81" i="4"/>
  <c r="D36" i="4"/>
  <c r="E36" i="4"/>
  <c r="I36" i="4"/>
  <c r="J36" i="4"/>
  <c r="O36" i="4"/>
  <c r="W36" i="4"/>
  <c r="D81" i="4"/>
  <c r="F36" i="4"/>
  <c r="F81" i="4"/>
  <c r="G36" i="4"/>
  <c r="G81" i="4"/>
  <c r="H36" i="4"/>
  <c r="H81" i="4"/>
  <c r="L36" i="4"/>
  <c r="L81" i="4"/>
  <c r="M36" i="4"/>
  <c r="P36" i="4"/>
  <c r="P81" i="4"/>
  <c r="R36" i="4"/>
  <c r="R81" i="4"/>
  <c r="T36" i="4"/>
  <c r="T81" i="4"/>
  <c r="V36" i="4"/>
  <c r="V81" i="4"/>
  <c r="X36" i="4"/>
  <c r="X81" i="4"/>
  <c r="B217" i="4"/>
  <c r="C37" i="4"/>
  <c r="C82" i="4"/>
  <c r="D37" i="4"/>
  <c r="E37" i="4"/>
  <c r="I37" i="4"/>
  <c r="J37" i="4"/>
  <c r="O37" i="4"/>
  <c r="W37" i="4"/>
  <c r="D82" i="4"/>
  <c r="F37" i="4"/>
  <c r="F82" i="4"/>
  <c r="G37" i="4"/>
  <c r="G82" i="4"/>
  <c r="H37" i="4"/>
  <c r="H82" i="4"/>
  <c r="L37" i="4"/>
  <c r="L82" i="4"/>
  <c r="M37" i="4"/>
  <c r="P37" i="4"/>
  <c r="P82" i="4"/>
  <c r="R37" i="4"/>
  <c r="R82" i="4"/>
  <c r="T37" i="4"/>
  <c r="T82" i="4"/>
  <c r="V37" i="4"/>
  <c r="V82" i="4"/>
  <c r="X37" i="4"/>
  <c r="X82" i="4"/>
  <c r="B218" i="4"/>
  <c r="C38" i="4"/>
  <c r="C83" i="4"/>
  <c r="D38" i="4"/>
  <c r="E38" i="4"/>
  <c r="I38" i="4"/>
  <c r="J38" i="4"/>
  <c r="O38" i="4"/>
  <c r="W38" i="4"/>
  <c r="D83" i="4"/>
  <c r="F38" i="4"/>
  <c r="F83" i="4"/>
  <c r="G38" i="4"/>
  <c r="G83" i="4"/>
  <c r="H38" i="4"/>
  <c r="H83" i="4"/>
  <c r="L38" i="4"/>
  <c r="L83" i="4"/>
  <c r="M38" i="4"/>
  <c r="P38" i="4"/>
  <c r="P83" i="4"/>
  <c r="R38" i="4"/>
  <c r="R83" i="4"/>
  <c r="T38" i="4"/>
  <c r="T83" i="4"/>
  <c r="V38" i="4"/>
  <c r="V83" i="4"/>
  <c r="X38" i="4"/>
  <c r="X83" i="4"/>
  <c r="B219" i="4"/>
  <c r="C39" i="4"/>
  <c r="C84" i="4"/>
  <c r="D39" i="4"/>
  <c r="E39" i="4"/>
  <c r="I39" i="4"/>
  <c r="J39" i="4"/>
  <c r="O39" i="4"/>
  <c r="W39" i="4"/>
  <c r="D84" i="4"/>
  <c r="F39" i="4"/>
  <c r="F84" i="4"/>
  <c r="G39" i="4"/>
  <c r="G84" i="4"/>
  <c r="H39" i="4"/>
  <c r="H84" i="4"/>
  <c r="L39" i="4"/>
  <c r="L84" i="4"/>
  <c r="M39" i="4"/>
  <c r="P39" i="4"/>
  <c r="P84" i="4"/>
  <c r="R39" i="4"/>
  <c r="R84" i="4"/>
  <c r="T39" i="4"/>
  <c r="T84" i="4"/>
  <c r="V39" i="4"/>
  <c r="V84" i="4"/>
  <c r="X39" i="4"/>
  <c r="X84" i="4"/>
  <c r="B220" i="4"/>
  <c r="C40" i="4"/>
  <c r="C85" i="4"/>
  <c r="D40" i="4"/>
  <c r="E40" i="4"/>
  <c r="I40" i="4"/>
  <c r="J40" i="4"/>
  <c r="O40" i="4"/>
  <c r="W40" i="4"/>
  <c r="D85" i="4"/>
  <c r="F40" i="4"/>
  <c r="F85" i="4"/>
  <c r="G40" i="4"/>
  <c r="G85" i="4"/>
  <c r="H40" i="4"/>
  <c r="H85" i="4"/>
  <c r="L40" i="4"/>
  <c r="L85" i="4"/>
  <c r="M40" i="4"/>
  <c r="P40" i="4"/>
  <c r="P85" i="4"/>
  <c r="R40" i="4"/>
  <c r="R85" i="4"/>
  <c r="T40" i="4"/>
  <c r="T85" i="4"/>
  <c r="V40" i="4"/>
  <c r="V85" i="4"/>
  <c r="X40" i="4"/>
  <c r="X85" i="4"/>
  <c r="B221" i="4"/>
  <c r="C41" i="4"/>
  <c r="C86" i="4"/>
  <c r="D41" i="4"/>
  <c r="E41" i="4"/>
  <c r="I41" i="4"/>
  <c r="J41" i="4"/>
  <c r="O41" i="4"/>
  <c r="W41" i="4"/>
  <c r="D86" i="4"/>
  <c r="F41" i="4"/>
  <c r="F86" i="4"/>
  <c r="G41" i="4"/>
  <c r="G86" i="4"/>
  <c r="H41" i="4"/>
  <c r="H86" i="4"/>
  <c r="L41" i="4"/>
  <c r="L86" i="4"/>
  <c r="M41" i="4"/>
  <c r="P41" i="4"/>
  <c r="P86" i="4"/>
  <c r="R41" i="4"/>
  <c r="R86" i="4"/>
  <c r="T41" i="4"/>
  <c r="T86" i="4"/>
  <c r="V41" i="4"/>
  <c r="V86" i="4"/>
  <c r="X41" i="4"/>
  <c r="X86" i="4"/>
  <c r="B222" i="4"/>
  <c r="C42" i="4"/>
  <c r="C87" i="4"/>
  <c r="D42" i="4"/>
  <c r="E42" i="4"/>
  <c r="I42" i="4"/>
  <c r="J42" i="4"/>
  <c r="O42" i="4"/>
  <c r="W42" i="4"/>
  <c r="D87" i="4"/>
  <c r="F42" i="4"/>
  <c r="F87" i="4"/>
  <c r="G42" i="4"/>
  <c r="G87" i="4"/>
  <c r="H42" i="4"/>
  <c r="H87" i="4"/>
  <c r="L42" i="4"/>
  <c r="L87" i="4"/>
  <c r="M42" i="4"/>
  <c r="P42" i="4"/>
  <c r="P87" i="4"/>
  <c r="R42" i="4"/>
  <c r="R87" i="4"/>
  <c r="T42" i="4"/>
  <c r="T87" i="4"/>
  <c r="V42" i="4"/>
  <c r="V87" i="4"/>
  <c r="X42" i="4"/>
  <c r="X87" i="4"/>
  <c r="B223" i="4"/>
  <c r="C43" i="4"/>
  <c r="C88" i="4"/>
  <c r="D43" i="4"/>
  <c r="E43" i="4"/>
  <c r="I43" i="4"/>
  <c r="J43" i="4"/>
  <c r="O43" i="4"/>
  <c r="W43" i="4"/>
  <c r="D88" i="4"/>
  <c r="F43" i="4"/>
  <c r="F88" i="4"/>
  <c r="G43" i="4"/>
  <c r="G88" i="4"/>
  <c r="H43" i="4"/>
  <c r="H88" i="4"/>
  <c r="L43" i="4"/>
  <c r="L88" i="4"/>
  <c r="M43" i="4"/>
  <c r="P43" i="4"/>
  <c r="P88" i="4"/>
  <c r="R43" i="4"/>
  <c r="R88" i="4"/>
  <c r="T43" i="4"/>
  <c r="T88" i="4"/>
  <c r="V43" i="4"/>
  <c r="V88" i="4"/>
  <c r="X43" i="4"/>
  <c r="X88" i="4"/>
  <c r="B224" i="4"/>
  <c r="B225" i="4"/>
  <c r="M66" i="4"/>
  <c r="M67" i="4"/>
  <c r="M68" i="4"/>
  <c r="M69" i="4"/>
  <c r="M70" i="4"/>
  <c r="M71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72" i="4"/>
  <c r="M73" i="4"/>
  <c r="M74" i="4"/>
  <c r="M75" i="4"/>
  <c r="M76" i="4"/>
  <c r="M77" i="4"/>
  <c r="M78" i="4"/>
  <c r="M79" i="4"/>
  <c r="M80" i="4"/>
  <c r="M85" i="4"/>
  <c r="M86" i="4"/>
  <c r="M87" i="4"/>
  <c r="M88" i="4"/>
  <c r="B226" i="4"/>
  <c r="B8" i="17"/>
  <c r="I278" i="4"/>
  <c r="H278" i="4"/>
  <c r="G278" i="4"/>
  <c r="F278" i="4"/>
  <c r="E278" i="4"/>
  <c r="D278" i="4"/>
  <c r="C278" i="4"/>
  <c r="B278" i="4"/>
  <c r="C194" i="4"/>
  <c r="B238" i="4"/>
  <c r="I58" i="4"/>
  <c r="J58" i="4"/>
  <c r="D194" i="4"/>
  <c r="C238" i="4"/>
  <c r="B271" i="4"/>
  <c r="B279" i="4"/>
  <c r="I57" i="4"/>
  <c r="J57" i="4"/>
  <c r="D193" i="4"/>
  <c r="C237" i="4"/>
  <c r="I59" i="4"/>
  <c r="J59" i="4"/>
  <c r="D195" i="4"/>
  <c r="C239" i="4"/>
  <c r="I60" i="4"/>
  <c r="J60" i="4"/>
  <c r="D196" i="4"/>
  <c r="C240" i="4"/>
  <c r="I61" i="4"/>
  <c r="J61" i="4"/>
  <c r="D197" i="4"/>
  <c r="C241" i="4"/>
  <c r="I62" i="4"/>
  <c r="J62" i="4"/>
  <c r="D198" i="4"/>
  <c r="C242" i="4"/>
  <c r="I63" i="4"/>
  <c r="J63" i="4"/>
  <c r="D199" i="4"/>
  <c r="C243" i="4"/>
  <c r="I64" i="4"/>
  <c r="J64" i="4"/>
  <c r="D200" i="4"/>
  <c r="C244" i="4"/>
  <c r="J237" i="4"/>
  <c r="K239" i="4"/>
  <c r="L240" i="4"/>
  <c r="M241" i="4"/>
  <c r="N242" i="4"/>
  <c r="O243" i="4"/>
  <c r="C271" i="4"/>
  <c r="C279" i="4"/>
  <c r="W76" i="4"/>
  <c r="E212" i="4"/>
  <c r="D256" i="4"/>
  <c r="W77" i="4"/>
  <c r="E213" i="4"/>
  <c r="D257" i="4"/>
  <c r="W78" i="4"/>
  <c r="E214" i="4"/>
  <c r="D258" i="4"/>
  <c r="D271" i="4"/>
  <c r="D279" i="4"/>
  <c r="F210" i="4"/>
  <c r="E254" i="4"/>
  <c r="F211" i="4"/>
  <c r="E255" i="4"/>
  <c r="E271" i="4"/>
  <c r="E279" i="4"/>
  <c r="G208" i="4"/>
  <c r="F252" i="4"/>
  <c r="F271" i="4"/>
  <c r="F279" i="4"/>
  <c r="H202" i="4"/>
  <c r="G246" i="4"/>
  <c r="S246" i="4"/>
  <c r="H203" i="4"/>
  <c r="G247" i="4"/>
  <c r="T247" i="4"/>
  <c r="G271" i="4"/>
  <c r="G279" i="4"/>
  <c r="I204" i="4"/>
  <c r="H248" i="4"/>
  <c r="H271" i="4"/>
  <c r="H279" i="4"/>
  <c r="I261" i="4"/>
  <c r="I262" i="4"/>
  <c r="I263" i="4"/>
  <c r="M84" i="4"/>
  <c r="N84" i="4"/>
  <c r="J220" i="4"/>
  <c r="I264" i="4"/>
  <c r="M81" i="4"/>
  <c r="N81" i="4"/>
  <c r="J217" i="4"/>
  <c r="P261" i="4"/>
  <c r="M82" i="4"/>
  <c r="N82" i="4"/>
  <c r="J218" i="4"/>
  <c r="Q262" i="4"/>
  <c r="M83" i="4"/>
  <c r="N83" i="4"/>
  <c r="J219" i="4"/>
  <c r="R263" i="4"/>
  <c r="I271" i="4"/>
  <c r="I279" i="4"/>
  <c r="J279" i="4"/>
  <c r="B9" i="17"/>
  <c r="W66" i="4"/>
  <c r="E202" i="4"/>
  <c r="F202" i="4"/>
  <c r="I202" i="4"/>
  <c r="W67" i="4"/>
  <c r="E203" i="4"/>
  <c r="F203" i="4"/>
  <c r="I203" i="4"/>
  <c r="W68" i="4"/>
  <c r="E204" i="4"/>
  <c r="F204" i="4"/>
  <c r="H204" i="4"/>
  <c r="W69" i="4"/>
  <c r="E205" i="4"/>
  <c r="F205" i="4"/>
  <c r="H205" i="4"/>
  <c r="I205" i="4"/>
  <c r="W70" i="4"/>
  <c r="E206" i="4"/>
  <c r="F206" i="4"/>
  <c r="H206" i="4"/>
  <c r="I206" i="4"/>
  <c r="W71" i="4"/>
  <c r="E207" i="4"/>
  <c r="F207" i="4"/>
  <c r="H207" i="4"/>
  <c r="I207" i="4"/>
  <c r="H43" i="17"/>
  <c r="N48" i="4"/>
  <c r="J184" i="4"/>
  <c r="I228" i="4"/>
  <c r="C184" i="4"/>
  <c r="B228" i="4"/>
  <c r="I48" i="4"/>
  <c r="J48" i="4"/>
  <c r="D184" i="4"/>
  <c r="C228" i="4"/>
  <c r="W48" i="4"/>
  <c r="E184" i="4"/>
  <c r="D228" i="4"/>
  <c r="F184" i="4"/>
  <c r="E228" i="4"/>
  <c r="G184" i="4"/>
  <c r="F228" i="4"/>
  <c r="H184" i="4"/>
  <c r="G228" i="4"/>
  <c r="I184" i="4"/>
  <c r="H228" i="4"/>
  <c r="K203" i="3" a="1"/>
  <c r="K203" i="3"/>
  <c r="N49" i="4"/>
  <c r="J185" i="4"/>
  <c r="I229" i="4"/>
  <c r="C185" i="4"/>
  <c r="B229" i="4"/>
  <c r="I49" i="4"/>
  <c r="J49" i="4"/>
  <c r="D185" i="4"/>
  <c r="C229" i="4"/>
  <c r="W49" i="4"/>
  <c r="E185" i="4"/>
  <c r="D229" i="4"/>
  <c r="F185" i="4"/>
  <c r="E229" i="4"/>
  <c r="G185" i="4"/>
  <c r="F229" i="4"/>
  <c r="H185" i="4"/>
  <c r="G229" i="4"/>
  <c r="I185" i="4"/>
  <c r="H229" i="4"/>
  <c r="K204" i="3" a="1"/>
  <c r="K204" i="3"/>
  <c r="N50" i="4"/>
  <c r="J186" i="4"/>
  <c r="I230" i="4"/>
  <c r="C186" i="4"/>
  <c r="B230" i="4"/>
  <c r="I50" i="4"/>
  <c r="J50" i="4"/>
  <c r="D186" i="4"/>
  <c r="C230" i="4"/>
  <c r="W50" i="4"/>
  <c r="E186" i="4"/>
  <c r="D230" i="4"/>
  <c r="F186" i="4"/>
  <c r="E230" i="4"/>
  <c r="G186" i="4"/>
  <c r="F230" i="4"/>
  <c r="H186" i="4"/>
  <c r="G230" i="4"/>
  <c r="I186" i="4"/>
  <c r="H230" i="4"/>
  <c r="K205" i="3" a="1"/>
  <c r="K205" i="3"/>
  <c r="N51" i="4"/>
  <c r="J187" i="4"/>
  <c r="I231" i="4"/>
  <c r="C187" i="4"/>
  <c r="B231" i="4"/>
  <c r="I51" i="4"/>
  <c r="J51" i="4"/>
  <c r="D187" i="4"/>
  <c r="C231" i="4"/>
  <c r="W51" i="4"/>
  <c r="E187" i="4"/>
  <c r="D231" i="4"/>
  <c r="F187" i="4"/>
  <c r="E231" i="4"/>
  <c r="G187" i="4"/>
  <c r="F231" i="4"/>
  <c r="H187" i="4"/>
  <c r="G231" i="4"/>
  <c r="I187" i="4"/>
  <c r="H231" i="4"/>
  <c r="K206" i="3" a="1"/>
  <c r="N52" i="4"/>
  <c r="J188" i="4"/>
  <c r="I232" i="4"/>
  <c r="C188" i="4"/>
  <c r="B232" i="4"/>
  <c r="I52" i="4"/>
  <c r="J52" i="4"/>
  <c r="D188" i="4"/>
  <c r="C232" i="4"/>
  <c r="W52" i="4"/>
  <c r="E188" i="4"/>
  <c r="D232" i="4"/>
  <c r="F188" i="4"/>
  <c r="E232" i="4"/>
  <c r="G188" i="4"/>
  <c r="F232" i="4"/>
  <c r="H188" i="4"/>
  <c r="G232" i="4"/>
  <c r="I188" i="4"/>
  <c r="H232" i="4"/>
  <c r="K207" i="3" a="1"/>
  <c r="N53" i="4"/>
  <c r="J189" i="4"/>
  <c r="I233" i="4"/>
  <c r="C189" i="4"/>
  <c r="B233" i="4"/>
  <c r="I53" i="4"/>
  <c r="J53" i="4"/>
  <c r="D189" i="4"/>
  <c r="C233" i="4"/>
  <c r="W53" i="4"/>
  <c r="E189" i="4"/>
  <c r="D233" i="4"/>
  <c r="F189" i="4"/>
  <c r="E233" i="4"/>
  <c r="G189" i="4"/>
  <c r="F233" i="4"/>
  <c r="H189" i="4"/>
  <c r="G233" i="4"/>
  <c r="I189" i="4"/>
  <c r="H233" i="4"/>
  <c r="K208" i="3" a="1"/>
  <c r="N54" i="4"/>
  <c r="J190" i="4"/>
  <c r="I234" i="4"/>
  <c r="C190" i="4"/>
  <c r="B234" i="4"/>
  <c r="I54" i="4"/>
  <c r="J54" i="4"/>
  <c r="D190" i="4"/>
  <c r="C234" i="4"/>
  <c r="W54" i="4"/>
  <c r="E190" i="4"/>
  <c r="D234" i="4"/>
  <c r="F190" i="4"/>
  <c r="E234" i="4"/>
  <c r="G190" i="4"/>
  <c r="F234" i="4"/>
  <c r="H190" i="4"/>
  <c r="G234" i="4"/>
  <c r="I190" i="4"/>
  <c r="H234" i="4"/>
  <c r="K209" i="3" a="1"/>
  <c r="N55" i="4"/>
  <c r="J191" i="4"/>
  <c r="I235" i="4"/>
  <c r="C191" i="4"/>
  <c r="B235" i="4"/>
  <c r="I55" i="4"/>
  <c r="J55" i="4"/>
  <c r="D191" i="4"/>
  <c r="C235" i="4"/>
  <c r="W55" i="4"/>
  <c r="E191" i="4"/>
  <c r="D235" i="4"/>
  <c r="F191" i="4"/>
  <c r="E235" i="4"/>
  <c r="G191" i="4"/>
  <c r="F235" i="4"/>
  <c r="H191" i="4"/>
  <c r="G235" i="4"/>
  <c r="I191" i="4"/>
  <c r="H235" i="4"/>
  <c r="K210" i="3" a="1"/>
  <c r="N56" i="4"/>
  <c r="J192" i="4"/>
  <c r="I236" i="4"/>
  <c r="C192" i="4"/>
  <c r="B236" i="4"/>
  <c r="I56" i="4"/>
  <c r="J56" i="4"/>
  <c r="D192" i="4"/>
  <c r="C236" i="4"/>
  <c r="W56" i="4"/>
  <c r="E192" i="4"/>
  <c r="D236" i="4"/>
  <c r="F192" i="4"/>
  <c r="E236" i="4"/>
  <c r="G192" i="4"/>
  <c r="F236" i="4"/>
  <c r="H192" i="4"/>
  <c r="G236" i="4"/>
  <c r="I192" i="4"/>
  <c r="H236" i="4"/>
  <c r="K211" i="3" a="1"/>
  <c r="N57" i="4"/>
  <c r="J193" i="4"/>
  <c r="I237" i="4"/>
  <c r="C193" i="4"/>
  <c r="B237" i="4"/>
  <c r="W57" i="4"/>
  <c r="E193" i="4"/>
  <c r="D237" i="4"/>
  <c r="F193" i="4"/>
  <c r="E237" i="4"/>
  <c r="G193" i="4"/>
  <c r="F237" i="4"/>
  <c r="H193" i="4"/>
  <c r="G237" i="4"/>
  <c r="I193" i="4"/>
  <c r="H237" i="4"/>
  <c r="K212" i="3" a="1"/>
  <c r="N58" i="4"/>
  <c r="J194" i="4"/>
  <c r="I238" i="4"/>
  <c r="W58" i="4"/>
  <c r="E194" i="4"/>
  <c r="D238" i="4"/>
  <c r="F194" i="4"/>
  <c r="E238" i="4"/>
  <c r="G194" i="4"/>
  <c r="F238" i="4"/>
  <c r="H194" i="4"/>
  <c r="G238" i="4"/>
  <c r="I194" i="4"/>
  <c r="H238" i="4"/>
  <c r="K213" i="3" a="1"/>
  <c r="N59" i="4"/>
  <c r="J195" i="4"/>
  <c r="I239" i="4"/>
  <c r="C195" i="4"/>
  <c r="B239" i="4"/>
  <c r="W59" i="4"/>
  <c r="E195" i="4"/>
  <c r="D239" i="4"/>
  <c r="F195" i="4"/>
  <c r="E239" i="4"/>
  <c r="G195" i="4"/>
  <c r="F239" i="4"/>
  <c r="H195" i="4"/>
  <c r="G239" i="4"/>
  <c r="I195" i="4"/>
  <c r="H239" i="4"/>
  <c r="K214" i="3" a="1"/>
  <c r="N60" i="4"/>
  <c r="J196" i="4"/>
  <c r="I240" i="4"/>
  <c r="C196" i="4"/>
  <c r="B240" i="4"/>
  <c r="W60" i="4"/>
  <c r="E196" i="4"/>
  <c r="D240" i="4"/>
  <c r="F196" i="4"/>
  <c r="E240" i="4"/>
  <c r="G196" i="4"/>
  <c r="F240" i="4"/>
  <c r="H196" i="4"/>
  <c r="G240" i="4"/>
  <c r="I196" i="4"/>
  <c r="H240" i="4"/>
  <c r="K215" i="3" a="1"/>
  <c r="N61" i="4"/>
  <c r="J197" i="4"/>
  <c r="I241" i="4"/>
  <c r="C197" i="4"/>
  <c r="B241" i="4"/>
  <c r="W61" i="4"/>
  <c r="E197" i="4"/>
  <c r="D241" i="4"/>
  <c r="F197" i="4"/>
  <c r="E241" i="4"/>
  <c r="G197" i="4"/>
  <c r="F241" i="4"/>
  <c r="H197" i="4"/>
  <c r="G241" i="4"/>
  <c r="I197" i="4"/>
  <c r="H241" i="4"/>
  <c r="K216" i="3" a="1"/>
  <c r="N62" i="4"/>
  <c r="J198" i="4"/>
  <c r="I242" i="4"/>
  <c r="C198" i="4"/>
  <c r="B242" i="4"/>
  <c r="W62" i="4"/>
  <c r="E198" i="4"/>
  <c r="D242" i="4"/>
  <c r="F198" i="4"/>
  <c r="E242" i="4"/>
  <c r="G198" i="4"/>
  <c r="F242" i="4"/>
  <c r="H198" i="4"/>
  <c r="G242" i="4"/>
  <c r="I198" i="4"/>
  <c r="H242" i="4"/>
  <c r="K217" i="3" a="1"/>
  <c r="N63" i="4"/>
  <c r="J199" i="4"/>
  <c r="I243" i="4"/>
  <c r="C199" i="4"/>
  <c r="B243" i="4"/>
  <c r="W63" i="4"/>
  <c r="E199" i="4"/>
  <c r="D243" i="4"/>
  <c r="F199" i="4"/>
  <c r="E243" i="4"/>
  <c r="G199" i="4"/>
  <c r="F243" i="4"/>
  <c r="H199" i="4"/>
  <c r="G243" i="4"/>
  <c r="I199" i="4"/>
  <c r="H243" i="4"/>
  <c r="K218" i="3" a="1"/>
  <c r="N64" i="4"/>
  <c r="J200" i="4"/>
  <c r="I244" i="4"/>
  <c r="C200" i="4"/>
  <c r="B244" i="4"/>
  <c r="W64" i="4"/>
  <c r="E200" i="4"/>
  <c r="D244" i="4"/>
  <c r="F200" i="4"/>
  <c r="E244" i="4"/>
  <c r="G200" i="4"/>
  <c r="F244" i="4"/>
  <c r="H200" i="4"/>
  <c r="G244" i="4"/>
  <c r="I200" i="4"/>
  <c r="H244" i="4"/>
  <c r="K219" i="3" a="1"/>
  <c r="N65" i="4"/>
  <c r="J201" i="4"/>
  <c r="I245" i="4"/>
  <c r="C201" i="4"/>
  <c r="B245" i="4"/>
  <c r="I65" i="4"/>
  <c r="J65" i="4"/>
  <c r="D201" i="4"/>
  <c r="C245" i="4"/>
  <c r="W65" i="4"/>
  <c r="E201" i="4"/>
  <c r="D245" i="4"/>
  <c r="F201" i="4"/>
  <c r="E245" i="4"/>
  <c r="G201" i="4"/>
  <c r="F245" i="4"/>
  <c r="H201" i="4"/>
  <c r="G245" i="4"/>
  <c r="I201" i="4"/>
  <c r="H245" i="4"/>
  <c r="K220" i="3" a="1"/>
  <c r="D246" i="4"/>
  <c r="E246" i="4"/>
  <c r="H246" i="4"/>
  <c r="N66" i="4"/>
  <c r="J202" i="4"/>
  <c r="I246" i="4"/>
  <c r="C202" i="4"/>
  <c r="B246" i="4"/>
  <c r="I66" i="4"/>
  <c r="J66" i="4"/>
  <c r="D202" i="4"/>
  <c r="C246" i="4"/>
  <c r="G202" i="4"/>
  <c r="F246" i="4"/>
  <c r="K221" i="3" a="1"/>
  <c r="N67" i="4"/>
  <c r="J203" i="4"/>
  <c r="I247" i="4"/>
  <c r="D247" i="4"/>
  <c r="E247" i="4"/>
  <c r="H247" i="4"/>
  <c r="C203" i="4"/>
  <c r="B247" i="4"/>
  <c r="I67" i="4"/>
  <c r="J67" i="4"/>
  <c r="D203" i="4"/>
  <c r="C247" i="4"/>
  <c r="G203" i="4"/>
  <c r="F247" i="4"/>
  <c r="K222" i="3" a="1"/>
  <c r="N68" i="4"/>
  <c r="J204" i="4"/>
  <c r="I248" i="4"/>
  <c r="D248" i="4"/>
  <c r="E248" i="4"/>
  <c r="G248" i="4"/>
  <c r="C204" i="4"/>
  <c r="B248" i="4"/>
  <c r="I68" i="4"/>
  <c r="J68" i="4"/>
  <c r="D204" i="4"/>
  <c r="C248" i="4"/>
  <c r="G204" i="4"/>
  <c r="F248" i="4"/>
  <c r="K223" i="3" a="1"/>
  <c r="N69" i="4"/>
  <c r="J205" i="4"/>
  <c r="I249" i="4"/>
  <c r="D249" i="4"/>
  <c r="E249" i="4"/>
  <c r="G249" i="4"/>
  <c r="H249" i="4"/>
  <c r="C205" i="4"/>
  <c r="B249" i="4"/>
  <c r="I69" i="4"/>
  <c r="J69" i="4"/>
  <c r="D205" i="4"/>
  <c r="C249" i="4"/>
  <c r="G205" i="4"/>
  <c r="F249" i="4"/>
  <c r="K224" i="3" a="1"/>
  <c r="N70" i="4"/>
  <c r="J206" i="4"/>
  <c r="I250" i="4"/>
  <c r="D250" i="4"/>
  <c r="E250" i="4"/>
  <c r="G250" i="4"/>
  <c r="H250" i="4"/>
  <c r="C206" i="4"/>
  <c r="B250" i="4"/>
  <c r="I70" i="4"/>
  <c r="J70" i="4"/>
  <c r="D206" i="4"/>
  <c r="C250" i="4"/>
  <c r="G206" i="4"/>
  <c r="F250" i="4"/>
  <c r="K225" i="3" a="1"/>
  <c r="N71" i="4"/>
  <c r="J207" i="4"/>
  <c r="I251" i="4"/>
  <c r="D251" i="4"/>
  <c r="E251" i="4"/>
  <c r="G251" i="4"/>
  <c r="H251" i="4"/>
  <c r="C207" i="4"/>
  <c r="B251" i="4"/>
  <c r="I71" i="4"/>
  <c r="J71" i="4"/>
  <c r="D207" i="4"/>
  <c r="C251" i="4"/>
  <c r="G207" i="4"/>
  <c r="F251" i="4"/>
  <c r="K226" i="3" a="1"/>
  <c r="N72" i="4"/>
  <c r="J208" i="4"/>
  <c r="I252" i="4"/>
  <c r="C208" i="4"/>
  <c r="B252" i="4"/>
  <c r="I72" i="4"/>
  <c r="J72" i="4"/>
  <c r="D208" i="4"/>
  <c r="C252" i="4"/>
  <c r="W72" i="4"/>
  <c r="E208" i="4"/>
  <c r="D252" i="4"/>
  <c r="F208" i="4"/>
  <c r="E252" i="4"/>
  <c r="H208" i="4"/>
  <c r="G252" i="4"/>
  <c r="I208" i="4"/>
  <c r="H252" i="4"/>
  <c r="K227" i="3" a="1"/>
  <c r="N73" i="4"/>
  <c r="J209" i="4"/>
  <c r="I253" i="4"/>
  <c r="C209" i="4"/>
  <c r="B253" i="4"/>
  <c r="I73" i="4"/>
  <c r="J73" i="4"/>
  <c r="D209" i="4"/>
  <c r="C253" i="4"/>
  <c r="W73" i="4"/>
  <c r="E209" i="4"/>
  <c r="D253" i="4"/>
  <c r="F209" i="4"/>
  <c r="E253" i="4"/>
  <c r="G209" i="4"/>
  <c r="F253" i="4"/>
  <c r="H209" i="4"/>
  <c r="G253" i="4"/>
  <c r="I209" i="4"/>
  <c r="H253" i="4"/>
  <c r="K228" i="3" a="1"/>
  <c r="N74" i="4"/>
  <c r="J210" i="4"/>
  <c r="I254" i="4"/>
  <c r="C210" i="4"/>
  <c r="B254" i="4"/>
  <c r="I74" i="4"/>
  <c r="J74" i="4"/>
  <c r="D210" i="4"/>
  <c r="C254" i="4"/>
  <c r="W74" i="4"/>
  <c r="E210" i="4"/>
  <c r="D254" i="4"/>
  <c r="G210" i="4"/>
  <c r="F254" i="4"/>
  <c r="H210" i="4"/>
  <c r="G254" i="4"/>
  <c r="I210" i="4"/>
  <c r="H254" i="4"/>
  <c r="K229" i="3" a="1"/>
  <c r="N75" i="4"/>
  <c r="J211" i="4"/>
  <c r="I255" i="4"/>
  <c r="C211" i="4"/>
  <c r="B255" i="4"/>
  <c r="I75" i="4"/>
  <c r="J75" i="4"/>
  <c r="D211" i="4"/>
  <c r="C255" i="4"/>
  <c r="W75" i="4"/>
  <c r="E211" i="4"/>
  <c r="D255" i="4"/>
  <c r="G211" i="4"/>
  <c r="F255" i="4"/>
  <c r="H211" i="4"/>
  <c r="G255" i="4"/>
  <c r="I211" i="4"/>
  <c r="H255" i="4"/>
  <c r="K230" i="3" a="1"/>
  <c r="N76" i="4"/>
  <c r="J212" i="4"/>
  <c r="I256" i="4"/>
  <c r="C212" i="4"/>
  <c r="B256" i="4"/>
  <c r="I76" i="4"/>
  <c r="J76" i="4"/>
  <c r="D212" i="4"/>
  <c r="C256" i="4"/>
  <c r="F212" i="4"/>
  <c r="E256" i="4"/>
  <c r="G212" i="4"/>
  <c r="F256" i="4"/>
  <c r="H212" i="4"/>
  <c r="G256" i="4"/>
  <c r="I212" i="4"/>
  <c r="H256" i="4"/>
  <c r="K231" i="3" a="1"/>
  <c r="N77" i="4"/>
  <c r="J213" i="4"/>
  <c r="I257" i="4"/>
  <c r="C213" i="4"/>
  <c r="B257" i="4"/>
  <c r="I77" i="4"/>
  <c r="J77" i="4"/>
  <c r="D213" i="4"/>
  <c r="C257" i="4"/>
  <c r="F213" i="4"/>
  <c r="E257" i="4"/>
  <c r="G213" i="4"/>
  <c r="F257" i="4"/>
  <c r="H213" i="4"/>
  <c r="G257" i="4"/>
  <c r="I213" i="4"/>
  <c r="H257" i="4"/>
  <c r="K232" i="3" a="1"/>
  <c r="N78" i="4"/>
  <c r="J214" i="4"/>
  <c r="I258" i="4"/>
  <c r="C214" i="4"/>
  <c r="B258" i="4"/>
  <c r="I78" i="4"/>
  <c r="J78" i="4"/>
  <c r="D214" i="4"/>
  <c r="C258" i="4"/>
  <c r="F214" i="4"/>
  <c r="E258" i="4"/>
  <c r="G214" i="4"/>
  <c r="F258" i="4"/>
  <c r="H214" i="4"/>
  <c r="G258" i="4"/>
  <c r="I214" i="4"/>
  <c r="H258" i="4"/>
  <c r="K233" i="3" a="1"/>
  <c r="N79" i="4"/>
  <c r="J215" i="4"/>
  <c r="I259" i="4"/>
  <c r="C215" i="4"/>
  <c r="B259" i="4"/>
  <c r="I79" i="4"/>
  <c r="J79" i="4"/>
  <c r="D215" i="4"/>
  <c r="C259" i="4"/>
  <c r="W79" i="4"/>
  <c r="E215" i="4"/>
  <c r="D259" i="4"/>
  <c r="F215" i="4"/>
  <c r="E259" i="4"/>
  <c r="G215" i="4"/>
  <c r="F259" i="4"/>
  <c r="H215" i="4"/>
  <c r="G259" i="4"/>
  <c r="I215" i="4"/>
  <c r="H259" i="4"/>
  <c r="K234" i="3" a="1"/>
  <c r="N80" i="4"/>
  <c r="J216" i="4"/>
  <c r="I260" i="4"/>
  <c r="C216" i="4"/>
  <c r="B260" i="4"/>
  <c r="I80" i="4"/>
  <c r="J80" i="4"/>
  <c r="D216" i="4"/>
  <c r="C260" i="4"/>
  <c r="W80" i="4"/>
  <c r="E216" i="4"/>
  <c r="D260" i="4"/>
  <c r="F216" i="4"/>
  <c r="E260" i="4"/>
  <c r="G216" i="4"/>
  <c r="F260" i="4"/>
  <c r="H216" i="4"/>
  <c r="G260" i="4"/>
  <c r="I216" i="4"/>
  <c r="H260" i="4"/>
  <c r="K235" i="3" a="1"/>
  <c r="C217" i="4"/>
  <c r="B261" i="4"/>
  <c r="I81" i="4"/>
  <c r="J81" i="4"/>
  <c r="D217" i="4"/>
  <c r="C261" i="4"/>
  <c r="W81" i="4"/>
  <c r="E217" i="4"/>
  <c r="D261" i="4"/>
  <c r="F217" i="4"/>
  <c r="E261" i="4"/>
  <c r="G217" i="4"/>
  <c r="F261" i="4"/>
  <c r="H217" i="4"/>
  <c r="G261" i="4"/>
  <c r="I217" i="4"/>
  <c r="H261" i="4"/>
  <c r="K236" i="3" a="1"/>
  <c r="C218" i="4"/>
  <c r="B262" i="4"/>
  <c r="I82" i="4"/>
  <c r="J82" i="4"/>
  <c r="D218" i="4"/>
  <c r="C262" i="4"/>
  <c r="W82" i="4"/>
  <c r="E218" i="4"/>
  <c r="D262" i="4"/>
  <c r="F218" i="4"/>
  <c r="E262" i="4"/>
  <c r="G218" i="4"/>
  <c r="F262" i="4"/>
  <c r="H218" i="4"/>
  <c r="G262" i="4"/>
  <c r="I218" i="4"/>
  <c r="H262" i="4"/>
  <c r="K237" i="3" a="1"/>
  <c r="C219" i="4"/>
  <c r="B263" i="4"/>
  <c r="I83" i="4"/>
  <c r="J83" i="4"/>
  <c r="D219" i="4"/>
  <c r="C263" i="4"/>
  <c r="W83" i="4"/>
  <c r="E219" i="4"/>
  <c r="D263" i="4"/>
  <c r="F219" i="4"/>
  <c r="E263" i="4"/>
  <c r="G219" i="4"/>
  <c r="F263" i="4"/>
  <c r="H219" i="4"/>
  <c r="G263" i="4"/>
  <c r="I219" i="4"/>
  <c r="H263" i="4"/>
  <c r="K238" i="3" a="1"/>
  <c r="C220" i="4"/>
  <c r="B264" i="4"/>
  <c r="I84" i="4"/>
  <c r="J84" i="4"/>
  <c r="D220" i="4"/>
  <c r="C264" i="4"/>
  <c r="W84" i="4"/>
  <c r="E220" i="4"/>
  <c r="D264" i="4"/>
  <c r="F220" i="4"/>
  <c r="E264" i="4"/>
  <c r="G220" i="4"/>
  <c r="F264" i="4"/>
  <c r="H220" i="4"/>
  <c r="G264" i="4"/>
  <c r="I220" i="4"/>
  <c r="H264" i="4"/>
  <c r="K239" i="3" a="1"/>
  <c r="N85" i="4"/>
  <c r="J221" i="4"/>
  <c r="I265" i="4"/>
  <c r="C221" i="4"/>
  <c r="B265" i="4"/>
  <c r="I85" i="4"/>
  <c r="J85" i="4"/>
  <c r="D221" i="4"/>
  <c r="C265" i="4"/>
  <c r="W85" i="4"/>
  <c r="E221" i="4"/>
  <c r="D265" i="4"/>
  <c r="F221" i="4"/>
  <c r="E265" i="4"/>
  <c r="G221" i="4"/>
  <c r="F265" i="4"/>
  <c r="H221" i="4"/>
  <c r="G265" i="4"/>
  <c r="I221" i="4"/>
  <c r="H265" i="4"/>
  <c r="K240" i="3" a="1"/>
  <c r="N86" i="4"/>
  <c r="J222" i="4"/>
  <c r="I266" i="4"/>
  <c r="C222" i="4"/>
  <c r="B266" i="4"/>
  <c r="I86" i="4"/>
  <c r="J86" i="4"/>
  <c r="D222" i="4"/>
  <c r="C266" i="4"/>
  <c r="W86" i="4"/>
  <c r="E222" i="4"/>
  <c r="D266" i="4"/>
  <c r="F222" i="4"/>
  <c r="E266" i="4"/>
  <c r="G222" i="4"/>
  <c r="F266" i="4"/>
  <c r="H222" i="4"/>
  <c r="G266" i="4"/>
  <c r="I222" i="4"/>
  <c r="H266" i="4"/>
  <c r="K241" i="3" a="1"/>
  <c r="N87" i="4"/>
  <c r="J223" i="4"/>
  <c r="I267" i="4"/>
  <c r="C223" i="4"/>
  <c r="B267" i="4"/>
  <c r="I87" i="4"/>
  <c r="J87" i="4"/>
  <c r="D223" i="4"/>
  <c r="C267" i="4"/>
  <c r="W87" i="4"/>
  <c r="E223" i="4"/>
  <c r="D267" i="4"/>
  <c r="F223" i="4"/>
  <c r="E267" i="4"/>
  <c r="G223" i="4"/>
  <c r="F267" i="4"/>
  <c r="H223" i="4"/>
  <c r="G267" i="4"/>
  <c r="I223" i="4"/>
  <c r="H267" i="4"/>
  <c r="K242" i="3" a="1"/>
  <c r="N88" i="4"/>
  <c r="J224" i="4"/>
  <c r="I268" i="4"/>
  <c r="C224" i="4"/>
  <c r="B268" i="4"/>
  <c r="I88" i="4"/>
  <c r="J88" i="4"/>
  <c r="D224" i="4"/>
  <c r="C268" i="4"/>
  <c r="W88" i="4"/>
  <c r="E224" i="4"/>
  <c r="D268" i="4"/>
  <c r="F224" i="4"/>
  <c r="E268" i="4"/>
  <c r="G224" i="4"/>
  <c r="F268" i="4"/>
  <c r="H224" i="4"/>
  <c r="G268" i="4"/>
  <c r="I224" i="4"/>
  <c r="H268" i="4"/>
  <c r="K243" i="3" a="1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B134" i="4"/>
  <c r="T119" i="3"/>
  <c r="L111" i="4"/>
  <c r="L112" i="4"/>
  <c r="L113" i="4"/>
  <c r="L114" i="4"/>
  <c r="L115" i="4"/>
  <c r="L116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M111" i="4"/>
  <c r="M112" i="4"/>
  <c r="M113" i="4"/>
  <c r="M114" i="4"/>
  <c r="M115" i="4"/>
  <c r="M116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N111" i="4"/>
  <c r="N112" i="4"/>
  <c r="N113" i="4"/>
  <c r="N114" i="4"/>
  <c r="N115" i="4"/>
  <c r="N116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O111" i="4"/>
  <c r="O112" i="4"/>
  <c r="O113" i="4"/>
  <c r="O114" i="4"/>
  <c r="O115" i="4"/>
  <c r="O116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P111" i="4"/>
  <c r="P112" i="4"/>
  <c r="P113" i="4"/>
  <c r="P114" i="4"/>
  <c r="P115" i="4"/>
  <c r="P116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Q111" i="4"/>
  <c r="Q112" i="4"/>
  <c r="Q113" i="4"/>
  <c r="Q114" i="4"/>
  <c r="Q115" i="4"/>
  <c r="Q116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R111" i="4"/>
  <c r="R112" i="4"/>
  <c r="R113" i="4"/>
  <c r="R114" i="4"/>
  <c r="R115" i="4"/>
  <c r="R116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S111" i="4"/>
  <c r="S112" i="4"/>
  <c r="S113" i="4"/>
  <c r="S114" i="4"/>
  <c r="S115" i="4"/>
  <c r="S116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T111" i="4"/>
  <c r="T112" i="4"/>
  <c r="T113" i="4"/>
  <c r="T114" i="4"/>
  <c r="T115" i="4"/>
  <c r="T116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U111" i="4"/>
  <c r="U112" i="4"/>
  <c r="U113" i="4"/>
  <c r="U114" i="4"/>
  <c r="U115" i="4"/>
  <c r="U116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V111" i="4"/>
  <c r="V112" i="4"/>
  <c r="V113" i="4"/>
  <c r="V114" i="4"/>
  <c r="V115" i="4"/>
  <c r="V116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W111" i="4"/>
  <c r="W112" i="4"/>
  <c r="W113" i="4"/>
  <c r="W114" i="4"/>
  <c r="W115" i="4"/>
  <c r="W116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X111" i="4"/>
  <c r="X112" i="4"/>
  <c r="X113" i="4"/>
  <c r="X114" i="4"/>
  <c r="X115" i="4"/>
  <c r="X116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Y21" i="4"/>
  <c r="Q21" i="4"/>
  <c r="Q66" i="4"/>
  <c r="S21" i="4"/>
  <c r="S66" i="4"/>
  <c r="U21" i="4"/>
  <c r="U66" i="4"/>
  <c r="Y66" i="4"/>
  <c r="Y111" i="4"/>
  <c r="Y22" i="4"/>
  <c r="Q22" i="4"/>
  <c r="Q67" i="4"/>
  <c r="S22" i="4"/>
  <c r="S67" i="4"/>
  <c r="U22" i="4"/>
  <c r="U67" i="4"/>
  <c r="Y67" i="4"/>
  <c r="Y112" i="4"/>
  <c r="Y23" i="4"/>
  <c r="Q23" i="4"/>
  <c r="Q68" i="4"/>
  <c r="S23" i="4"/>
  <c r="S68" i="4"/>
  <c r="U23" i="4"/>
  <c r="U68" i="4"/>
  <c r="Y68" i="4"/>
  <c r="Y113" i="4"/>
  <c r="Y24" i="4"/>
  <c r="Q24" i="4"/>
  <c r="Q69" i="4"/>
  <c r="S24" i="4"/>
  <c r="S69" i="4"/>
  <c r="U24" i="4"/>
  <c r="U69" i="4"/>
  <c r="Y69" i="4"/>
  <c r="Y114" i="4"/>
  <c r="Y25" i="4"/>
  <c r="Q25" i="4"/>
  <c r="Q70" i="4"/>
  <c r="S25" i="4"/>
  <c r="S70" i="4"/>
  <c r="U25" i="4"/>
  <c r="U70" i="4"/>
  <c r="Y70" i="4"/>
  <c r="Y115" i="4"/>
  <c r="Y26" i="4"/>
  <c r="Q26" i="4"/>
  <c r="Q71" i="4"/>
  <c r="S26" i="4"/>
  <c r="S71" i="4"/>
  <c r="U26" i="4"/>
  <c r="U71" i="4"/>
  <c r="Y71" i="4"/>
  <c r="Y116" i="4"/>
  <c r="Y3" i="4"/>
  <c r="Q3" i="4"/>
  <c r="Q48" i="4"/>
  <c r="S3" i="4"/>
  <c r="S48" i="4"/>
  <c r="U3" i="4"/>
  <c r="U48" i="4"/>
  <c r="Y48" i="4"/>
  <c r="Y93" i="4"/>
  <c r="Y4" i="4"/>
  <c r="Q4" i="4"/>
  <c r="Q49" i="4"/>
  <c r="S4" i="4"/>
  <c r="S49" i="4"/>
  <c r="U4" i="4"/>
  <c r="U49" i="4"/>
  <c r="Y49" i="4"/>
  <c r="Y94" i="4"/>
  <c r="Y5" i="4"/>
  <c r="Q5" i="4"/>
  <c r="Q50" i="4"/>
  <c r="S5" i="4"/>
  <c r="S50" i="4"/>
  <c r="U5" i="4"/>
  <c r="U50" i="4"/>
  <c r="Y50" i="4"/>
  <c r="Y95" i="4"/>
  <c r="Y6" i="4"/>
  <c r="Q6" i="4"/>
  <c r="Q51" i="4"/>
  <c r="S6" i="4"/>
  <c r="S51" i="4"/>
  <c r="U6" i="4"/>
  <c r="U51" i="4"/>
  <c r="Y51" i="4"/>
  <c r="Y96" i="4"/>
  <c r="Y7" i="4"/>
  <c r="Q7" i="4"/>
  <c r="Q52" i="4"/>
  <c r="S7" i="4"/>
  <c r="S52" i="4"/>
  <c r="U7" i="4"/>
  <c r="U52" i="4"/>
  <c r="Y52" i="4"/>
  <c r="Y97" i="4"/>
  <c r="Y8" i="4"/>
  <c r="Q8" i="4"/>
  <c r="Q53" i="4"/>
  <c r="S8" i="4"/>
  <c r="S53" i="4"/>
  <c r="U8" i="4"/>
  <c r="U53" i="4"/>
  <c r="Y53" i="4"/>
  <c r="Y98" i="4"/>
  <c r="Y9" i="4"/>
  <c r="Q9" i="4"/>
  <c r="Q54" i="4"/>
  <c r="S9" i="4"/>
  <c r="S54" i="4"/>
  <c r="U9" i="4"/>
  <c r="U54" i="4"/>
  <c r="Y54" i="4"/>
  <c r="Y99" i="4"/>
  <c r="Y10" i="4"/>
  <c r="Q10" i="4"/>
  <c r="Q55" i="4"/>
  <c r="S10" i="4"/>
  <c r="S55" i="4"/>
  <c r="U10" i="4"/>
  <c r="U55" i="4"/>
  <c r="Y55" i="4"/>
  <c r="Y100" i="4"/>
  <c r="Y11" i="4"/>
  <c r="Q11" i="4"/>
  <c r="Q56" i="4"/>
  <c r="S11" i="4"/>
  <c r="S56" i="4"/>
  <c r="U11" i="4"/>
  <c r="U56" i="4"/>
  <c r="Y56" i="4"/>
  <c r="Y101" i="4"/>
  <c r="Y12" i="4"/>
  <c r="Q12" i="4"/>
  <c r="Q57" i="4"/>
  <c r="S12" i="4"/>
  <c r="S57" i="4"/>
  <c r="U12" i="4"/>
  <c r="U57" i="4"/>
  <c r="Y57" i="4"/>
  <c r="Y102" i="4"/>
  <c r="Y13" i="4"/>
  <c r="Q13" i="4"/>
  <c r="Q58" i="4"/>
  <c r="S13" i="4"/>
  <c r="S58" i="4"/>
  <c r="U13" i="4"/>
  <c r="U58" i="4"/>
  <c r="Y58" i="4"/>
  <c r="Y103" i="4"/>
  <c r="Y14" i="4"/>
  <c r="Q14" i="4"/>
  <c r="Q59" i="4"/>
  <c r="S14" i="4"/>
  <c r="S59" i="4"/>
  <c r="U14" i="4"/>
  <c r="U59" i="4"/>
  <c r="Y59" i="4"/>
  <c r="Y104" i="4"/>
  <c r="Y15" i="4"/>
  <c r="Q15" i="4"/>
  <c r="Q60" i="4"/>
  <c r="S15" i="4"/>
  <c r="S60" i="4"/>
  <c r="U15" i="4"/>
  <c r="U60" i="4"/>
  <c r="Y60" i="4"/>
  <c r="Y105" i="4"/>
  <c r="Y16" i="4"/>
  <c r="Q16" i="4"/>
  <c r="Q61" i="4"/>
  <c r="S16" i="4"/>
  <c r="S61" i="4"/>
  <c r="U16" i="4"/>
  <c r="U61" i="4"/>
  <c r="Y61" i="4"/>
  <c r="Y106" i="4"/>
  <c r="Y17" i="4"/>
  <c r="Q17" i="4"/>
  <c r="Q62" i="4"/>
  <c r="S17" i="4"/>
  <c r="S62" i="4"/>
  <c r="U17" i="4"/>
  <c r="U62" i="4"/>
  <c r="Y62" i="4"/>
  <c r="Y107" i="4"/>
  <c r="Y18" i="4"/>
  <c r="Q18" i="4"/>
  <c r="Q63" i="4"/>
  <c r="S18" i="4"/>
  <c r="S63" i="4"/>
  <c r="U18" i="4"/>
  <c r="U63" i="4"/>
  <c r="Y63" i="4"/>
  <c r="Y108" i="4"/>
  <c r="Y19" i="4"/>
  <c r="Q19" i="4"/>
  <c r="Q64" i="4"/>
  <c r="S19" i="4"/>
  <c r="S64" i="4"/>
  <c r="U19" i="4"/>
  <c r="U64" i="4"/>
  <c r="Y64" i="4"/>
  <c r="Y109" i="4"/>
  <c r="Y20" i="4"/>
  <c r="Q20" i="4"/>
  <c r="Q65" i="4"/>
  <c r="S20" i="4"/>
  <c r="S65" i="4"/>
  <c r="U20" i="4"/>
  <c r="U65" i="4"/>
  <c r="Y65" i="4"/>
  <c r="Y110" i="4"/>
  <c r="Y27" i="4"/>
  <c r="Q27" i="4"/>
  <c r="Q72" i="4"/>
  <c r="S27" i="4"/>
  <c r="S72" i="4"/>
  <c r="U27" i="4"/>
  <c r="U72" i="4"/>
  <c r="Y72" i="4"/>
  <c r="Y117" i="4"/>
  <c r="Y28" i="4"/>
  <c r="Q28" i="4"/>
  <c r="Q73" i="4"/>
  <c r="S28" i="4"/>
  <c r="S73" i="4"/>
  <c r="U28" i="4"/>
  <c r="U73" i="4"/>
  <c r="Y73" i="4"/>
  <c r="Y118" i="4"/>
  <c r="Y29" i="4"/>
  <c r="Q29" i="4"/>
  <c r="Q74" i="4"/>
  <c r="S29" i="4"/>
  <c r="S74" i="4"/>
  <c r="U29" i="4"/>
  <c r="U74" i="4"/>
  <c r="Y74" i="4"/>
  <c r="Y119" i="4"/>
  <c r="Y30" i="4"/>
  <c r="Q30" i="4"/>
  <c r="Q75" i="4"/>
  <c r="S30" i="4"/>
  <c r="S75" i="4"/>
  <c r="U30" i="4"/>
  <c r="U75" i="4"/>
  <c r="Y75" i="4"/>
  <c r="Y120" i="4"/>
  <c r="Y31" i="4"/>
  <c r="Q31" i="4"/>
  <c r="Q76" i="4"/>
  <c r="S31" i="4"/>
  <c r="S76" i="4"/>
  <c r="U31" i="4"/>
  <c r="U76" i="4"/>
  <c r="Y76" i="4"/>
  <c r="Y121" i="4"/>
  <c r="Y32" i="4"/>
  <c r="Q32" i="4"/>
  <c r="Q77" i="4"/>
  <c r="S32" i="4"/>
  <c r="S77" i="4"/>
  <c r="U32" i="4"/>
  <c r="U77" i="4"/>
  <c r="Y77" i="4"/>
  <c r="Y122" i="4"/>
  <c r="Y33" i="4"/>
  <c r="Q33" i="4"/>
  <c r="Q78" i="4"/>
  <c r="S33" i="4"/>
  <c r="S78" i="4"/>
  <c r="U33" i="4"/>
  <c r="U78" i="4"/>
  <c r="Y78" i="4"/>
  <c r="Y123" i="4"/>
  <c r="Y34" i="4"/>
  <c r="Q34" i="4"/>
  <c r="Q79" i="4"/>
  <c r="S34" i="4"/>
  <c r="S79" i="4"/>
  <c r="U34" i="4"/>
  <c r="U79" i="4"/>
  <c r="Y79" i="4"/>
  <c r="Y124" i="4"/>
  <c r="Y35" i="4"/>
  <c r="Q35" i="4"/>
  <c r="Q80" i="4"/>
  <c r="S35" i="4"/>
  <c r="S80" i="4"/>
  <c r="U35" i="4"/>
  <c r="U80" i="4"/>
  <c r="Y80" i="4"/>
  <c r="Y125" i="4"/>
  <c r="Y36" i="4"/>
  <c r="Q36" i="4"/>
  <c r="Q81" i="4"/>
  <c r="S36" i="4"/>
  <c r="S81" i="4"/>
  <c r="U36" i="4"/>
  <c r="U81" i="4"/>
  <c r="Y81" i="4"/>
  <c r="Y126" i="4"/>
  <c r="Y37" i="4"/>
  <c r="Q37" i="4"/>
  <c r="Q82" i="4"/>
  <c r="S37" i="4"/>
  <c r="S82" i="4"/>
  <c r="U37" i="4"/>
  <c r="U82" i="4"/>
  <c r="Y82" i="4"/>
  <c r="Y127" i="4"/>
  <c r="Y38" i="4"/>
  <c r="Q38" i="4"/>
  <c r="Q83" i="4"/>
  <c r="S38" i="4"/>
  <c r="S83" i="4"/>
  <c r="U38" i="4"/>
  <c r="U83" i="4"/>
  <c r="Y83" i="4"/>
  <c r="Y128" i="4"/>
  <c r="Y39" i="4"/>
  <c r="Q39" i="4"/>
  <c r="Q84" i="4"/>
  <c r="S39" i="4"/>
  <c r="S84" i="4"/>
  <c r="U39" i="4"/>
  <c r="U84" i="4"/>
  <c r="Y84" i="4"/>
  <c r="Y129" i="4"/>
  <c r="Y40" i="4"/>
  <c r="Q40" i="4"/>
  <c r="Q85" i="4"/>
  <c r="S40" i="4"/>
  <c r="S85" i="4"/>
  <c r="U40" i="4"/>
  <c r="U85" i="4"/>
  <c r="Y85" i="4"/>
  <c r="Y130" i="4"/>
  <c r="Y41" i="4"/>
  <c r="Q41" i="4"/>
  <c r="Q86" i="4"/>
  <c r="S41" i="4"/>
  <c r="S86" i="4"/>
  <c r="U41" i="4"/>
  <c r="U86" i="4"/>
  <c r="Y86" i="4"/>
  <c r="Y131" i="4"/>
  <c r="Y42" i="4"/>
  <c r="Q42" i="4"/>
  <c r="Q87" i="4"/>
  <c r="S42" i="4"/>
  <c r="S87" i="4"/>
  <c r="U42" i="4"/>
  <c r="U87" i="4"/>
  <c r="Y87" i="4"/>
  <c r="Y132" i="4"/>
  <c r="Y43" i="4"/>
  <c r="Q43" i="4"/>
  <c r="Q88" i="4"/>
  <c r="S43" i="4"/>
  <c r="S88" i="4"/>
  <c r="U43" i="4"/>
  <c r="U88" i="4"/>
  <c r="Y88" i="4"/>
  <c r="Y133" i="4"/>
  <c r="Y134" i="4"/>
  <c r="L157" i="4"/>
  <c r="L158" i="4"/>
  <c r="L159" i="4"/>
  <c r="L160" i="4"/>
  <c r="L161" i="4"/>
  <c r="L162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M157" i="4"/>
  <c r="M158" i="4"/>
  <c r="M159" i="4"/>
  <c r="M160" i="4"/>
  <c r="M161" i="4"/>
  <c r="M162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N157" i="4"/>
  <c r="N158" i="4"/>
  <c r="N159" i="4"/>
  <c r="N160" i="4"/>
  <c r="N161" i="4"/>
  <c r="N162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O157" i="4"/>
  <c r="O158" i="4"/>
  <c r="O159" i="4"/>
  <c r="O160" i="4"/>
  <c r="O161" i="4"/>
  <c r="O162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P157" i="4"/>
  <c r="P158" i="4"/>
  <c r="P159" i="4"/>
  <c r="P160" i="4"/>
  <c r="P161" i="4"/>
  <c r="P162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Q157" i="4"/>
  <c r="Q158" i="4"/>
  <c r="Q159" i="4"/>
  <c r="Q160" i="4"/>
  <c r="Q161" i="4"/>
  <c r="Q162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R157" i="4"/>
  <c r="R158" i="4"/>
  <c r="R159" i="4"/>
  <c r="R160" i="4"/>
  <c r="R161" i="4"/>
  <c r="R162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S157" i="4"/>
  <c r="S158" i="4"/>
  <c r="S159" i="4"/>
  <c r="S160" i="4"/>
  <c r="S161" i="4"/>
  <c r="S162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T157" i="4"/>
  <c r="T158" i="4"/>
  <c r="T159" i="4"/>
  <c r="T160" i="4"/>
  <c r="T161" i="4"/>
  <c r="T162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U157" i="4"/>
  <c r="U158" i="4"/>
  <c r="U159" i="4"/>
  <c r="U160" i="4"/>
  <c r="U161" i="4"/>
  <c r="U162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V157" i="4"/>
  <c r="V158" i="4"/>
  <c r="V159" i="4"/>
  <c r="V160" i="4"/>
  <c r="V161" i="4"/>
  <c r="V162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W157" i="4"/>
  <c r="W158" i="4"/>
  <c r="W159" i="4"/>
  <c r="W160" i="4"/>
  <c r="W161" i="4"/>
  <c r="W162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X157" i="4"/>
  <c r="X158" i="4"/>
  <c r="X159" i="4"/>
  <c r="X160" i="4"/>
  <c r="X161" i="4"/>
  <c r="X162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Y157" i="4"/>
  <c r="Y158" i="4"/>
  <c r="Y159" i="4"/>
  <c r="Y160" i="4"/>
  <c r="Y161" i="4"/>
  <c r="Y162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C113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D113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E68" i="4"/>
  <c r="E113" i="4"/>
  <c r="E48" i="4"/>
  <c r="E93" i="4"/>
  <c r="E49" i="4"/>
  <c r="E94" i="4"/>
  <c r="E50" i="4"/>
  <c r="E95" i="4"/>
  <c r="E51" i="4"/>
  <c r="E96" i="4"/>
  <c r="E52" i="4"/>
  <c r="E97" i="4"/>
  <c r="E53" i="4"/>
  <c r="E98" i="4"/>
  <c r="E54" i="4"/>
  <c r="E99" i="4"/>
  <c r="E55" i="4"/>
  <c r="E100" i="4"/>
  <c r="E56" i="4"/>
  <c r="E101" i="4"/>
  <c r="E57" i="4"/>
  <c r="E102" i="4"/>
  <c r="E58" i="4"/>
  <c r="E103" i="4"/>
  <c r="E59" i="4"/>
  <c r="E104" i="4"/>
  <c r="E60" i="4"/>
  <c r="E105" i="4"/>
  <c r="E61" i="4"/>
  <c r="E106" i="4"/>
  <c r="E62" i="4"/>
  <c r="E107" i="4"/>
  <c r="E63" i="4"/>
  <c r="E108" i="4"/>
  <c r="E64" i="4"/>
  <c r="E109" i="4"/>
  <c r="E65" i="4"/>
  <c r="E110" i="4"/>
  <c r="E66" i="4"/>
  <c r="E111" i="4"/>
  <c r="E67" i="4"/>
  <c r="E112" i="4"/>
  <c r="E69" i="4"/>
  <c r="E114" i="4"/>
  <c r="E70" i="4"/>
  <c r="E115" i="4"/>
  <c r="E71" i="4"/>
  <c r="E116" i="4"/>
  <c r="E72" i="4"/>
  <c r="E117" i="4"/>
  <c r="E73" i="4"/>
  <c r="E118" i="4"/>
  <c r="E74" i="4"/>
  <c r="E119" i="4"/>
  <c r="E75" i="4"/>
  <c r="E120" i="4"/>
  <c r="E76" i="4"/>
  <c r="E121" i="4"/>
  <c r="E77" i="4"/>
  <c r="E122" i="4"/>
  <c r="E78" i="4"/>
  <c r="E123" i="4"/>
  <c r="E79" i="4"/>
  <c r="E124" i="4"/>
  <c r="E80" i="4"/>
  <c r="E125" i="4"/>
  <c r="E81" i="4"/>
  <c r="E126" i="4"/>
  <c r="E82" i="4"/>
  <c r="E127" i="4"/>
  <c r="E83" i="4"/>
  <c r="E128" i="4"/>
  <c r="E84" i="4"/>
  <c r="E129" i="4"/>
  <c r="E85" i="4"/>
  <c r="E130" i="4"/>
  <c r="E86" i="4"/>
  <c r="E131" i="4"/>
  <c r="E87" i="4"/>
  <c r="E132" i="4"/>
  <c r="E88" i="4"/>
  <c r="E133" i="4"/>
  <c r="E134" i="4"/>
  <c r="F113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G113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H113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I113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J113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K23" i="4"/>
  <c r="K68" i="4"/>
  <c r="K113" i="4"/>
  <c r="K3" i="4"/>
  <c r="K48" i="4"/>
  <c r="K93" i="4"/>
  <c r="K4" i="4"/>
  <c r="K49" i="4"/>
  <c r="K94" i="4"/>
  <c r="K5" i="4"/>
  <c r="K50" i="4"/>
  <c r="K95" i="4"/>
  <c r="K6" i="4"/>
  <c r="K51" i="4"/>
  <c r="K96" i="4"/>
  <c r="K7" i="4"/>
  <c r="K52" i="4"/>
  <c r="K97" i="4"/>
  <c r="K8" i="4"/>
  <c r="K53" i="4"/>
  <c r="K98" i="4"/>
  <c r="K9" i="4"/>
  <c r="K54" i="4"/>
  <c r="K99" i="4"/>
  <c r="K10" i="4"/>
  <c r="K55" i="4"/>
  <c r="K100" i="4"/>
  <c r="K11" i="4"/>
  <c r="K56" i="4"/>
  <c r="K101" i="4"/>
  <c r="K12" i="4"/>
  <c r="K57" i="4"/>
  <c r="K102" i="4"/>
  <c r="K13" i="4"/>
  <c r="K58" i="4"/>
  <c r="K103" i="4"/>
  <c r="K14" i="4"/>
  <c r="K59" i="4"/>
  <c r="K104" i="4"/>
  <c r="K15" i="4"/>
  <c r="K60" i="4"/>
  <c r="K105" i="4"/>
  <c r="K16" i="4"/>
  <c r="K61" i="4"/>
  <c r="K106" i="4"/>
  <c r="K17" i="4"/>
  <c r="K62" i="4"/>
  <c r="K107" i="4"/>
  <c r="K18" i="4"/>
  <c r="K63" i="4"/>
  <c r="K108" i="4"/>
  <c r="K19" i="4"/>
  <c r="K64" i="4"/>
  <c r="K109" i="4"/>
  <c r="K20" i="4"/>
  <c r="K65" i="4"/>
  <c r="K110" i="4"/>
  <c r="K21" i="4"/>
  <c r="K66" i="4"/>
  <c r="K111" i="4"/>
  <c r="K22" i="4"/>
  <c r="K67" i="4"/>
  <c r="K112" i="4"/>
  <c r="K24" i="4"/>
  <c r="K69" i="4"/>
  <c r="K114" i="4"/>
  <c r="K25" i="4"/>
  <c r="K70" i="4"/>
  <c r="K115" i="4"/>
  <c r="K26" i="4"/>
  <c r="K71" i="4"/>
  <c r="K116" i="4"/>
  <c r="K27" i="4"/>
  <c r="K72" i="4"/>
  <c r="K117" i="4"/>
  <c r="K28" i="4"/>
  <c r="K73" i="4"/>
  <c r="K118" i="4"/>
  <c r="K29" i="4"/>
  <c r="K74" i="4"/>
  <c r="K119" i="4"/>
  <c r="K30" i="4"/>
  <c r="K75" i="4"/>
  <c r="K120" i="4"/>
  <c r="K31" i="4"/>
  <c r="K76" i="4"/>
  <c r="K121" i="4"/>
  <c r="K32" i="4"/>
  <c r="K77" i="4"/>
  <c r="K122" i="4"/>
  <c r="K33" i="4"/>
  <c r="K78" i="4"/>
  <c r="K123" i="4"/>
  <c r="K34" i="4"/>
  <c r="K79" i="4"/>
  <c r="K124" i="4"/>
  <c r="K35" i="4"/>
  <c r="K80" i="4"/>
  <c r="K125" i="4"/>
  <c r="K36" i="4"/>
  <c r="K81" i="4"/>
  <c r="K126" i="4"/>
  <c r="K37" i="4"/>
  <c r="K82" i="4"/>
  <c r="K127" i="4"/>
  <c r="K38" i="4"/>
  <c r="K83" i="4"/>
  <c r="K128" i="4"/>
  <c r="K39" i="4"/>
  <c r="K84" i="4"/>
  <c r="K129" i="4"/>
  <c r="K40" i="4"/>
  <c r="K85" i="4"/>
  <c r="K130" i="4"/>
  <c r="K41" i="4"/>
  <c r="K86" i="4"/>
  <c r="K131" i="4"/>
  <c r="K42" i="4"/>
  <c r="K87" i="4"/>
  <c r="K132" i="4"/>
  <c r="K43" i="4"/>
  <c r="K88" i="4"/>
  <c r="K133" i="4"/>
  <c r="K134" i="4"/>
  <c r="C159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D159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E159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F159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G159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H159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I159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J159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K159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F203" i="3" a="1"/>
  <c r="F203" i="3"/>
  <c r="P122" i="3"/>
  <c r="U122" i="3"/>
  <c r="U124" i="3"/>
  <c r="P126" i="3"/>
  <c r="U126" i="3"/>
  <c r="P128" i="3"/>
  <c r="U128" i="3"/>
  <c r="U111" i="3"/>
  <c r="P112" i="3"/>
  <c r="F44" i="4"/>
  <c r="U112" i="3"/>
  <c r="P113" i="3"/>
  <c r="U113" i="3"/>
  <c r="P114" i="3"/>
  <c r="U114" i="3"/>
  <c r="G203" i="3" a="1"/>
  <c r="G203" i="3"/>
  <c r="D61" i="5"/>
  <c r="J203" i="3"/>
  <c r="C23" i="5"/>
  <c r="H204" i="3" a="1"/>
  <c r="H204" i="3"/>
  <c r="E204" i="3"/>
  <c r="H205" i="3" a="1"/>
  <c r="H205" i="3"/>
  <c r="E205" i="3"/>
  <c r="H206" i="3" a="1"/>
  <c r="H206" i="3"/>
  <c r="E206" i="3"/>
  <c r="H207" i="3" a="1"/>
  <c r="H207" i="3"/>
  <c r="E207" i="3"/>
  <c r="H208" i="3" a="1"/>
  <c r="H208" i="3"/>
  <c r="E208" i="3"/>
  <c r="H209" i="3" a="1"/>
  <c r="H209" i="3"/>
  <c r="E209" i="3"/>
  <c r="H210" i="3" a="1"/>
  <c r="H210" i="3"/>
  <c r="E210" i="3"/>
  <c r="H211" i="3" a="1"/>
  <c r="H211" i="3"/>
  <c r="E211" i="3"/>
  <c r="H212" i="3" a="1"/>
  <c r="H212" i="3"/>
  <c r="E212" i="3"/>
  <c r="H213" i="3" a="1"/>
  <c r="H213" i="3"/>
  <c r="E213" i="3"/>
  <c r="H214" i="3" a="1"/>
  <c r="H214" i="3"/>
  <c r="E214" i="3"/>
  <c r="H215" i="3" a="1"/>
  <c r="H215" i="3"/>
  <c r="E215" i="3"/>
  <c r="H216" i="3" a="1"/>
  <c r="H216" i="3"/>
  <c r="E216" i="3"/>
  <c r="H217" i="3" a="1"/>
  <c r="H217" i="3"/>
  <c r="E217" i="3"/>
  <c r="H218" i="3" a="1"/>
  <c r="H218" i="3"/>
  <c r="E218" i="3"/>
  <c r="H219" i="3" a="1"/>
  <c r="H219" i="3"/>
  <c r="E219" i="3"/>
  <c r="H220" i="3" a="1"/>
  <c r="H220" i="3"/>
  <c r="E220" i="3"/>
  <c r="H227" i="3" a="1"/>
  <c r="H227" i="3"/>
  <c r="E227" i="3"/>
  <c r="H228" i="3" a="1"/>
  <c r="H228" i="3"/>
  <c r="E228" i="3"/>
  <c r="H229" i="3" a="1"/>
  <c r="H229" i="3"/>
  <c r="E229" i="3"/>
  <c r="H230" i="3" a="1"/>
  <c r="H230" i="3"/>
  <c r="E230" i="3"/>
  <c r="H231" i="3" a="1"/>
  <c r="H231" i="3"/>
  <c r="E231" i="3"/>
  <c r="H232" i="3" a="1"/>
  <c r="H232" i="3"/>
  <c r="E232" i="3"/>
  <c r="H233" i="3" a="1"/>
  <c r="H233" i="3"/>
  <c r="E233" i="3"/>
  <c r="H234" i="3" a="1"/>
  <c r="H234" i="3"/>
  <c r="E234" i="3"/>
  <c r="H235" i="3" a="1"/>
  <c r="H235" i="3"/>
  <c r="E235" i="3"/>
  <c r="H236" i="3" a="1"/>
  <c r="H236" i="3"/>
  <c r="E236" i="3"/>
  <c r="H237" i="3" a="1"/>
  <c r="H237" i="3"/>
  <c r="E237" i="3"/>
  <c r="H238" i="3" a="1"/>
  <c r="H238" i="3"/>
  <c r="E238" i="3"/>
  <c r="H239" i="3" a="1"/>
  <c r="H239" i="3"/>
  <c r="E239" i="3"/>
  <c r="H240" i="3" a="1"/>
  <c r="H240" i="3"/>
  <c r="E240" i="3"/>
  <c r="H241" i="3" a="1"/>
  <c r="H241" i="3"/>
  <c r="E241" i="3"/>
  <c r="H242" i="3" a="1"/>
  <c r="H242" i="3"/>
  <c r="E242" i="3"/>
  <c r="H243" i="3" a="1"/>
  <c r="H243" i="3"/>
  <c r="E243" i="3"/>
  <c r="E244" i="3" a="1"/>
  <c r="J225" i="4"/>
  <c r="I269" i="4"/>
  <c r="B84" i="14" a="1"/>
  <c r="B87" i="14"/>
  <c r="B88" i="14"/>
  <c r="B89" i="14"/>
  <c r="P87" i="14"/>
  <c r="B85" i="14"/>
  <c r="B90" i="14"/>
  <c r="B91" i="14"/>
  <c r="B96" i="14"/>
  <c r="B98" i="14"/>
  <c r="B100" i="14"/>
  <c r="B102" i="14"/>
  <c r="B104" i="14"/>
  <c r="B105" i="14"/>
  <c r="P88" i="14"/>
  <c r="B92" i="14"/>
  <c r="B106" i="14"/>
  <c r="P89" i="14"/>
  <c r="B93" i="14"/>
  <c r="P90" i="14"/>
  <c r="J119" i="3"/>
  <c r="B94" i="14"/>
  <c r="B95" i="14"/>
  <c r="P91" i="14"/>
  <c r="B97" i="14"/>
  <c r="B99" i="14"/>
  <c r="P92" i="14"/>
  <c r="B103" i="14"/>
  <c r="B101" i="14"/>
  <c r="P93" i="14"/>
  <c r="B84" i="14"/>
  <c r="B86" i="14"/>
  <c r="Z21" i="4"/>
  <c r="Z66" i="4"/>
  <c r="Z111" i="4"/>
  <c r="Z22" i="4"/>
  <c r="Z67" i="4"/>
  <c r="Z112" i="4"/>
  <c r="Z23" i="4"/>
  <c r="Z68" i="4"/>
  <c r="Z113" i="4"/>
  <c r="Z24" i="4"/>
  <c r="Z69" i="4"/>
  <c r="Z114" i="4"/>
  <c r="Z25" i="4"/>
  <c r="Z70" i="4"/>
  <c r="Z115" i="4"/>
  <c r="Z26" i="4"/>
  <c r="Z71" i="4"/>
  <c r="Z116" i="4"/>
  <c r="Z3" i="4"/>
  <c r="Z48" i="4"/>
  <c r="Z93" i="4"/>
  <c r="Z4" i="4"/>
  <c r="Z49" i="4"/>
  <c r="Z94" i="4"/>
  <c r="Z5" i="4"/>
  <c r="Z50" i="4"/>
  <c r="Z95" i="4"/>
  <c r="Z6" i="4"/>
  <c r="Z51" i="4"/>
  <c r="Z96" i="4"/>
  <c r="Z7" i="4"/>
  <c r="Z52" i="4"/>
  <c r="Z97" i="4"/>
  <c r="Z8" i="4"/>
  <c r="Z53" i="4"/>
  <c r="Z98" i="4"/>
  <c r="Z9" i="4"/>
  <c r="Z54" i="4"/>
  <c r="Z99" i="4"/>
  <c r="Z10" i="4"/>
  <c r="Z55" i="4"/>
  <c r="Z100" i="4"/>
  <c r="Z11" i="4"/>
  <c r="Z56" i="4"/>
  <c r="Z101" i="4"/>
  <c r="Z12" i="4"/>
  <c r="Z57" i="4"/>
  <c r="Z102" i="4"/>
  <c r="Z13" i="4"/>
  <c r="Z58" i="4"/>
  <c r="Z103" i="4"/>
  <c r="Z14" i="4"/>
  <c r="Z59" i="4"/>
  <c r="Z104" i="4"/>
  <c r="Z15" i="4"/>
  <c r="Z60" i="4"/>
  <c r="Z105" i="4"/>
  <c r="Z16" i="4"/>
  <c r="Z61" i="4"/>
  <c r="Z106" i="4"/>
  <c r="Z17" i="4"/>
  <c r="Z62" i="4"/>
  <c r="Z107" i="4"/>
  <c r="Z18" i="4"/>
  <c r="Z63" i="4"/>
  <c r="Z108" i="4"/>
  <c r="Z19" i="4"/>
  <c r="Z64" i="4"/>
  <c r="Z109" i="4"/>
  <c r="Z20" i="4"/>
  <c r="Z65" i="4"/>
  <c r="Z110" i="4"/>
  <c r="Z27" i="4"/>
  <c r="Z72" i="4"/>
  <c r="Z117" i="4"/>
  <c r="Z28" i="4"/>
  <c r="Z73" i="4"/>
  <c r="Z118" i="4"/>
  <c r="Z29" i="4"/>
  <c r="Z74" i="4"/>
  <c r="Z119" i="4"/>
  <c r="Z30" i="4"/>
  <c r="Z75" i="4"/>
  <c r="Z120" i="4"/>
  <c r="Z31" i="4"/>
  <c r="Z76" i="4"/>
  <c r="Z121" i="4"/>
  <c r="Z32" i="4"/>
  <c r="Z77" i="4"/>
  <c r="Z122" i="4"/>
  <c r="Z33" i="4"/>
  <c r="Z78" i="4"/>
  <c r="Z123" i="4"/>
  <c r="Z34" i="4"/>
  <c r="Z79" i="4"/>
  <c r="Z124" i="4"/>
  <c r="Z35" i="4"/>
  <c r="Z80" i="4"/>
  <c r="Z125" i="4"/>
  <c r="Z36" i="4"/>
  <c r="Z81" i="4"/>
  <c r="Z126" i="4"/>
  <c r="Z37" i="4"/>
  <c r="Z82" i="4"/>
  <c r="Z127" i="4"/>
  <c r="Z38" i="4"/>
  <c r="Z83" i="4"/>
  <c r="Z128" i="4"/>
  <c r="Z39" i="4"/>
  <c r="Z84" i="4"/>
  <c r="Z129" i="4"/>
  <c r="Z40" i="4"/>
  <c r="Z85" i="4"/>
  <c r="Z130" i="4"/>
  <c r="Z41" i="4"/>
  <c r="Z86" i="4"/>
  <c r="Z131" i="4"/>
  <c r="Z42" i="4"/>
  <c r="Z87" i="4"/>
  <c r="Z132" i="4"/>
  <c r="Z43" i="4"/>
  <c r="Z88" i="4"/>
  <c r="Z133" i="4"/>
  <c r="Z134" i="4"/>
  <c r="B107" i="14"/>
  <c r="B108" i="14"/>
  <c r="C22" i="5"/>
  <c r="B180" i="3"/>
  <c r="B181" i="3"/>
  <c r="B109" i="14"/>
  <c r="P94" i="14"/>
  <c r="P95" i="14"/>
  <c r="B270" i="4"/>
  <c r="K202" i="4"/>
  <c r="D120" i="3"/>
  <c r="O66" i="4"/>
  <c r="O67" i="4"/>
  <c r="O68" i="4"/>
  <c r="O69" i="4"/>
  <c r="O70" i="4"/>
  <c r="O71" i="4"/>
  <c r="N44" i="4"/>
  <c r="D119" i="3"/>
  <c r="D110" i="3"/>
  <c r="G20" i="15"/>
  <c r="M94" i="14"/>
  <c r="M97" i="14"/>
  <c r="M98" i="14"/>
  <c r="M99" i="14"/>
  <c r="N94" i="14"/>
  <c r="N97" i="14"/>
  <c r="N98" i="14"/>
  <c r="N99" i="14"/>
  <c r="O94" i="14"/>
  <c r="O97" i="14"/>
  <c r="O98" i="14"/>
  <c r="O99" i="14"/>
  <c r="T94" i="14"/>
  <c r="L94" i="14"/>
  <c r="L97" i="14"/>
  <c r="L98" i="14"/>
  <c r="L99" i="14"/>
  <c r="E250" i="14"/>
  <c r="K285" i="14"/>
  <c r="F258" i="14"/>
  <c r="R279" i="14"/>
  <c r="F259" i="14"/>
  <c r="R280" i="14"/>
  <c r="M286" i="14"/>
  <c r="N286" i="14"/>
  <c r="O286" i="14"/>
  <c r="E118" i="5"/>
  <c r="E117" i="5"/>
  <c r="B249" i="14"/>
  <c r="P255" i="14"/>
  <c r="B275" i="14"/>
  <c r="P280" i="14"/>
  <c r="D249" i="14"/>
  <c r="Q255" i="14"/>
  <c r="D277" i="14"/>
  <c r="Q280" i="14"/>
  <c r="F249" i="14" a="1"/>
  <c r="F249" i="14"/>
  <c r="R255" i="14"/>
  <c r="L286" i="14"/>
  <c r="E256" i="14"/>
  <c r="E251" i="14"/>
  <c r="E252" i="14"/>
  <c r="E253" i="14"/>
  <c r="E254" i="14"/>
  <c r="E255" i="14"/>
  <c r="E257" i="14"/>
  <c r="E258" i="14"/>
  <c r="E249" i="14"/>
  <c r="C275" i="14"/>
  <c r="C276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49" i="14"/>
  <c r="C28" i="5"/>
  <c r="C30" i="5"/>
  <c r="C29" i="5"/>
  <c r="C31" i="5"/>
  <c r="T88" i="14"/>
  <c r="L88" i="14"/>
  <c r="T89" i="14"/>
  <c r="L89" i="14"/>
  <c r="T90" i="14"/>
  <c r="L90" i="14"/>
  <c r="T91" i="14"/>
  <c r="L91" i="14"/>
  <c r="T92" i="14"/>
  <c r="L92" i="14"/>
  <c r="T93" i="14"/>
  <c r="L93" i="14"/>
  <c r="T87" i="14"/>
  <c r="L87" i="14"/>
  <c r="L95" i="14"/>
  <c r="B4" i="14"/>
  <c r="B5" i="14"/>
  <c r="B6" i="14"/>
  <c r="L85" i="14"/>
  <c r="M85" i="14"/>
  <c r="N85" i="14"/>
  <c r="O85" i="14"/>
  <c r="C125" i="14"/>
  <c r="C126" i="14"/>
  <c r="C127" i="14"/>
  <c r="C128" i="14"/>
  <c r="C129" i="14"/>
  <c r="C130" i="14"/>
  <c r="C131" i="14"/>
  <c r="C132" i="14"/>
  <c r="C133" i="14"/>
  <c r="I87" i="15"/>
  <c r="H87" i="15"/>
  <c r="I86" i="15"/>
  <c r="H86" i="15"/>
  <c r="I85" i="15"/>
  <c r="H85" i="15"/>
  <c r="I84" i="15"/>
  <c r="H84" i="15"/>
  <c r="I83" i="15"/>
  <c r="H83" i="15"/>
  <c r="I82" i="15"/>
  <c r="H82" i="15"/>
  <c r="I81" i="15"/>
  <c r="H81" i="15"/>
  <c r="I80" i="15"/>
  <c r="H80" i="15"/>
  <c r="I79" i="15"/>
  <c r="H79" i="15"/>
  <c r="I78" i="15"/>
  <c r="H78" i="15"/>
  <c r="I77" i="15"/>
  <c r="H77" i="15"/>
  <c r="I76" i="15"/>
  <c r="H76" i="15"/>
  <c r="I75" i="15"/>
  <c r="H75" i="15"/>
  <c r="I74" i="15"/>
  <c r="H74" i="15"/>
  <c r="I73" i="15"/>
  <c r="H73" i="15"/>
  <c r="I72" i="15"/>
  <c r="H72" i="15"/>
  <c r="I71" i="15"/>
  <c r="H71" i="15"/>
  <c r="I70" i="15"/>
  <c r="H70" i="15"/>
  <c r="I69" i="15"/>
  <c r="H69" i="15"/>
  <c r="I68" i="15"/>
  <c r="H68" i="15"/>
  <c r="I67" i="15"/>
  <c r="H67" i="15"/>
  <c r="I66" i="15"/>
  <c r="H66" i="15"/>
  <c r="I65" i="15"/>
  <c r="H65" i="15"/>
  <c r="I64" i="15"/>
  <c r="H64" i="15"/>
  <c r="I63" i="15"/>
  <c r="H63" i="15"/>
  <c r="I62" i="15"/>
  <c r="H62" i="15"/>
  <c r="I61" i="15"/>
  <c r="H61" i="15"/>
  <c r="I60" i="15"/>
  <c r="H60" i="15"/>
  <c r="I59" i="15"/>
  <c r="H59" i="15"/>
  <c r="I58" i="15"/>
  <c r="H58" i="15"/>
  <c r="I57" i="15"/>
  <c r="H57" i="15"/>
  <c r="I56" i="15"/>
  <c r="H56" i="15"/>
  <c r="I55" i="15"/>
  <c r="H55" i="15"/>
  <c r="I54" i="15"/>
  <c r="H54" i="15"/>
  <c r="I53" i="15"/>
  <c r="H53" i="15"/>
  <c r="I52" i="15"/>
  <c r="H52" i="15"/>
  <c r="I51" i="15"/>
  <c r="H51" i="15"/>
  <c r="I50" i="15"/>
  <c r="H50" i="15"/>
  <c r="I49" i="15"/>
  <c r="H49" i="15"/>
  <c r="I48" i="15"/>
  <c r="H48" i="15"/>
  <c r="I47" i="15"/>
  <c r="H47" i="15"/>
  <c r="N109" i="3"/>
  <c r="S109" i="3"/>
  <c r="T109" i="3"/>
  <c r="N110" i="3"/>
  <c r="S110" i="3"/>
  <c r="T110" i="3"/>
  <c r="N115" i="3"/>
  <c r="S115" i="3"/>
  <c r="T115" i="3"/>
  <c r="N116" i="3"/>
  <c r="S116" i="3"/>
  <c r="T116" i="3"/>
  <c r="N117" i="3"/>
  <c r="S117" i="3"/>
  <c r="T117" i="3"/>
  <c r="N118" i="3"/>
  <c r="S118" i="3"/>
  <c r="T118" i="3"/>
  <c r="N119" i="3"/>
  <c r="S119" i="3"/>
  <c r="N120" i="3"/>
  <c r="S120" i="3"/>
  <c r="T120" i="3"/>
  <c r="N121" i="3"/>
  <c r="S121" i="3"/>
  <c r="T121" i="3"/>
  <c r="N123" i="3"/>
  <c r="S123" i="3"/>
  <c r="T123" i="3"/>
  <c r="N125" i="3"/>
  <c r="S125" i="3"/>
  <c r="T125" i="3"/>
  <c r="N127" i="3"/>
  <c r="S127" i="3"/>
  <c r="T127" i="3"/>
  <c r="N129" i="3"/>
  <c r="S129" i="3"/>
  <c r="T129" i="3"/>
  <c r="N130" i="3"/>
  <c r="S130" i="3"/>
  <c r="T130" i="3"/>
  <c r="N131" i="3"/>
  <c r="S131" i="3"/>
  <c r="T131" i="3"/>
  <c r="N132" i="3"/>
  <c r="S132" i="3"/>
  <c r="T132" i="3"/>
  <c r="N108" i="3"/>
  <c r="S108" i="3"/>
  <c r="T108" i="3"/>
  <c r="K34" i="3"/>
  <c r="P34" i="3"/>
  <c r="Q34" i="3"/>
  <c r="K35" i="3"/>
  <c r="K36" i="3"/>
  <c r="K37" i="3"/>
  <c r="B5" i="3"/>
  <c r="N126" i="3"/>
  <c r="K38" i="3"/>
  <c r="P38" i="3"/>
  <c r="Q38" i="3"/>
  <c r="K39" i="3"/>
  <c r="K40" i="3"/>
  <c r="K41" i="3"/>
  <c r="B2" i="3"/>
  <c r="N112" i="3"/>
  <c r="K42" i="3"/>
  <c r="P42" i="3"/>
  <c r="Q42" i="3"/>
  <c r="K43" i="3"/>
  <c r="K44" i="3"/>
  <c r="K45" i="3"/>
  <c r="B3" i="3"/>
  <c r="N113" i="3"/>
  <c r="K46" i="3"/>
  <c r="N114" i="3"/>
  <c r="K47" i="3"/>
  <c r="P47" i="3"/>
  <c r="Q47" i="3"/>
  <c r="K48" i="3"/>
  <c r="P48" i="3"/>
  <c r="Q48" i="3"/>
  <c r="K49" i="3"/>
  <c r="K50" i="3"/>
  <c r="K51" i="3"/>
  <c r="B6" i="3"/>
  <c r="N111" i="3"/>
  <c r="K52" i="3"/>
  <c r="P52" i="3"/>
  <c r="Q52" i="3"/>
  <c r="K53" i="3"/>
  <c r="K54" i="3"/>
  <c r="K55" i="3"/>
  <c r="B7" i="3"/>
  <c r="N124" i="3"/>
  <c r="K56" i="3"/>
  <c r="P56" i="3"/>
  <c r="Q56" i="3"/>
  <c r="K57" i="3"/>
  <c r="K58" i="3"/>
  <c r="K59" i="3"/>
  <c r="B8" i="3"/>
  <c r="N122" i="3"/>
  <c r="K60" i="3"/>
  <c r="P60" i="3"/>
  <c r="Q60" i="3"/>
  <c r="K33" i="3"/>
  <c r="B4" i="3"/>
  <c r="N128" i="3"/>
  <c r="C54" i="5"/>
  <c r="C56" i="5"/>
  <c r="C38" i="5"/>
  <c r="C40" i="5"/>
  <c r="C44" i="5"/>
  <c r="P46" i="3"/>
  <c r="Q46" i="3"/>
  <c r="P33" i="3"/>
  <c r="Q33" i="3"/>
  <c r="P37" i="3"/>
  <c r="Q37" i="3"/>
  <c r="P41" i="3"/>
  <c r="Q41" i="3"/>
  <c r="P45" i="3"/>
  <c r="Q45" i="3"/>
  <c r="P51" i="3"/>
  <c r="Q51" i="3"/>
  <c r="P55" i="3"/>
  <c r="Q55" i="3"/>
  <c r="P59" i="3"/>
  <c r="Q59" i="3"/>
  <c r="C32" i="5"/>
  <c r="C41" i="5"/>
  <c r="B2" i="15"/>
  <c r="B3" i="15"/>
  <c r="B4" i="15"/>
  <c r="B5" i="15"/>
  <c r="B6" i="15"/>
  <c r="B7" i="15"/>
  <c r="B8" i="15"/>
  <c r="B10" i="15"/>
  <c r="B13" i="15"/>
  <c r="B15" i="15"/>
  <c r="B16" i="15"/>
  <c r="B17" i="15"/>
  <c r="B21" i="15"/>
  <c r="B24" i="15"/>
  <c r="B25" i="15"/>
  <c r="B32" i="15"/>
  <c r="B34" i="15"/>
  <c r="B35" i="15"/>
  <c r="B36" i="15"/>
  <c r="B37" i="15"/>
  <c r="B38" i="15"/>
  <c r="B42" i="15"/>
  <c r="B43" i="15"/>
  <c r="U2" i="15"/>
  <c r="V2" i="15"/>
  <c r="U3" i="15"/>
  <c r="V3" i="15"/>
  <c r="U4" i="15"/>
  <c r="V4" i="15"/>
  <c r="U5" i="15"/>
  <c r="V5" i="15"/>
  <c r="U6" i="15"/>
  <c r="V6" i="15"/>
  <c r="U7" i="15"/>
  <c r="V7" i="15"/>
  <c r="U8" i="15"/>
  <c r="V8" i="15"/>
  <c r="U9" i="15"/>
  <c r="V9" i="15"/>
  <c r="U10" i="15"/>
  <c r="V10" i="15"/>
  <c r="U11" i="15"/>
  <c r="V11" i="15"/>
  <c r="U13" i="15"/>
  <c r="V13" i="15"/>
  <c r="U14" i="15"/>
  <c r="V14" i="15"/>
  <c r="U15" i="15"/>
  <c r="V15" i="15"/>
  <c r="U16" i="15"/>
  <c r="V16" i="15"/>
  <c r="U17" i="15"/>
  <c r="V17" i="15"/>
  <c r="U18" i="15"/>
  <c r="V18" i="15"/>
  <c r="U19" i="15"/>
  <c r="V19" i="15"/>
  <c r="U20" i="15"/>
  <c r="V20" i="15"/>
  <c r="U21" i="15"/>
  <c r="V21" i="15"/>
  <c r="U22" i="15"/>
  <c r="V22" i="15"/>
  <c r="U23" i="15"/>
  <c r="V23" i="15"/>
  <c r="U24" i="15"/>
  <c r="V24" i="15"/>
  <c r="U25" i="15"/>
  <c r="V25" i="15"/>
  <c r="U26" i="15"/>
  <c r="V26" i="15"/>
  <c r="U27" i="15"/>
  <c r="V27" i="15"/>
  <c r="U28" i="15"/>
  <c r="V28" i="15"/>
  <c r="U29" i="15"/>
  <c r="V29" i="15"/>
  <c r="U30" i="15"/>
  <c r="V30" i="15"/>
  <c r="U31" i="15"/>
  <c r="V31" i="15"/>
  <c r="U32" i="15"/>
  <c r="V32" i="15"/>
  <c r="U33" i="15"/>
  <c r="V33" i="15"/>
  <c r="U34" i="15"/>
  <c r="V34" i="15"/>
  <c r="U35" i="15"/>
  <c r="V35" i="15"/>
  <c r="U36" i="15"/>
  <c r="V36" i="15"/>
  <c r="U37" i="15"/>
  <c r="V37" i="15"/>
  <c r="U38" i="15"/>
  <c r="V38" i="15"/>
  <c r="U39" i="15"/>
  <c r="V39" i="15"/>
  <c r="U40" i="15"/>
  <c r="V40" i="15"/>
  <c r="U41" i="15"/>
  <c r="V41" i="15"/>
  <c r="U42" i="15"/>
  <c r="V42" i="15"/>
  <c r="V43" i="15"/>
  <c r="U12" i="15"/>
  <c r="U43" i="15"/>
  <c r="A242" i="14"/>
  <c r="C242" i="14"/>
  <c r="C168" i="14"/>
  <c r="C169" i="14"/>
  <c r="C170" i="14"/>
  <c r="C171" i="14"/>
  <c r="C172" i="14"/>
  <c r="C173" i="14"/>
  <c r="A219" i="14"/>
  <c r="B219" i="14"/>
  <c r="C219" i="14"/>
  <c r="A220" i="14"/>
  <c r="B220" i="14"/>
  <c r="C220" i="14"/>
  <c r="A221" i="14"/>
  <c r="B221" i="14"/>
  <c r="C221" i="14"/>
  <c r="A222" i="14"/>
  <c r="B222" i="14"/>
  <c r="C222" i="14"/>
  <c r="A223" i="14"/>
  <c r="B223" i="14"/>
  <c r="C223" i="14"/>
  <c r="C224" i="14"/>
  <c r="A225" i="14"/>
  <c r="B225" i="14"/>
  <c r="C225" i="14"/>
  <c r="A226" i="14"/>
  <c r="B226" i="14"/>
  <c r="C226" i="14"/>
  <c r="A228" i="14"/>
  <c r="A229" i="14"/>
  <c r="B229" i="14"/>
  <c r="C229" i="14"/>
  <c r="A230" i="14"/>
  <c r="B230" i="14"/>
  <c r="C230" i="14"/>
  <c r="A231" i="14"/>
  <c r="B231" i="14"/>
  <c r="A232" i="14"/>
  <c r="B232" i="14"/>
  <c r="A234" i="14"/>
  <c r="A235" i="14"/>
  <c r="B235" i="14"/>
  <c r="C235" i="14"/>
  <c r="A236" i="14"/>
  <c r="B236" i="14"/>
  <c r="C236" i="14"/>
  <c r="A237" i="14"/>
  <c r="B237" i="14"/>
  <c r="C237" i="14"/>
  <c r="B238" i="14"/>
  <c r="C238" i="14"/>
  <c r="A239" i="14"/>
  <c r="B239" i="14"/>
  <c r="C239" i="14"/>
  <c r="A240" i="14"/>
  <c r="B240" i="14"/>
  <c r="C240" i="14"/>
  <c r="B241" i="14"/>
  <c r="A218" i="14"/>
  <c r="D212" i="14"/>
  <c r="D213" i="14"/>
  <c r="D214" i="14"/>
  <c r="D215" i="14"/>
  <c r="D216" i="14"/>
  <c r="B210" i="14"/>
  <c r="C189" i="3"/>
  <c r="C210" i="14"/>
  <c r="B211" i="14"/>
  <c r="C211" i="14"/>
  <c r="C212" i="14"/>
  <c r="B213" i="14"/>
  <c r="C193" i="3"/>
  <c r="C213" i="14"/>
  <c r="B214" i="14"/>
  <c r="C194" i="3"/>
  <c r="C214" i="14"/>
  <c r="B215" i="14"/>
  <c r="C195" i="3"/>
  <c r="C215" i="14"/>
  <c r="B216" i="14"/>
  <c r="C216" i="14"/>
  <c r="A210" i="14"/>
  <c r="A211" i="14"/>
  <c r="A213" i="14"/>
  <c r="A214" i="14"/>
  <c r="A215" i="14"/>
  <c r="A216" i="14"/>
  <c r="A209" i="14"/>
  <c r="C183" i="14"/>
  <c r="C184" i="14"/>
  <c r="C185" i="14"/>
  <c r="C189" i="14"/>
  <c r="C190" i="14"/>
  <c r="C191" i="14"/>
  <c r="C192" i="14"/>
  <c r="C193" i="14"/>
  <c r="C194" i="14"/>
  <c r="C195" i="14"/>
  <c r="C197" i="14"/>
  <c r="C199" i="14"/>
  <c r="C201" i="14"/>
  <c r="C203" i="14"/>
  <c r="C204" i="14"/>
  <c r="C205" i="14"/>
  <c r="C206" i="14"/>
  <c r="C181" i="14"/>
  <c r="B182" i="14"/>
  <c r="B183" i="14"/>
  <c r="B184" i="14"/>
  <c r="B191" i="14"/>
  <c r="B192" i="14"/>
  <c r="B204" i="14"/>
  <c r="B205" i="14"/>
  <c r="B206" i="14"/>
  <c r="B181" i="14"/>
  <c r="A182" i="14"/>
  <c r="A183" i="14"/>
  <c r="A184" i="14"/>
  <c r="A189" i="14"/>
  <c r="A190" i="14"/>
  <c r="A191" i="14"/>
  <c r="A192" i="14"/>
  <c r="A193" i="14"/>
  <c r="A194" i="14"/>
  <c r="A195" i="14"/>
  <c r="A197" i="14"/>
  <c r="A199" i="14"/>
  <c r="A201" i="14"/>
  <c r="A203" i="14"/>
  <c r="A204" i="14"/>
  <c r="A205" i="14"/>
  <c r="A206" i="14"/>
  <c r="A181" i="14"/>
  <c r="C167" i="14"/>
  <c r="C157" i="14"/>
  <c r="C158" i="14"/>
  <c r="C159" i="14"/>
  <c r="C160" i="14"/>
  <c r="C161" i="14"/>
  <c r="C162" i="14"/>
  <c r="C163" i="14"/>
  <c r="C156" i="14"/>
  <c r="Q20" i="15"/>
  <c r="R12" i="15"/>
  <c r="R13" i="15"/>
  <c r="R14" i="15"/>
  <c r="R15" i="15"/>
  <c r="R16" i="15"/>
  <c r="R17" i="15"/>
  <c r="R18" i="15"/>
  <c r="R19" i="15"/>
  <c r="R20" i="15"/>
  <c r="R11" i="15"/>
  <c r="Q86" i="14"/>
  <c r="I80" i="14"/>
  <c r="E63" i="14"/>
  <c r="B48" i="14"/>
  <c r="C48" i="14"/>
  <c r="D48" i="14"/>
  <c r="E48" i="14"/>
  <c r="M35" i="15"/>
  <c r="M37" i="15"/>
  <c r="M36" i="15"/>
  <c r="G27" i="15"/>
  <c r="G5" i="15"/>
  <c r="G4" i="15"/>
  <c r="G3" i="15"/>
  <c r="G2" i="15"/>
  <c r="G6" i="15"/>
  <c r="G7" i="15"/>
  <c r="G8" i="15"/>
  <c r="G9" i="15"/>
  <c r="G10" i="15"/>
  <c r="G13" i="15"/>
  <c r="G14" i="15"/>
  <c r="G15" i="15"/>
  <c r="G16" i="15"/>
  <c r="G17" i="15"/>
  <c r="G21" i="15"/>
  <c r="G23" i="15"/>
  <c r="G24" i="15"/>
  <c r="G25" i="15"/>
  <c r="G29" i="15"/>
  <c r="G33" i="15"/>
  <c r="G34" i="15"/>
  <c r="G35" i="15"/>
  <c r="G36" i="15"/>
  <c r="G37" i="15"/>
  <c r="G38" i="15"/>
  <c r="G40" i="15"/>
  <c r="G42" i="15"/>
  <c r="G22" i="15"/>
  <c r="G18" i="15"/>
  <c r="I39" i="15"/>
  <c r="I40" i="15"/>
  <c r="I41" i="15"/>
  <c r="I42" i="15"/>
  <c r="I34" i="15"/>
  <c r="I24" i="15"/>
  <c r="I25" i="15"/>
  <c r="I26" i="15"/>
  <c r="I27" i="15"/>
  <c r="I38" i="15"/>
  <c r="I33" i="15"/>
  <c r="I31" i="15"/>
  <c r="I29" i="15"/>
  <c r="I23" i="15"/>
  <c r="I21" i="15"/>
  <c r="I19" i="15"/>
  <c r="I16" i="15"/>
  <c r="I17" i="15"/>
  <c r="I15" i="15"/>
  <c r="I10" i="15"/>
  <c r="I3" i="15"/>
  <c r="I4" i="15"/>
  <c r="I5" i="15"/>
  <c r="I6" i="15"/>
  <c r="I7" i="15"/>
  <c r="I8" i="15"/>
  <c r="I9" i="15"/>
  <c r="I2" i="15"/>
  <c r="I36" i="15"/>
  <c r="I37" i="15"/>
  <c r="I35" i="15"/>
  <c r="L44" i="15"/>
  <c r="L43" i="15"/>
  <c r="E43" i="15"/>
  <c r="M87" i="14"/>
  <c r="M88" i="14"/>
  <c r="M89" i="14"/>
  <c r="M90" i="14"/>
  <c r="M91" i="14"/>
  <c r="M92" i="14"/>
  <c r="M93" i="14"/>
  <c r="L80" i="14"/>
  <c r="M80" i="14"/>
  <c r="N80" i="14"/>
  <c r="O80" i="14"/>
  <c r="P80" i="14"/>
  <c r="D110" i="14"/>
  <c r="E110" i="14"/>
  <c r="F110" i="14"/>
  <c r="O87" i="14"/>
  <c r="O88" i="14"/>
  <c r="O89" i="14"/>
  <c r="O90" i="14"/>
  <c r="O91" i="14"/>
  <c r="O92" i="14"/>
  <c r="O93" i="14"/>
  <c r="N87" i="14"/>
  <c r="N88" i="14"/>
  <c r="N89" i="14"/>
  <c r="N90" i="14"/>
  <c r="N91" i="14"/>
  <c r="N92" i="14"/>
  <c r="N93" i="14"/>
  <c r="F115" i="14"/>
  <c r="G115" i="14"/>
  <c r="F116" i="14"/>
  <c r="G116" i="14"/>
  <c r="F117" i="14"/>
  <c r="G117" i="14"/>
  <c r="F118" i="14"/>
  <c r="G118" i="14"/>
  <c r="F119" i="14"/>
  <c r="G119" i="14"/>
  <c r="F120" i="14"/>
  <c r="G120" i="14"/>
  <c r="F121" i="14"/>
  <c r="G121" i="14"/>
  <c r="F122" i="14"/>
  <c r="G122" i="14"/>
  <c r="F114" i="14"/>
  <c r="G114" i="14"/>
  <c r="L96" i="14"/>
  <c r="M95" i="14"/>
  <c r="G43" i="15"/>
  <c r="N95" i="14"/>
  <c r="N96" i="14"/>
  <c r="O95" i="14"/>
  <c r="O96" i="14"/>
  <c r="Q87" i="14"/>
  <c r="Q89" i="14"/>
  <c r="Q91" i="14"/>
  <c r="Q93" i="14"/>
  <c r="Q88" i="14"/>
  <c r="Q90" i="14"/>
  <c r="Q92" i="14"/>
  <c r="Q94" i="14"/>
  <c r="B23" i="14"/>
  <c r="C23" i="14"/>
  <c r="D23" i="14"/>
  <c r="F23" i="14"/>
  <c r="B25" i="14"/>
  <c r="C25" i="14"/>
  <c r="D25" i="14"/>
  <c r="F25" i="14"/>
  <c r="B27" i="14"/>
  <c r="C27" i="14"/>
  <c r="D27" i="14"/>
  <c r="F27" i="14"/>
  <c r="A34" i="14"/>
  <c r="A9" i="14"/>
  <c r="A21" i="14"/>
  <c r="A73" i="5" a="1"/>
  <c r="A74" i="5"/>
  <c r="C67" i="5" a="1"/>
  <c r="F67" i="5"/>
  <c r="C66" i="5" a="1"/>
  <c r="C66" i="5"/>
  <c r="C65" i="5" a="1"/>
  <c r="C65" i="5"/>
  <c r="C231" i="14"/>
  <c r="C232" i="14"/>
  <c r="BN67" i="5"/>
  <c r="AH67" i="5"/>
  <c r="CD67" i="5"/>
  <c r="AX67" i="5"/>
  <c r="R67" i="5"/>
  <c r="CD65" i="5"/>
  <c r="BV65" i="5"/>
  <c r="BN65" i="5"/>
  <c r="BF65" i="5"/>
  <c r="AX65" i="5"/>
  <c r="AP65" i="5"/>
  <c r="AH65" i="5"/>
  <c r="Z65" i="5"/>
  <c r="R65" i="5"/>
  <c r="J65" i="5"/>
  <c r="CH65" i="5"/>
  <c r="BZ65" i="5"/>
  <c r="BR65" i="5"/>
  <c r="BJ65" i="5"/>
  <c r="BB65" i="5"/>
  <c r="AT65" i="5"/>
  <c r="AL65" i="5"/>
  <c r="AD65" i="5"/>
  <c r="V65" i="5"/>
  <c r="N65" i="5"/>
  <c r="F65" i="5"/>
  <c r="CJ65" i="5"/>
  <c r="CF65" i="5"/>
  <c r="CB65" i="5"/>
  <c r="BX65" i="5"/>
  <c r="BT65" i="5"/>
  <c r="BP65" i="5"/>
  <c r="BL65" i="5"/>
  <c r="BH65" i="5"/>
  <c r="BD65" i="5"/>
  <c r="AZ65" i="5"/>
  <c r="AV65" i="5"/>
  <c r="AR65" i="5"/>
  <c r="AN65" i="5"/>
  <c r="AJ65" i="5"/>
  <c r="AF65" i="5"/>
  <c r="AB65" i="5"/>
  <c r="X65" i="5"/>
  <c r="T65" i="5"/>
  <c r="P65" i="5"/>
  <c r="L65" i="5"/>
  <c r="H65" i="5"/>
  <c r="D65" i="5"/>
  <c r="BV67" i="5"/>
  <c r="BF67" i="5"/>
  <c r="AP67" i="5"/>
  <c r="Z67" i="5"/>
  <c r="J67" i="5"/>
  <c r="A88" i="5"/>
  <c r="A104" i="5"/>
  <c r="CH67" i="5"/>
  <c r="BZ67" i="5"/>
  <c r="BR67" i="5"/>
  <c r="BJ67" i="5"/>
  <c r="BB67" i="5"/>
  <c r="AT67" i="5"/>
  <c r="AL67" i="5"/>
  <c r="AD67" i="5"/>
  <c r="V67" i="5"/>
  <c r="N67" i="5"/>
  <c r="A112" i="5"/>
  <c r="A96" i="5"/>
  <c r="A80" i="5"/>
  <c r="CI65" i="5"/>
  <c r="CG65" i="5"/>
  <c r="CE65" i="5"/>
  <c r="CC65" i="5"/>
  <c r="CA65" i="5"/>
  <c r="BY65" i="5"/>
  <c r="BW65" i="5"/>
  <c r="BU65" i="5"/>
  <c r="BS65" i="5"/>
  <c r="BQ65" i="5"/>
  <c r="BO65" i="5"/>
  <c r="BM65" i="5"/>
  <c r="BK65" i="5"/>
  <c r="BI65" i="5"/>
  <c r="BG65" i="5"/>
  <c r="BE65" i="5"/>
  <c r="BC65" i="5"/>
  <c r="BA65" i="5"/>
  <c r="AY65" i="5"/>
  <c r="AW65" i="5"/>
  <c r="AU65" i="5"/>
  <c r="AS65" i="5"/>
  <c r="AQ65" i="5"/>
  <c r="AO65" i="5"/>
  <c r="AM65" i="5"/>
  <c r="AK65" i="5"/>
  <c r="AI65" i="5"/>
  <c r="AG65" i="5"/>
  <c r="AE65" i="5"/>
  <c r="AC65" i="5"/>
  <c r="AA65" i="5"/>
  <c r="Y65" i="5"/>
  <c r="W65" i="5"/>
  <c r="U65" i="5"/>
  <c r="S65" i="5"/>
  <c r="Q65" i="5"/>
  <c r="O65" i="5"/>
  <c r="M65" i="5"/>
  <c r="K65" i="5"/>
  <c r="I65" i="5"/>
  <c r="G65" i="5"/>
  <c r="E65" i="5"/>
  <c r="A108" i="5"/>
  <c r="A100" i="5"/>
  <c r="A92" i="5"/>
  <c r="A84" i="5"/>
  <c r="A76" i="5"/>
  <c r="CH66" i="5"/>
  <c r="CD66" i="5"/>
  <c r="BZ66" i="5"/>
  <c r="BV66" i="5"/>
  <c r="BR66" i="5"/>
  <c r="BN66" i="5"/>
  <c r="BJ66" i="5"/>
  <c r="BF66" i="5"/>
  <c r="BB66" i="5"/>
  <c r="AX66" i="5"/>
  <c r="AT66" i="5"/>
  <c r="AP66" i="5"/>
  <c r="AL66" i="5"/>
  <c r="AH66" i="5"/>
  <c r="AD66" i="5"/>
  <c r="Z66" i="5"/>
  <c r="V66" i="5"/>
  <c r="R66" i="5"/>
  <c r="N66" i="5"/>
  <c r="J66" i="5"/>
  <c r="F66" i="5"/>
  <c r="CJ66" i="5"/>
  <c r="CF66" i="5"/>
  <c r="CB66" i="5"/>
  <c r="BX66" i="5"/>
  <c r="BT66" i="5"/>
  <c r="BP66" i="5"/>
  <c r="BL66" i="5"/>
  <c r="BH66" i="5"/>
  <c r="BD66" i="5"/>
  <c r="AZ66" i="5"/>
  <c r="AV66" i="5"/>
  <c r="AR66" i="5"/>
  <c r="AN66" i="5"/>
  <c r="AJ66" i="5"/>
  <c r="AF66" i="5"/>
  <c r="AB66" i="5"/>
  <c r="X66" i="5"/>
  <c r="T66" i="5"/>
  <c r="P66" i="5"/>
  <c r="L66" i="5"/>
  <c r="H66" i="5"/>
  <c r="D66" i="5"/>
  <c r="A110" i="5"/>
  <c r="A106" i="5"/>
  <c r="A102" i="5"/>
  <c r="A98" i="5"/>
  <c r="A94" i="5"/>
  <c r="A90" i="5"/>
  <c r="A86" i="5"/>
  <c r="A82" i="5"/>
  <c r="A78" i="5"/>
  <c r="C67" i="5"/>
  <c r="E67" i="5"/>
  <c r="G67" i="5"/>
  <c r="I67" i="5"/>
  <c r="K67" i="5"/>
  <c r="M67" i="5"/>
  <c r="O67" i="5"/>
  <c r="Q67" i="5"/>
  <c r="S67" i="5"/>
  <c r="U67" i="5"/>
  <c r="W67" i="5"/>
  <c r="Y67" i="5"/>
  <c r="AA67" i="5"/>
  <c r="AC67" i="5"/>
  <c r="AE67" i="5"/>
  <c r="AG67" i="5"/>
  <c r="AI67" i="5"/>
  <c r="AK67" i="5"/>
  <c r="AM67" i="5"/>
  <c r="AO67" i="5"/>
  <c r="AQ67" i="5"/>
  <c r="AS67" i="5"/>
  <c r="AU67" i="5"/>
  <c r="AW67" i="5"/>
  <c r="AY67" i="5"/>
  <c r="BA67" i="5"/>
  <c r="BC67" i="5"/>
  <c r="BE67" i="5"/>
  <c r="BG67" i="5"/>
  <c r="BI67" i="5"/>
  <c r="BK67" i="5"/>
  <c r="BM67" i="5"/>
  <c r="BO67" i="5"/>
  <c r="BQ67" i="5"/>
  <c r="BS67" i="5"/>
  <c r="BU67" i="5"/>
  <c r="BW67" i="5"/>
  <c r="BY67" i="5"/>
  <c r="CA67" i="5"/>
  <c r="CC67" i="5"/>
  <c r="CE67" i="5"/>
  <c r="CG67" i="5"/>
  <c r="CI67" i="5"/>
  <c r="CI66" i="5"/>
  <c r="CG66" i="5"/>
  <c r="CE66" i="5"/>
  <c r="CC66" i="5"/>
  <c r="CA66" i="5"/>
  <c r="BY66" i="5"/>
  <c r="BW66" i="5"/>
  <c r="BU66" i="5"/>
  <c r="BS66" i="5"/>
  <c r="BQ66" i="5"/>
  <c r="BO66" i="5"/>
  <c r="BM66" i="5"/>
  <c r="BK66" i="5"/>
  <c r="BI66" i="5"/>
  <c r="BG66" i="5"/>
  <c r="BE66" i="5"/>
  <c r="BC66" i="5"/>
  <c r="BA66" i="5"/>
  <c r="AY66" i="5"/>
  <c r="AW66" i="5"/>
  <c r="AU66" i="5"/>
  <c r="AS66" i="5"/>
  <c r="AQ66" i="5"/>
  <c r="AO66" i="5"/>
  <c r="AM66" i="5"/>
  <c r="AK66" i="5"/>
  <c r="AI66" i="5"/>
  <c r="AG66" i="5"/>
  <c r="AE66" i="5"/>
  <c r="AC66" i="5"/>
  <c r="AA66" i="5"/>
  <c r="Y66" i="5"/>
  <c r="W66" i="5"/>
  <c r="U66" i="5"/>
  <c r="S66" i="5"/>
  <c r="Q66" i="5"/>
  <c r="O66" i="5"/>
  <c r="M66" i="5"/>
  <c r="K66" i="5"/>
  <c r="I66" i="5"/>
  <c r="G66" i="5"/>
  <c r="E66" i="5"/>
  <c r="CJ67" i="5"/>
  <c r="CF67" i="5"/>
  <c r="CB67" i="5"/>
  <c r="BX67" i="5"/>
  <c r="BT67" i="5"/>
  <c r="BP67" i="5"/>
  <c r="BL67" i="5"/>
  <c r="BH67" i="5"/>
  <c r="BD67" i="5"/>
  <c r="AZ67" i="5"/>
  <c r="AV67" i="5"/>
  <c r="AR67" i="5"/>
  <c r="AN67" i="5"/>
  <c r="AJ67" i="5"/>
  <c r="AF67" i="5"/>
  <c r="AB67" i="5"/>
  <c r="X67" i="5"/>
  <c r="T67" i="5"/>
  <c r="P67" i="5"/>
  <c r="L67" i="5"/>
  <c r="H67" i="5"/>
  <c r="D67" i="5"/>
  <c r="A73" i="5"/>
  <c r="A75" i="5"/>
  <c r="A77" i="5"/>
  <c r="A79" i="5"/>
  <c r="A81" i="5"/>
  <c r="A83" i="5"/>
  <c r="A85" i="5"/>
  <c r="A87" i="5"/>
  <c r="A89" i="5"/>
  <c r="A91" i="5"/>
  <c r="A93" i="5"/>
  <c r="A95" i="5"/>
  <c r="A97" i="5"/>
  <c r="A99" i="5"/>
  <c r="A101" i="5"/>
  <c r="A103" i="5"/>
  <c r="A105" i="5"/>
  <c r="A107" i="5"/>
  <c r="A109" i="5"/>
  <c r="A111" i="5"/>
  <c r="A113" i="5"/>
  <c r="A108" i="14"/>
  <c r="A104" i="14"/>
  <c r="A105" i="14"/>
  <c r="A106" i="14"/>
  <c r="A107" i="14"/>
  <c r="A98" i="14"/>
  <c r="A100" i="14"/>
  <c r="A102" i="14"/>
  <c r="A85" i="14"/>
  <c r="A90" i="14"/>
  <c r="A91" i="14"/>
  <c r="A92" i="14"/>
  <c r="A93" i="14"/>
  <c r="A94" i="14"/>
  <c r="A95" i="14"/>
  <c r="A96" i="14"/>
  <c r="A84" i="14"/>
  <c r="B20" i="14"/>
  <c r="D43" i="14"/>
  <c r="D44" i="14"/>
  <c r="D45" i="14"/>
  <c r="D46" i="14"/>
  <c r="D4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42" i="14"/>
  <c r="D80" i="14"/>
  <c r="B43" i="14"/>
  <c r="C43" i="14"/>
  <c r="E43" i="14"/>
  <c r="B44" i="14"/>
  <c r="C44" i="14"/>
  <c r="E44" i="14"/>
  <c r="B45" i="14"/>
  <c r="C45" i="14"/>
  <c r="E45" i="14"/>
  <c r="B46" i="14"/>
  <c r="C46" i="14"/>
  <c r="E46" i="14"/>
  <c r="B47" i="14"/>
  <c r="C47" i="14"/>
  <c r="E47" i="14"/>
  <c r="B49" i="14"/>
  <c r="C49" i="14"/>
  <c r="E49" i="14"/>
  <c r="B50" i="14"/>
  <c r="C50" i="14"/>
  <c r="E50" i="14"/>
  <c r="B51" i="14"/>
  <c r="C51" i="14"/>
  <c r="E51" i="14"/>
  <c r="B52" i="14"/>
  <c r="C52" i="14"/>
  <c r="E52" i="14"/>
  <c r="B53" i="14"/>
  <c r="C53" i="14"/>
  <c r="E53" i="14"/>
  <c r="B54" i="14"/>
  <c r="C54" i="14"/>
  <c r="E54" i="14"/>
  <c r="B55" i="14"/>
  <c r="C55" i="14"/>
  <c r="E55" i="14"/>
  <c r="B56" i="14"/>
  <c r="E56" i="14"/>
  <c r="B57" i="14"/>
  <c r="C57" i="14"/>
  <c r="E57" i="14"/>
  <c r="C58" i="14"/>
  <c r="E58" i="14"/>
  <c r="B59" i="14"/>
  <c r="C59" i="14"/>
  <c r="E59" i="14"/>
  <c r="C60" i="14"/>
  <c r="E60" i="14"/>
  <c r="B61" i="14"/>
  <c r="E61" i="14"/>
  <c r="B62" i="14"/>
  <c r="E62" i="14"/>
  <c r="B63" i="14"/>
  <c r="C63" i="14"/>
  <c r="C64" i="14"/>
  <c r="B65" i="14"/>
  <c r="C65" i="14"/>
  <c r="E65" i="14"/>
  <c r="B66" i="14"/>
  <c r="C66" i="14"/>
  <c r="E66" i="14"/>
  <c r="B67" i="14"/>
  <c r="C67" i="14"/>
  <c r="E67" i="14"/>
  <c r="B68" i="14"/>
  <c r="C68" i="14"/>
  <c r="E68" i="14"/>
  <c r="B69" i="14"/>
  <c r="E69" i="14"/>
  <c r="B70" i="14"/>
  <c r="E70" i="14"/>
  <c r="B71" i="14"/>
  <c r="C71" i="14"/>
  <c r="E71" i="14"/>
  <c r="C72" i="14"/>
  <c r="E72" i="14"/>
  <c r="C73" i="14"/>
  <c r="E73" i="14"/>
  <c r="C74" i="14"/>
  <c r="E74" i="14"/>
  <c r="B75" i="14"/>
  <c r="E75" i="14"/>
  <c r="B76" i="14"/>
  <c r="E76" i="14"/>
  <c r="B77" i="14"/>
  <c r="E77" i="14"/>
  <c r="B78" i="14"/>
  <c r="C78" i="14"/>
  <c r="E78" i="14"/>
  <c r="B79" i="14"/>
  <c r="E79" i="14"/>
  <c r="E42" i="14"/>
  <c r="E80" i="14"/>
  <c r="C42" i="14"/>
  <c r="B42" i="14"/>
  <c r="E33" i="14"/>
  <c r="D33" i="14"/>
  <c r="C33" i="14"/>
  <c r="B33" i="14"/>
  <c r="A36" i="14"/>
  <c r="A37" i="14"/>
  <c r="A38" i="14"/>
  <c r="A35" i="14"/>
  <c r="J21" i="14"/>
  <c r="J23" i="14"/>
  <c r="J25" i="14"/>
  <c r="J27" i="14"/>
  <c r="D21" i="14"/>
  <c r="K21" i="14"/>
  <c r="F21" i="14"/>
  <c r="K23" i="14"/>
  <c r="K25" i="14"/>
  <c r="K27" i="14"/>
  <c r="A16" i="14"/>
  <c r="A28" i="14"/>
  <c r="A14" i="14"/>
  <c r="A26" i="14"/>
  <c r="A12" i="14"/>
  <c r="A24" i="14"/>
  <c r="B21" i="14"/>
  <c r="C21" i="14"/>
  <c r="C11" i="14"/>
  <c r="D11" i="14"/>
  <c r="E11" i="14"/>
  <c r="E13" i="14"/>
  <c r="E15" i="14"/>
  <c r="B11" i="14"/>
  <c r="A10" i="14"/>
  <c r="A22" i="14"/>
  <c r="E23" i="14"/>
  <c r="G23" i="14"/>
  <c r="I23" i="14"/>
  <c r="B41" i="14" a="1"/>
  <c r="Q23" i="14"/>
  <c r="M23" i="14"/>
  <c r="N23" i="14"/>
  <c r="O23" i="14"/>
  <c r="P23" i="14"/>
  <c r="B41" i="14"/>
  <c r="B140" i="14"/>
  <c r="D41" i="14"/>
  <c r="D140" i="14"/>
  <c r="C41" i="14"/>
  <c r="C140" i="14"/>
  <c r="E41" i="14"/>
  <c r="E140" i="14"/>
  <c r="F270" i="4"/>
  <c r="E270" i="4"/>
  <c r="D270" i="4"/>
  <c r="C270" i="4"/>
  <c r="F6" i="14"/>
  <c r="D16" i="5"/>
  <c r="D109" i="3"/>
  <c r="B161" i="14"/>
  <c r="B157" i="14"/>
  <c r="C112" i="3"/>
  <c r="B9" i="3"/>
  <c r="D118" i="3"/>
  <c r="B21" i="3"/>
  <c r="B176" i="14"/>
  <c r="B22" i="3"/>
  <c r="B177" i="14"/>
  <c r="B23" i="3"/>
  <c r="B178" i="14"/>
  <c r="E140" i="3"/>
  <c r="C51" i="15"/>
  <c r="B159" i="14"/>
  <c r="B163" i="14"/>
  <c r="B162" i="14"/>
  <c r="B160" i="14"/>
  <c r="D130" i="3"/>
  <c r="C191" i="3"/>
  <c r="D198" i="3"/>
  <c r="D197" i="3"/>
  <c r="C198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183" i="3"/>
  <c r="M202" i="3"/>
  <c r="R202" i="3"/>
  <c r="D183" i="3"/>
  <c r="N202" i="3"/>
  <c r="E183" i="3"/>
  <c r="O202" i="3"/>
  <c r="F183" i="3"/>
  <c r="P202" i="3"/>
  <c r="B183" i="3"/>
  <c r="L202" i="3"/>
  <c r="Q202" i="3"/>
  <c r="C46" i="5"/>
  <c r="C58" i="5"/>
  <c r="Q155" i="3"/>
  <c r="F66" i="15"/>
  <c r="A117" i="5"/>
  <c r="B117" i="5"/>
  <c r="C117" i="5"/>
  <c r="B118" i="5"/>
  <c r="C118" i="5"/>
  <c r="B116" i="5"/>
  <c r="C116" i="5"/>
  <c r="E116" i="5"/>
  <c r="A116" i="5"/>
  <c r="C12" i="3"/>
  <c r="C13" i="3"/>
  <c r="C14" i="3"/>
  <c r="C15" i="3"/>
  <c r="C16" i="3"/>
  <c r="C17" i="3"/>
  <c r="C18" i="3"/>
  <c r="C21" i="3"/>
  <c r="C22" i="3"/>
  <c r="C23" i="3"/>
  <c r="B12" i="3"/>
  <c r="B13" i="3"/>
  <c r="B168" i="14"/>
  <c r="B14" i="3"/>
  <c r="B169" i="14"/>
  <c r="B15" i="3"/>
  <c r="B170" i="14"/>
  <c r="B16" i="3"/>
  <c r="B171" i="14"/>
  <c r="B17" i="3"/>
  <c r="B172" i="14"/>
  <c r="B18" i="3"/>
  <c r="B173" i="14"/>
  <c r="B26" i="3"/>
  <c r="B27" i="3"/>
  <c r="B28" i="3"/>
  <c r="B29" i="3"/>
  <c r="A2" i="3"/>
  <c r="A157" i="14"/>
  <c r="A3" i="3"/>
  <c r="A158" i="14"/>
  <c r="A4" i="3"/>
  <c r="A159" i="14"/>
  <c r="A5" i="3"/>
  <c r="A160" i="14"/>
  <c r="A6" i="3"/>
  <c r="A161" i="14"/>
  <c r="A7" i="3"/>
  <c r="A162" i="14"/>
  <c r="A8" i="3"/>
  <c r="A163" i="14"/>
  <c r="A9" i="3"/>
  <c r="A164" i="14"/>
  <c r="A11" i="3"/>
  <c r="A166" i="14"/>
  <c r="A12" i="3"/>
  <c r="A167" i="14"/>
  <c r="A13" i="3"/>
  <c r="A168" i="14"/>
  <c r="A14" i="3"/>
  <c r="A169" i="14"/>
  <c r="A15" i="3"/>
  <c r="A170" i="14"/>
  <c r="A16" i="3"/>
  <c r="A171" i="14"/>
  <c r="A17" i="3"/>
  <c r="A172" i="14"/>
  <c r="A18" i="3"/>
  <c r="A173" i="14"/>
  <c r="A20" i="3"/>
  <c r="A175" i="14"/>
  <c r="A21" i="3"/>
  <c r="A176" i="14"/>
  <c r="A22" i="3"/>
  <c r="A177" i="14"/>
  <c r="A23" i="3"/>
  <c r="A178" i="14"/>
  <c r="A25" i="3"/>
  <c r="A26" i="3"/>
  <c r="A28" i="3"/>
  <c r="A29" i="3"/>
  <c r="B1" i="3"/>
  <c r="B156" i="14"/>
  <c r="C1" i="3"/>
  <c r="D170" i="3"/>
  <c r="G51" i="3"/>
  <c r="R51" i="3"/>
  <c r="S51" i="3"/>
  <c r="A269" i="4"/>
  <c r="R227" i="4"/>
  <c r="Q227" i="4"/>
  <c r="P227" i="4"/>
  <c r="O227" i="4"/>
  <c r="N227" i="4"/>
  <c r="M227" i="4"/>
  <c r="L227" i="4"/>
  <c r="K227" i="4"/>
  <c r="J227" i="4"/>
  <c r="I227" i="4"/>
  <c r="I2" i="14"/>
  <c r="H227" i="4"/>
  <c r="H2" i="14"/>
  <c r="G227" i="4"/>
  <c r="G2" i="14"/>
  <c r="F227" i="4"/>
  <c r="F2" i="14"/>
  <c r="E227" i="4"/>
  <c r="E2" i="14"/>
  <c r="D227" i="4"/>
  <c r="D2" i="14"/>
  <c r="C227" i="4"/>
  <c r="C2" i="14"/>
  <c r="B227" i="4"/>
  <c r="B2" i="14"/>
  <c r="B4" i="5"/>
  <c r="F18" i="3"/>
  <c r="F17" i="3"/>
  <c r="F16" i="3"/>
  <c r="F15" i="3"/>
  <c r="F14" i="3"/>
  <c r="F13" i="3"/>
  <c r="D8" i="3"/>
  <c r="D7" i="3"/>
  <c r="U118" i="3"/>
  <c r="V118" i="3"/>
  <c r="O122" i="3"/>
  <c r="G33" i="3"/>
  <c r="D15" i="3"/>
  <c r="C125" i="3"/>
  <c r="D131" i="3"/>
  <c r="D132" i="3"/>
  <c r="D117" i="3"/>
  <c r="Q112" i="3"/>
  <c r="U115" i="3"/>
  <c r="V115" i="3"/>
  <c r="U110" i="3"/>
  <c r="V110" i="3"/>
  <c r="U116" i="3"/>
  <c r="V116" i="3"/>
  <c r="U121" i="3"/>
  <c r="V121" i="3"/>
  <c r="U123" i="3"/>
  <c r="V123" i="3"/>
  <c r="U125" i="3"/>
  <c r="V125" i="3"/>
  <c r="U127" i="3"/>
  <c r="V127" i="3"/>
  <c r="U129" i="3"/>
  <c r="V129" i="3"/>
  <c r="U130" i="3"/>
  <c r="V130" i="3"/>
  <c r="S60" i="3"/>
  <c r="S56" i="3"/>
  <c r="S52" i="3"/>
  <c r="S47" i="3"/>
  <c r="S48" i="3"/>
  <c r="S42" i="3"/>
  <c r="S38" i="3"/>
  <c r="S59" i="3"/>
  <c r="R59" i="3"/>
  <c r="S55" i="3"/>
  <c r="R55" i="3"/>
  <c r="S46" i="3"/>
  <c r="R46" i="3"/>
  <c r="S45" i="3"/>
  <c r="R45" i="3"/>
  <c r="S41" i="3"/>
  <c r="R41" i="3"/>
  <c r="S37" i="3"/>
  <c r="R37" i="3"/>
  <c r="S34" i="3"/>
  <c r="S33" i="3"/>
  <c r="R33" i="3"/>
  <c r="D17" i="5"/>
  <c r="U119" i="3"/>
  <c r="V119" i="3"/>
  <c r="U120" i="3"/>
  <c r="V120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G60" i="3"/>
  <c r="G56" i="3"/>
  <c r="G52" i="3"/>
  <c r="G48" i="3"/>
  <c r="G47" i="3"/>
  <c r="G42" i="3"/>
  <c r="G38" i="3"/>
  <c r="G34" i="3"/>
  <c r="I126" i="3"/>
  <c r="G37" i="3"/>
  <c r="K126" i="3"/>
  <c r="G59" i="3"/>
  <c r="J120" i="3"/>
  <c r="J121" i="3"/>
  <c r="G41" i="3"/>
  <c r="G45" i="3"/>
  <c r="G46" i="3"/>
  <c r="G55" i="3"/>
  <c r="U109" i="3"/>
  <c r="V109" i="3"/>
  <c r="U117" i="3"/>
  <c r="V117" i="3"/>
  <c r="U131" i="3"/>
  <c r="V131" i="3"/>
  <c r="U132" i="3"/>
  <c r="V132" i="3"/>
  <c r="V108" i="3"/>
  <c r="U108" i="3"/>
  <c r="C15" i="14"/>
  <c r="D15" i="14"/>
  <c r="B15" i="14"/>
  <c r="C13" i="14"/>
  <c r="D13" i="14"/>
  <c r="B13" i="14"/>
  <c r="A138" i="4"/>
  <c r="J127" i="3"/>
  <c r="J125" i="3"/>
  <c r="J123" i="3"/>
  <c r="J132" i="3"/>
  <c r="J129" i="3"/>
  <c r="J130" i="3"/>
  <c r="J131" i="3"/>
  <c r="J109" i="3"/>
  <c r="J110" i="3"/>
  <c r="J115" i="3"/>
  <c r="J116" i="3"/>
  <c r="J117" i="3"/>
  <c r="I108" i="3"/>
  <c r="J108" i="3"/>
  <c r="D252" i="3"/>
  <c r="H252" i="3"/>
  <c r="L252" i="3"/>
  <c r="P252" i="3"/>
  <c r="T252" i="3"/>
  <c r="X252" i="3"/>
  <c r="AB252" i="3"/>
  <c r="AF252" i="3"/>
  <c r="AJ252" i="3"/>
  <c r="AN252" i="3"/>
  <c r="AR252" i="3"/>
  <c r="AV252" i="3"/>
  <c r="AZ252" i="3"/>
  <c r="BD252" i="3"/>
  <c r="BH252" i="3"/>
  <c r="BL252" i="3"/>
  <c r="BP252" i="3"/>
  <c r="BT252" i="3"/>
  <c r="BX252" i="3"/>
  <c r="CB252" i="3"/>
  <c r="CF252" i="3"/>
  <c r="C252" i="3"/>
  <c r="G252" i="3"/>
  <c r="K252" i="3"/>
  <c r="O252" i="3"/>
  <c r="S252" i="3"/>
  <c r="W252" i="3"/>
  <c r="AA252" i="3"/>
  <c r="AE252" i="3"/>
  <c r="AI252" i="3"/>
  <c r="AM252" i="3"/>
  <c r="AQ252" i="3"/>
  <c r="AU252" i="3"/>
  <c r="AY252" i="3"/>
  <c r="BC252" i="3"/>
  <c r="BG252" i="3"/>
  <c r="BK252" i="3"/>
  <c r="BO252" i="3"/>
  <c r="BS252" i="3"/>
  <c r="BW252" i="3"/>
  <c r="CA252" i="3"/>
  <c r="CE252" i="3"/>
  <c r="CI252" i="3"/>
  <c r="F252" i="3"/>
  <c r="J252" i="3"/>
  <c r="N252" i="3"/>
  <c r="R252" i="3"/>
  <c r="V252" i="3"/>
  <c r="Z252" i="3"/>
  <c r="AD252" i="3"/>
  <c r="AH252" i="3"/>
  <c r="AL252" i="3"/>
  <c r="AP252" i="3"/>
  <c r="AT252" i="3"/>
  <c r="AX252" i="3"/>
  <c r="BB252" i="3"/>
  <c r="BF252" i="3"/>
  <c r="BJ252" i="3"/>
  <c r="BN252" i="3"/>
  <c r="BR252" i="3"/>
  <c r="BV252" i="3"/>
  <c r="BZ252" i="3"/>
  <c r="CD252" i="3"/>
  <c r="CH252" i="3"/>
  <c r="E252" i="3"/>
  <c r="I252" i="3"/>
  <c r="M252" i="3"/>
  <c r="Q252" i="3"/>
  <c r="U252" i="3"/>
  <c r="Y252" i="3"/>
  <c r="AC252" i="3"/>
  <c r="AG252" i="3"/>
  <c r="AK252" i="3"/>
  <c r="AO252" i="3"/>
  <c r="AS252" i="3"/>
  <c r="AW252" i="3"/>
  <c r="BA252" i="3"/>
  <c r="BE252" i="3"/>
  <c r="BI252" i="3"/>
  <c r="BM252" i="3"/>
  <c r="BQ252" i="3"/>
  <c r="BU252" i="3"/>
  <c r="BY252" i="3"/>
  <c r="CC252" i="3"/>
  <c r="CG252" i="3"/>
  <c r="B252" i="3"/>
  <c r="B167" i="14"/>
  <c r="B175" i="14"/>
  <c r="C115" i="3"/>
  <c r="B158" i="14"/>
  <c r="E176" i="3"/>
  <c r="C87" i="15"/>
  <c r="C119" i="3"/>
  <c r="B164" i="14"/>
  <c r="U160" i="3"/>
  <c r="A71" i="15"/>
  <c r="A128" i="3"/>
  <c r="A103" i="14"/>
  <c r="E114" i="3"/>
  <c r="C188" i="14"/>
  <c r="E113" i="3"/>
  <c r="C187" i="14"/>
  <c r="E112" i="3"/>
  <c r="C186" i="14"/>
  <c r="A124" i="3"/>
  <c r="A99" i="14"/>
  <c r="Q122" i="3"/>
  <c r="D13" i="3"/>
  <c r="G113" i="3"/>
  <c r="D3" i="3"/>
  <c r="S168" i="3"/>
  <c r="B79" i="15"/>
  <c r="A113" i="3"/>
  <c r="A88" i="14"/>
  <c r="H122" i="3"/>
  <c r="K128" i="3"/>
  <c r="F128" i="3"/>
  <c r="R126" i="3"/>
  <c r="S126" i="3"/>
  <c r="F114" i="3"/>
  <c r="G112" i="3"/>
  <c r="U176" i="3"/>
  <c r="A87" i="15"/>
  <c r="U144" i="3"/>
  <c r="A55" i="15"/>
  <c r="S152" i="3"/>
  <c r="B63" i="15"/>
  <c r="C47" i="5"/>
  <c r="C60" i="5"/>
  <c r="C61" i="5"/>
  <c r="A122" i="3"/>
  <c r="K114" i="3"/>
  <c r="I114" i="3"/>
  <c r="K113" i="3"/>
  <c r="I113" i="3"/>
  <c r="K112" i="3"/>
  <c r="I112" i="3"/>
  <c r="K122" i="3"/>
  <c r="E124" i="3"/>
  <c r="C198" i="14"/>
  <c r="E126" i="3"/>
  <c r="C200" i="14"/>
  <c r="H128" i="3"/>
  <c r="F113" i="3"/>
  <c r="Q114" i="3"/>
  <c r="Q128" i="3"/>
  <c r="D17" i="3"/>
  <c r="J128" i="3"/>
  <c r="R128" i="3"/>
  <c r="S128" i="3"/>
  <c r="F126" i="3"/>
  <c r="G122" i="3"/>
  <c r="M122" i="3"/>
  <c r="R114" i="3"/>
  <c r="S114" i="3"/>
  <c r="O113" i="3"/>
  <c r="M112" i="3"/>
  <c r="U168" i="3"/>
  <c r="A79" i="15"/>
  <c r="U152" i="3"/>
  <c r="A63" i="15"/>
  <c r="S176" i="3"/>
  <c r="B87" i="15"/>
  <c r="S160" i="3"/>
  <c r="B71" i="15"/>
  <c r="S144" i="3"/>
  <c r="B55" i="15"/>
  <c r="D154" i="3"/>
  <c r="O170" i="3"/>
  <c r="G81" i="15"/>
  <c r="Q139" i="3"/>
  <c r="F50" i="15"/>
  <c r="E147" i="3"/>
  <c r="C58" i="15"/>
  <c r="F155" i="3"/>
  <c r="D66" i="15"/>
  <c r="E156" i="3"/>
  <c r="C67" i="15"/>
  <c r="G157" i="3"/>
  <c r="E68" i="15"/>
  <c r="E158" i="3"/>
  <c r="C69" i="15"/>
  <c r="G159" i="3"/>
  <c r="E70" i="15"/>
  <c r="E160" i="3"/>
  <c r="C71" i="15"/>
  <c r="G161" i="3"/>
  <c r="E72" i="15"/>
  <c r="E162" i="3"/>
  <c r="C73" i="15"/>
  <c r="G163" i="3"/>
  <c r="E74" i="15"/>
  <c r="E164" i="3"/>
  <c r="C75" i="15"/>
  <c r="G165" i="3"/>
  <c r="E76" i="15"/>
  <c r="E166" i="3"/>
  <c r="C77" i="15"/>
  <c r="G167" i="3"/>
  <c r="E78" i="15"/>
  <c r="E168" i="3"/>
  <c r="C79" i="15"/>
  <c r="F173" i="3"/>
  <c r="D84" i="15"/>
  <c r="Q143" i="3"/>
  <c r="F54" i="15"/>
  <c r="Q151" i="3"/>
  <c r="F62" i="15"/>
  <c r="Q159" i="3"/>
  <c r="F70" i="15"/>
  <c r="Q167" i="3"/>
  <c r="F78" i="15"/>
  <c r="O172" i="3"/>
  <c r="G83" i="15"/>
  <c r="O176" i="3"/>
  <c r="G87" i="15"/>
  <c r="D142" i="3"/>
  <c r="D150" i="3"/>
  <c r="D158" i="3"/>
  <c r="D166" i="3"/>
  <c r="D174" i="3"/>
  <c r="R111" i="3"/>
  <c r="G111" i="3"/>
  <c r="S140" i="3"/>
  <c r="B51" i="15"/>
  <c r="S146" i="3"/>
  <c r="B57" i="15"/>
  <c r="S150" i="3"/>
  <c r="B61" i="15"/>
  <c r="S154" i="3"/>
  <c r="B65" i="15"/>
  <c r="S158" i="3"/>
  <c r="B69" i="15"/>
  <c r="S162" i="3"/>
  <c r="B73" i="15"/>
  <c r="S166" i="3"/>
  <c r="B77" i="15"/>
  <c r="S170" i="3"/>
  <c r="B81" i="15"/>
  <c r="S174" i="3"/>
  <c r="B85" i="15"/>
  <c r="U138" i="3"/>
  <c r="A49" i="15"/>
  <c r="U142" i="3"/>
  <c r="A53" i="15"/>
  <c r="U146" i="3"/>
  <c r="A57" i="15"/>
  <c r="U150" i="3"/>
  <c r="A61" i="15"/>
  <c r="U154" i="3"/>
  <c r="A65" i="15"/>
  <c r="U158" i="3"/>
  <c r="A69" i="15"/>
  <c r="U162" i="3"/>
  <c r="A73" i="15"/>
  <c r="U166" i="3"/>
  <c r="A77" i="15"/>
  <c r="U170" i="3"/>
  <c r="A81" i="15"/>
  <c r="U174" i="3"/>
  <c r="A85" i="15"/>
  <c r="A112" i="3"/>
  <c r="A186" i="14"/>
  <c r="A114" i="3"/>
  <c r="A188" i="14"/>
  <c r="A126" i="3"/>
  <c r="A101" i="14"/>
  <c r="L114" i="3"/>
  <c r="J114" i="3"/>
  <c r="H114" i="3"/>
  <c r="L113" i="3"/>
  <c r="J113" i="3"/>
  <c r="H113" i="3"/>
  <c r="L112" i="3"/>
  <c r="J112" i="3"/>
  <c r="H112" i="3"/>
  <c r="L122" i="3"/>
  <c r="I122" i="3"/>
  <c r="E122" i="3"/>
  <c r="C196" i="14"/>
  <c r="J122" i="3"/>
  <c r="L126" i="3"/>
  <c r="J126" i="3"/>
  <c r="H126" i="3"/>
  <c r="L128" i="3"/>
  <c r="I128" i="3"/>
  <c r="E128" i="3"/>
  <c r="C202" i="14"/>
  <c r="F149" i="3"/>
  <c r="D60" i="15"/>
  <c r="Q113" i="3"/>
  <c r="Q126" i="3"/>
  <c r="G128" i="3"/>
  <c r="O128" i="3"/>
  <c r="M128" i="3"/>
  <c r="G126" i="3"/>
  <c r="O126" i="3"/>
  <c r="M126" i="3"/>
  <c r="F122" i="3"/>
  <c r="R122" i="3"/>
  <c r="S122" i="3"/>
  <c r="G114" i="3"/>
  <c r="O114" i="3"/>
  <c r="M114" i="3"/>
  <c r="R113" i="3"/>
  <c r="S113" i="3"/>
  <c r="O112" i="3"/>
  <c r="U172" i="3"/>
  <c r="A83" i="15"/>
  <c r="U164" i="3"/>
  <c r="A75" i="15"/>
  <c r="U156" i="3"/>
  <c r="A67" i="15"/>
  <c r="U148" i="3"/>
  <c r="A59" i="15"/>
  <c r="U140" i="3"/>
  <c r="A51" i="15"/>
  <c r="S172" i="3"/>
  <c r="B83" i="15"/>
  <c r="S164" i="3"/>
  <c r="B75" i="15"/>
  <c r="S156" i="3"/>
  <c r="B67" i="15"/>
  <c r="S148" i="3"/>
  <c r="B59" i="15"/>
  <c r="A111" i="3"/>
  <c r="A86" i="14"/>
  <c r="M111" i="3"/>
  <c r="D139" i="3"/>
  <c r="D162" i="3"/>
  <c r="D146" i="3"/>
  <c r="O174" i="3"/>
  <c r="G85" i="15"/>
  <c r="Q163" i="3"/>
  <c r="F74" i="15"/>
  <c r="Q147" i="3"/>
  <c r="F58" i="15"/>
  <c r="G170" i="3"/>
  <c r="E81" i="15"/>
  <c r="D60" i="5"/>
  <c r="E138" i="3"/>
  <c r="C49" i="15"/>
  <c r="E142" i="3"/>
  <c r="C53" i="15"/>
  <c r="F145" i="3"/>
  <c r="D56" i="15"/>
  <c r="E149" i="3"/>
  <c r="C60" i="15"/>
  <c r="E151" i="3"/>
  <c r="C62" i="15"/>
  <c r="F152" i="3"/>
  <c r="D63" i="15"/>
  <c r="F154" i="3"/>
  <c r="D65" i="15"/>
  <c r="G156" i="3"/>
  <c r="E67" i="15"/>
  <c r="E157" i="3"/>
  <c r="C68" i="15"/>
  <c r="G158" i="3"/>
  <c r="E69" i="15"/>
  <c r="E159" i="3"/>
  <c r="C70" i="15"/>
  <c r="G160" i="3"/>
  <c r="E71" i="15"/>
  <c r="E161" i="3"/>
  <c r="C72" i="15"/>
  <c r="G162" i="3"/>
  <c r="E73" i="15"/>
  <c r="E163" i="3"/>
  <c r="C74" i="15"/>
  <c r="G164" i="3"/>
  <c r="E75" i="15"/>
  <c r="E165" i="3"/>
  <c r="C76" i="15"/>
  <c r="G166" i="3"/>
  <c r="E77" i="15"/>
  <c r="E167" i="3"/>
  <c r="C78" i="15"/>
  <c r="G168" i="3"/>
  <c r="E79" i="15"/>
  <c r="E170" i="3"/>
  <c r="C81" i="15"/>
  <c r="F171" i="3"/>
  <c r="D82" i="15"/>
  <c r="G172" i="3"/>
  <c r="E83" i="15"/>
  <c r="E174" i="3"/>
  <c r="C85" i="15"/>
  <c r="F175" i="3"/>
  <c r="D86" i="15"/>
  <c r="G176" i="3"/>
  <c r="E87" i="15"/>
  <c r="Q138" i="3"/>
  <c r="F49" i="15"/>
  <c r="Q140" i="3"/>
  <c r="F51" i="15"/>
  <c r="Q142" i="3"/>
  <c r="F53" i="15"/>
  <c r="Q144" i="3"/>
  <c r="F55" i="15"/>
  <c r="Q146" i="3"/>
  <c r="F57" i="15"/>
  <c r="Q148" i="3"/>
  <c r="F59" i="15"/>
  <c r="Q150" i="3"/>
  <c r="F61" i="15"/>
  <c r="Q152" i="3"/>
  <c r="F63" i="15"/>
  <c r="Q154" i="3"/>
  <c r="F65" i="15"/>
  <c r="Q156" i="3"/>
  <c r="F67" i="15"/>
  <c r="Q158" i="3"/>
  <c r="F69" i="15"/>
  <c r="Q160" i="3"/>
  <c r="F71" i="15"/>
  <c r="Q162" i="3"/>
  <c r="F73" i="15"/>
  <c r="Q164" i="3"/>
  <c r="F75" i="15"/>
  <c r="Q166" i="3"/>
  <c r="F77" i="15"/>
  <c r="Q168" i="3"/>
  <c r="F79" i="15"/>
  <c r="Q170" i="3"/>
  <c r="F81" i="15"/>
  <c r="Q171" i="3"/>
  <c r="F82" i="15"/>
  <c r="Q172" i="3"/>
  <c r="F83" i="15"/>
  <c r="Q173" i="3"/>
  <c r="F84" i="15"/>
  <c r="Q174" i="3"/>
  <c r="F85" i="15"/>
  <c r="Q175" i="3"/>
  <c r="F86" i="15"/>
  <c r="Q176" i="3"/>
  <c r="F87" i="15"/>
  <c r="D141" i="3"/>
  <c r="D143" i="3"/>
  <c r="D145" i="3"/>
  <c r="D147" i="3"/>
  <c r="D149" i="3"/>
  <c r="D151" i="3"/>
  <c r="D153" i="3"/>
  <c r="D155" i="3"/>
  <c r="D157" i="3"/>
  <c r="D159" i="3"/>
  <c r="D161" i="3"/>
  <c r="D163" i="3"/>
  <c r="D165" i="3"/>
  <c r="D167" i="3"/>
  <c r="D169" i="3"/>
  <c r="D171" i="3"/>
  <c r="D173" i="3"/>
  <c r="D175" i="3"/>
  <c r="D138" i="3"/>
  <c r="D140" i="3"/>
  <c r="L111" i="3"/>
  <c r="O111" i="3"/>
  <c r="Q111" i="3"/>
  <c r="H111" i="3"/>
  <c r="F111" i="3"/>
  <c r="S137" i="3"/>
  <c r="B48" i="15"/>
  <c r="S139" i="3"/>
  <c r="B50" i="15"/>
  <c r="S141" i="3"/>
  <c r="B52" i="15"/>
  <c r="S143" i="3"/>
  <c r="B54" i="15"/>
  <c r="E144" i="3"/>
  <c r="C55" i="15"/>
  <c r="E150" i="3"/>
  <c r="C61" i="15"/>
  <c r="G153" i="3"/>
  <c r="E64" i="15"/>
  <c r="F169" i="3"/>
  <c r="D80" i="15"/>
  <c r="E172" i="3"/>
  <c r="C83" i="15"/>
  <c r="G174" i="3"/>
  <c r="E85" i="15"/>
  <c r="O136" i="3"/>
  <c r="G47" i="15"/>
  <c r="Q137" i="3"/>
  <c r="F48" i="15"/>
  <c r="Q141" i="3"/>
  <c r="F52" i="15"/>
  <c r="Q145" i="3"/>
  <c r="F56" i="15"/>
  <c r="Q149" i="3"/>
  <c r="F60" i="15"/>
  <c r="Q153" i="3"/>
  <c r="F64" i="15"/>
  <c r="Q157" i="3"/>
  <c r="F68" i="15"/>
  <c r="Q161" i="3"/>
  <c r="F72" i="15"/>
  <c r="Q165" i="3"/>
  <c r="F76" i="15"/>
  <c r="Q169" i="3"/>
  <c r="F80" i="15"/>
  <c r="O171" i="3"/>
  <c r="G82" i="15"/>
  <c r="O173" i="3"/>
  <c r="G84" i="15"/>
  <c r="O175" i="3"/>
  <c r="G86" i="15"/>
  <c r="D144" i="3"/>
  <c r="D148" i="3"/>
  <c r="D152" i="3"/>
  <c r="D156" i="3"/>
  <c r="D160" i="3"/>
  <c r="D164" i="3"/>
  <c r="D168" i="3"/>
  <c r="D172" i="3"/>
  <c r="D176" i="3"/>
  <c r="D137" i="3"/>
  <c r="K111" i="3"/>
  <c r="P111" i="3"/>
  <c r="I111" i="3"/>
  <c r="S138" i="3"/>
  <c r="B49" i="15"/>
  <c r="S142" i="3"/>
  <c r="B53" i="15"/>
  <c r="S145" i="3"/>
  <c r="B56" i="15"/>
  <c r="S147" i="3"/>
  <c r="B58" i="15"/>
  <c r="S149" i="3"/>
  <c r="B60" i="15"/>
  <c r="S151" i="3"/>
  <c r="B62" i="15"/>
  <c r="S153" i="3"/>
  <c r="B64" i="15"/>
  <c r="S155" i="3"/>
  <c r="B66" i="15"/>
  <c r="S157" i="3"/>
  <c r="B68" i="15"/>
  <c r="S159" i="3"/>
  <c r="B70" i="15"/>
  <c r="S161" i="3"/>
  <c r="B72" i="15"/>
  <c r="S163" i="3"/>
  <c r="B74" i="15"/>
  <c r="S165" i="3"/>
  <c r="B76" i="15"/>
  <c r="S167" i="3"/>
  <c r="B78" i="15"/>
  <c r="S169" i="3"/>
  <c r="B80" i="15"/>
  <c r="S171" i="3"/>
  <c r="B82" i="15"/>
  <c r="S173" i="3"/>
  <c r="B84" i="15"/>
  <c r="S175" i="3"/>
  <c r="B86" i="15"/>
  <c r="U137" i="3"/>
  <c r="A48" i="15"/>
  <c r="U139" i="3"/>
  <c r="A50" i="15"/>
  <c r="U141" i="3"/>
  <c r="A52" i="15"/>
  <c r="U143" i="3"/>
  <c r="A54" i="15"/>
  <c r="U145" i="3"/>
  <c r="A56" i="15"/>
  <c r="U147" i="3"/>
  <c r="A58" i="15"/>
  <c r="U149" i="3"/>
  <c r="A60" i="15"/>
  <c r="U151" i="3"/>
  <c r="A62" i="15"/>
  <c r="U153" i="3"/>
  <c r="A64" i="15"/>
  <c r="U155" i="3"/>
  <c r="A66" i="15"/>
  <c r="U157" i="3"/>
  <c r="A68" i="15"/>
  <c r="U159" i="3"/>
  <c r="A70" i="15"/>
  <c r="U161" i="3"/>
  <c r="A72" i="15"/>
  <c r="U163" i="3"/>
  <c r="A74" i="15"/>
  <c r="U165" i="3"/>
  <c r="A76" i="15"/>
  <c r="U167" i="3"/>
  <c r="A78" i="15"/>
  <c r="U169" i="3"/>
  <c r="A80" i="15"/>
  <c r="U171" i="3"/>
  <c r="A82" i="15"/>
  <c r="U173" i="3"/>
  <c r="A84" i="15"/>
  <c r="U175" i="3"/>
  <c r="A86" i="15"/>
  <c r="R112" i="3"/>
  <c r="S112" i="3"/>
  <c r="F112" i="3"/>
  <c r="M113" i="3"/>
  <c r="T113" i="3"/>
  <c r="V111" i="3"/>
  <c r="S111" i="3"/>
  <c r="J111" i="3"/>
  <c r="C127" i="3"/>
  <c r="B201" i="14"/>
  <c r="C123" i="3"/>
  <c r="D123" i="3"/>
  <c r="C126" i="3"/>
  <c r="D126" i="3"/>
  <c r="C129" i="3"/>
  <c r="D129" i="3"/>
  <c r="C111" i="3"/>
  <c r="D111" i="3"/>
  <c r="D136" i="3"/>
  <c r="E136" i="3"/>
  <c r="C47" i="15"/>
  <c r="E137" i="3"/>
  <c r="C48" i="15"/>
  <c r="E139" i="3"/>
  <c r="C50" i="15"/>
  <c r="E141" i="3"/>
  <c r="C52" i="15"/>
  <c r="E143" i="3"/>
  <c r="C54" i="15"/>
  <c r="E145" i="3"/>
  <c r="C56" i="15"/>
  <c r="E146" i="3"/>
  <c r="C57" i="15"/>
  <c r="E148" i="3"/>
  <c r="C59" i="15"/>
  <c r="G149" i="3"/>
  <c r="E60" i="15"/>
  <c r="G150" i="3"/>
  <c r="E61" i="15"/>
  <c r="F151" i="3"/>
  <c r="D62" i="15"/>
  <c r="E152" i="3"/>
  <c r="C63" i="15"/>
  <c r="E153" i="3"/>
  <c r="C64" i="15"/>
  <c r="E154" i="3"/>
  <c r="C65" i="15"/>
  <c r="E155" i="3"/>
  <c r="C66" i="15"/>
  <c r="F156" i="3"/>
  <c r="D67" i="15"/>
  <c r="F157" i="3"/>
  <c r="D68" i="15"/>
  <c r="F158" i="3"/>
  <c r="D69" i="15"/>
  <c r="F159" i="3"/>
  <c r="D70" i="15"/>
  <c r="F160" i="3"/>
  <c r="D71" i="15"/>
  <c r="F161" i="3"/>
  <c r="D72" i="15"/>
  <c r="F162" i="3"/>
  <c r="D73" i="15"/>
  <c r="F163" i="3"/>
  <c r="D74" i="15"/>
  <c r="F164" i="3"/>
  <c r="D75" i="15"/>
  <c r="F165" i="3"/>
  <c r="D76" i="15"/>
  <c r="F166" i="3"/>
  <c r="D77" i="15"/>
  <c r="F167" i="3"/>
  <c r="D78" i="15"/>
  <c r="F168" i="3"/>
  <c r="D79" i="15"/>
  <c r="E169" i="3"/>
  <c r="C80" i="15"/>
  <c r="G169" i="3"/>
  <c r="E80" i="15"/>
  <c r="F170" i="3"/>
  <c r="D81" i="15"/>
  <c r="E171" i="3"/>
  <c r="C82" i="15"/>
  <c r="G171" i="3"/>
  <c r="E82" i="15"/>
  <c r="F172" i="3"/>
  <c r="D83" i="15"/>
  <c r="E173" i="3"/>
  <c r="C84" i="15"/>
  <c r="G173" i="3"/>
  <c r="E84" i="15"/>
  <c r="F174" i="3"/>
  <c r="D85" i="15"/>
  <c r="E175" i="3"/>
  <c r="C86" i="15"/>
  <c r="G175" i="3"/>
  <c r="E86" i="15"/>
  <c r="F176" i="3"/>
  <c r="D87" i="15"/>
  <c r="O137" i="3"/>
  <c r="G48" i="15"/>
  <c r="O138" i="3"/>
  <c r="G49" i="15"/>
  <c r="O139" i="3"/>
  <c r="G50" i="15"/>
  <c r="O140" i="3"/>
  <c r="G51" i="15"/>
  <c r="O141" i="3"/>
  <c r="G52" i="15"/>
  <c r="O142" i="3"/>
  <c r="G53" i="15"/>
  <c r="O143" i="3"/>
  <c r="G54" i="15"/>
  <c r="O144" i="3"/>
  <c r="G55" i="15"/>
  <c r="O145" i="3"/>
  <c r="G56" i="15"/>
  <c r="O146" i="3"/>
  <c r="G57" i="15"/>
  <c r="O147" i="3"/>
  <c r="G58" i="15"/>
  <c r="O148" i="3"/>
  <c r="G59" i="15"/>
  <c r="O149" i="3"/>
  <c r="G60" i="15"/>
  <c r="O150" i="3"/>
  <c r="G61" i="15"/>
  <c r="O151" i="3"/>
  <c r="G62" i="15"/>
  <c r="O152" i="3"/>
  <c r="G63" i="15"/>
  <c r="O153" i="3"/>
  <c r="G64" i="15"/>
  <c r="O154" i="3"/>
  <c r="G65" i="15"/>
  <c r="O155" i="3"/>
  <c r="G66" i="15"/>
  <c r="O156" i="3"/>
  <c r="G67" i="15"/>
  <c r="O157" i="3"/>
  <c r="G68" i="15"/>
  <c r="O158" i="3"/>
  <c r="G69" i="15"/>
  <c r="O159" i="3"/>
  <c r="G70" i="15"/>
  <c r="O160" i="3"/>
  <c r="G71" i="15"/>
  <c r="O161" i="3"/>
  <c r="G72" i="15"/>
  <c r="O162" i="3"/>
  <c r="G73" i="15"/>
  <c r="O163" i="3"/>
  <c r="G74" i="15"/>
  <c r="O164" i="3"/>
  <c r="G75" i="15"/>
  <c r="O165" i="3"/>
  <c r="G76" i="15"/>
  <c r="O166" i="3"/>
  <c r="G77" i="15"/>
  <c r="O167" i="3"/>
  <c r="G78" i="15"/>
  <c r="O168" i="3"/>
  <c r="G79" i="15"/>
  <c r="O169" i="3"/>
  <c r="G80" i="15"/>
  <c r="C121" i="3"/>
  <c r="B195" i="14"/>
  <c r="C122" i="3"/>
  <c r="D122" i="3"/>
  <c r="A187" i="14"/>
  <c r="A97" i="14"/>
  <c r="A196" i="14"/>
  <c r="A202" i="14"/>
  <c r="A198" i="14"/>
  <c r="D127" i="3"/>
  <c r="A185" i="14"/>
  <c r="A89" i="14"/>
  <c r="D125" i="3"/>
  <c r="B199" i="14"/>
  <c r="B193" i="14"/>
  <c r="D112" i="3"/>
  <c r="B186" i="14"/>
  <c r="D115" i="3"/>
  <c r="B189" i="14"/>
  <c r="C241" i="14"/>
  <c r="E25" i="14"/>
  <c r="E27" i="14"/>
  <c r="C76" i="14"/>
  <c r="T111" i="3"/>
  <c r="C197" i="3"/>
  <c r="G155" i="3"/>
  <c r="E66" i="15"/>
  <c r="G154" i="3"/>
  <c r="E65" i="15"/>
  <c r="F153" i="3"/>
  <c r="D64" i="15"/>
  <c r="G152" i="3"/>
  <c r="E63" i="15"/>
  <c r="G151" i="3"/>
  <c r="E62" i="15"/>
  <c r="F150" i="3"/>
  <c r="D61" i="15"/>
  <c r="G148" i="3"/>
  <c r="E59" i="15"/>
  <c r="F140" i="3"/>
  <c r="D51" i="15"/>
  <c r="C79" i="14"/>
  <c r="C62" i="14"/>
  <c r="C199" i="3"/>
  <c r="D199" i="3"/>
  <c r="C75" i="14"/>
  <c r="C61" i="14"/>
  <c r="F148" i="3"/>
  <c r="D59" i="15"/>
  <c r="G147" i="3"/>
  <c r="E58" i="15"/>
  <c r="F146" i="3"/>
  <c r="D57" i="15"/>
  <c r="F144" i="3"/>
  <c r="D55" i="15"/>
  <c r="F143" i="3"/>
  <c r="D54" i="15"/>
  <c r="F142" i="3"/>
  <c r="D53" i="15"/>
  <c r="F138" i="3"/>
  <c r="D49" i="15"/>
  <c r="C77" i="14"/>
  <c r="C70" i="14"/>
  <c r="C69" i="14"/>
  <c r="C56" i="14"/>
  <c r="C80" i="14"/>
  <c r="C128" i="3"/>
  <c r="F147" i="3"/>
  <c r="D58" i="15"/>
  <c r="G146" i="3"/>
  <c r="E57" i="15"/>
  <c r="G145" i="3"/>
  <c r="E56" i="15"/>
  <c r="G144" i="3"/>
  <c r="E55" i="15"/>
  <c r="G143" i="3"/>
  <c r="E54" i="15"/>
  <c r="G142" i="3"/>
  <c r="E53" i="15"/>
  <c r="F141" i="3"/>
  <c r="D52" i="15"/>
  <c r="F139" i="3"/>
  <c r="D50" i="15"/>
  <c r="F137" i="3"/>
  <c r="D48" i="15"/>
  <c r="C124" i="3"/>
  <c r="G124" i="3"/>
  <c r="I124" i="3"/>
  <c r="K124" i="3"/>
  <c r="M124" i="3"/>
  <c r="P124" i="3"/>
  <c r="R124" i="3"/>
  <c r="T124" i="3"/>
  <c r="V124" i="3"/>
  <c r="H124" i="3"/>
  <c r="J124" i="3"/>
  <c r="L124" i="3"/>
  <c r="O124" i="3"/>
  <c r="Q124" i="3"/>
  <c r="S124" i="3"/>
  <c r="F124" i="3"/>
  <c r="V112" i="3"/>
  <c r="D18" i="3"/>
  <c r="D16" i="3"/>
  <c r="D14" i="3"/>
  <c r="D4" i="3"/>
  <c r="D5" i="3"/>
  <c r="D2" i="3"/>
  <c r="D6" i="3"/>
  <c r="U136" i="3"/>
  <c r="A47" i="15"/>
  <c r="G141" i="3"/>
  <c r="E52" i="15"/>
  <c r="G140" i="3"/>
  <c r="E51" i="15"/>
  <c r="G139" i="3"/>
  <c r="E50" i="15"/>
  <c r="G138" i="3"/>
  <c r="E49" i="15"/>
  <c r="G137" i="3"/>
  <c r="E48" i="15"/>
  <c r="C120" i="3"/>
  <c r="S136" i="3"/>
  <c r="B47" i="15"/>
  <c r="Q136" i="3"/>
  <c r="F47" i="15"/>
  <c r="G136" i="3"/>
  <c r="E47" i="15"/>
  <c r="C114" i="3"/>
  <c r="C116" i="3"/>
  <c r="F136" i="3"/>
  <c r="D47" i="15"/>
  <c r="C113" i="3"/>
  <c r="J205" i="3"/>
  <c r="J207" i="3"/>
  <c r="J209" i="3"/>
  <c r="J211" i="3"/>
  <c r="J213" i="3"/>
  <c r="J215" i="3"/>
  <c r="J217" i="3"/>
  <c r="J219" i="3"/>
  <c r="J221" i="3"/>
  <c r="J223" i="3"/>
  <c r="J225" i="3"/>
  <c r="J227" i="3"/>
  <c r="J229" i="3"/>
  <c r="J231" i="3"/>
  <c r="J233" i="3"/>
  <c r="J237" i="3"/>
  <c r="J241" i="3"/>
  <c r="J204" i="3"/>
  <c r="J206" i="3"/>
  <c r="J208" i="3"/>
  <c r="J210" i="3"/>
  <c r="J212" i="3"/>
  <c r="J214" i="3"/>
  <c r="J216" i="3"/>
  <c r="J218" i="3"/>
  <c r="J220" i="3"/>
  <c r="J222" i="3"/>
  <c r="J224" i="3"/>
  <c r="J226" i="3"/>
  <c r="J228" i="3"/>
  <c r="J230" i="3"/>
  <c r="J232" i="3"/>
  <c r="J234" i="3"/>
  <c r="J236" i="3"/>
  <c r="J238" i="3"/>
  <c r="J240" i="3"/>
  <c r="J242" i="3"/>
  <c r="J235" i="3"/>
  <c r="J239" i="3"/>
  <c r="J243" i="3"/>
  <c r="V114" i="3"/>
  <c r="B200" i="14"/>
  <c r="A200" i="14"/>
  <c r="A87" i="14"/>
  <c r="B197" i="14"/>
  <c r="B185" i="14"/>
  <c r="T126" i="3"/>
  <c r="V128" i="3"/>
  <c r="V126" i="3"/>
  <c r="T114" i="3"/>
  <c r="T128" i="3"/>
  <c r="B203" i="14"/>
  <c r="D121" i="3"/>
  <c r="D113" i="3"/>
  <c r="T112" i="3"/>
  <c r="V122" i="3"/>
  <c r="V113" i="3"/>
  <c r="B135" i="3" a="1"/>
  <c r="B135" i="3"/>
  <c r="C138" i="4" a="1"/>
  <c r="Y138" i="4"/>
  <c r="T122" i="3"/>
  <c r="B196" i="14"/>
  <c r="N138" i="4"/>
  <c r="D114" i="3"/>
  <c r="B188" i="14"/>
  <c r="B194" i="14"/>
  <c r="D128" i="3"/>
  <c r="B202" i="14"/>
  <c r="B187" i="14"/>
  <c r="D116" i="3"/>
  <c r="B190" i="14"/>
  <c r="D124" i="3"/>
  <c r="B198" i="14"/>
  <c r="G27" i="14"/>
  <c r="I27" i="14"/>
  <c r="G25" i="14"/>
  <c r="J244" i="3" a="1"/>
  <c r="I138" i="4"/>
  <c r="W138" i="4"/>
  <c r="D138" i="4"/>
  <c r="E138" i="4"/>
  <c r="J138" i="4"/>
  <c r="O138" i="4"/>
  <c r="M138" i="4"/>
  <c r="F138" i="4"/>
  <c r="R138" i="4"/>
  <c r="G138" i="4"/>
  <c r="T138" i="4"/>
  <c r="M135" i="3"/>
  <c r="D135" i="3"/>
  <c r="K135" i="3"/>
  <c r="R135" i="3"/>
  <c r="X135" i="3"/>
  <c r="H135" i="3"/>
  <c r="L135" i="3"/>
  <c r="T135" i="3"/>
  <c r="Y135" i="3"/>
  <c r="F135" i="3"/>
  <c r="G135" i="3"/>
  <c r="U135" i="3"/>
  <c r="A175" i="3"/>
  <c r="A42" i="4"/>
  <c r="A173" i="3"/>
  <c r="A40" i="4"/>
  <c r="A171" i="3"/>
  <c r="A38" i="4"/>
  <c r="A169" i="3"/>
  <c r="A36" i="4"/>
  <c r="A34" i="4"/>
  <c r="A167" i="3"/>
  <c r="A32" i="4"/>
  <c r="A165" i="3"/>
  <c r="A30" i="4"/>
  <c r="A163" i="3"/>
  <c r="A161" i="3"/>
  <c r="A28" i="4"/>
  <c r="A26" i="4"/>
  <c r="A159" i="3"/>
  <c r="A24" i="4"/>
  <c r="A157" i="3"/>
  <c r="A22" i="4"/>
  <c r="A155" i="3"/>
  <c r="A20" i="4"/>
  <c r="A153" i="3"/>
  <c r="A151" i="3"/>
  <c r="A18" i="4"/>
  <c r="A149" i="3"/>
  <c r="A16" i="4"/>
  <c r="A147" i="3"/>
  <c r="A14" i="4"/>
  <c r="A145" i="3"/>
  <c r="A12" i="4"/>
  <c r="A10" i="4"/>
  <c r="A143" i="3"/>
  <c r="A8" i="4"/>
  <c r="A141" i="3"/>
  <c r="A6" i="4"/>
  <c r="A139" i="3"/>
  <c r="A136" i="3"/>
  <c r="A3" i="4"/>
  <c r="A43" i="4"/>
  <c r="A176" i="3"/>
  <c r="A41" i="4"/>
  <c r="A174" i="3"/>
  <c r="A39" i="4"/>
  <c r="A172" i="3"/>
  <c r="A170" i="3"/>
  <c r="A37" i="4"/>
  <c r="A35" i="4"/>
  <c r="A168" i="3"/>
  <c r="A33" i="4"/>
  <c r="A166" i="3"/>
  <c r="A31" i="4"/>
  <c r="A164" i="3"/>
  <c r="A29" i="4"/>
  <c r="A162" i="3"/>
  <c r="A27" i="4"/>
  <c r="A160" i="3"/>
  <c r="A158" i="3"/>
  <c r="A25" i="4"/>
  <c r="A23" i="4"/>
  <c r="A156" i="3"/>
  <c r="A21" i="4"/>
  <c r="A154" i="3"/>
  <c r="A19" i="4"/>
  <c r="A152" i="3"/>
  <c r="A150" i="3"/>
  <c r="A17" i="4"/>
  <c r="A148" i="3"/>
  <c r="A15" i="4"/>
  <c r="A13" i="4"/>
  <c r="A146" i="3"/>
  <c r="A11" i="4"/>
  <c r="A144" i="3"/>
  <c r="A9" i="4"/>
  <c r="A142" i="3"/>
  <c r="A7" i="4"/>
  <c r="A140" i="3"/>
  <c r="A5" i="4"/>
  <c r="A138" i="3"/>
  <c r="A4" i="4"/>
  <c r="A137" i="3"/>
  <c r="P25" i="14"/>
  <c r="I25" i="14"/>
  <c r="C138" i="4"/>
  <c r="P138" i="4"/>
  <c r="V138" i="4"/>
  <c r="H138" i="4"/>
  <c r="L138" i="4"/>
  <c r="U138" i="4"/>
  <c r="S138" i="4"/>
  <c r="X138" i="4"/>
  <c r="K138" i="4"/>
  <c r="Q138" i="4"/>
  <c r="Z138" i="4"/>
  <c r="Q135" i="3"/>
  <c r="R47" i="4"/>
  <c r="O135" i="3"/>
  <c r="P2" i="4"/>
  <c r="E135" i="3"/>
  <c r="F47" i="4"/>
  <c r="S135" i="3"/>
  <c r="T47" i="4"/>
  <c r="W135" i="3"/>
  <c r="X47" i="4"/>
  <c r="P135" i="3"/>
  <c r="Q2" i="4"/>
  <c r="J135" i="3"/>
  <c r="K47" i="4"/>
  <c r="C135" i="3"/>
  <c r="D2" i="4"/>
  <c r="V135" i="3"/>
  <c r="W2" i="4"/>
  <c r="N135" i="3"/>
  <c r="O2" i="4"/>
  <c r="I135" i="3"/>
  <c r="J2" i="4"/>
  <c r="F24" i="14"/>
  <c r="F28" i="14"/>
  <c r="F26" i="14"/>
  <c r="N27" i="14"/>
  <c r="Q27" i="14"/>
  <c r="M27" i="14"/>
  <c r="O27" i="14"/>
  <c r="O25" i="14"/>
  <c r="Q25" i="14"/>
  <c r="M25" i="14"/>
  <c r="N25" i="14"/>
  <c r="P27" i="14"/>
  <c r="F272" i="4"/>
  <c r="V47" i="4"/>
  <c r="V2" i="4"/>
  <c r="H47" i="4"/>
  <c r="H2" i="4"/>
  <c r="G47" i="4"/>
  <c r="G2" i="4"/>
  <c r="Z47" i="4"/>
  <c r="Z2" i="4"/>
  <c r="U47" i="4"/>
  <c r="U2" i="4"/>
  <c r="M47" i="4"/>
  <c r="M2" i="4"/>
  <c r="I47" i="4"/>
  <c r="I2" i="4"/>
  <c r="Y2" i="4"/>
  <c r="Y47" i="4"/>
  <c r="S47" i="4"/>
  <c r="S2" i="4"/>
  <c r="L2" i="4"/>
  <c r="L47" i="4"/>
  <c r="E47" i="4"/>
  <c r="E2" i="4"/>
  <c r="N47" i="4"/>
  <c r="N2" i="4"/>
  <c r="R2" i="4"/>
  <c r="P47" i="4"/>
  <c r="F2" i="4"/>
  <c r="T2" i="4"/>
  <c r="X2" i="4"/>
  <c r="Q47" i="4"/>
  <c r="K2" i="4"/>
  <c r="D47" i="4"/>
  <c r="W47" i="4"/>
  <c r="O47" i="4"/>
  <c r="J47" i="4"/>
  <c r="C2" i="4"/>
  <c r="C47" i="4"/>
  <c r="A66" i="3"/>
  <c r="A205" i="3"/>
  <c r="A255" i="3"/>
  <c r="A186" i="4"/>
  <c r="A230" i="4"/>
  <c r="A141" i="4"/>
  <c r="A95" i="4"/>
  <c r="A44" i="14"/>
  <c r="A50" i="4"/>
  <c r="A80" i="3"/>
  <c r="A269" i="3"/>
  <c r="A219" i="3"/>
  <c r="A82" i="3"/>
  <c r="A221" i="3"/>
  <c r="A271" i="3"/>
  <c r="A208" i="4"/>
  <c r="A252" i="4"/>
  <c r="A163" i="4"/>
  <c r="A117" i="4"/>
  <c r="A63" i="14"/>
  <c r="A72" i="4"/>
  <c r="A92" i="3"/>
  <c r="A231" i="3"/>
  <c r="A281" i="3"/>
  <c r="A96" i="3"/>
  <c r="A285" i="3"/>
  <c r="A235" i="3"/>
  <c r="A216" i="4"/>
  <c r="A260" i="4"/>
  <c r="A125" i="4"/>
  <c r="A71" i="14"/>
  <c r="A80" i="4"/>
  <c r="A171" i="4"/>
  <c r="A64" i="3"/>
  <c r="A203" i="3"/>
  <c r="A253" i="3"/>
  <c r="A187" i="4"/>
  <c r="A231" i="4"/>
  <c r="A142" i="4"/>
  <c r="A96" i="4"/>
  <c r="A45" i="14"/>
  <c r="A51" i="4"/>
  <c r="A69" i="3"/>
  <c r="A208" i="3"/>
  <c r="A258" i="3"/>
  <c r="A191" i="4"/>
  <c r="A235" i="4"/>
  <c r="A146" i="4"/>
  <c r="A100" i="4"/>
  <c r="A49" i="14"/>
  <c r="A55" i="4"/>
  <c r="A193" i="4"/>
  <c r="A237" i="4"/>
  <c r="A148" i="4"/>
  <c r="A102" i="4"/>
  <c r="A51" i="14"/>
  <c r="A57" i="4"/>
  <c r="A197" i="4"/>
  <c r="A241" i="4"/>
  <c r="A152" i="4"/>
  <c r="A106" i="4"/>
  <c r="A55" i="14"/>
  <c r="A61" i="4"/>
  <c r="A81" i="3"/>
  <c r="A220" i="3"/>
  <c r="A270" i="3"/>
  <c r="A203" i="4"/>
  <c r="A247" i="4"/>
  <c r="T227" i="4"/>
  <c r="A67" i="4"/>
  <c r="A158" i="4"/>
  <c r="A112" i="4"/>
  <c r="A59" i="14"/>
  <c r="A85" i="3"/>
  <c r="A224" i="3"/>
  <c r="A274" i="3"/>
  <c r="A207" i="4"/>
  <c r="A251" i="4"/>
  <c r="A71" i="4"/>
  <c r="A162" i="4"/>
  <c r="A116" i="4"/>
  <c r="A62" i="14"/>
  <c r="A89" i="3"/>
  <c r="A228" i="3"/>
  <c r="A278" i="3"/>
  <c r="A211" i="4"/>
  <c r="A255" i="4"/>
  <c r="A75" i="4"/>
  <c r="A166" i="4"/>
  <c r="A120" i="4"/>
  <c r="A66" i="14"/>
  <c r="A213" i="4"/>
  <c r="A257" i="4"/>
  <c r="A77" i="4"/>
  <c r="A168" i="4"/>
  <c r="A122" i="4"/>
  <c r="A68" i="14"/>
  <c r="A215" i="4"/>
  <c r="A259" i="4"/>
  <c r="A170" i="4"/>
  <c r="A124" i="4"/>
  <c r="A70" i="14"/>
  <c r="A79" i="4"/>
  <c r="A219" i="4"/>
  <c r="A263" i="4"/>
  <c r="A174" i="4"/>
  <c r="A128" i="4"/>
  <c r="A74" i="14"/>
  <c r="A83" i="4"/>
  <c r="A99" i="3"/>
  <c r="A238" i="3"/>
  <c r="A288" i="3"/>
  <c r="A221" i="4"/>
  <c r="A265" i="4"/>
  <c r="A176" i="4"/>
  <c r="A130" i="4"/>
  <c r="A76" i="14"/>
  <c r="A85" i="4"/>
  <c r="A190" i="4"/>
  <c r="A234" i="4"/>
  <c r="A145" i="4"/>
  <c r="A99" i="4"/>
  <c r="A48" i="14"/>
  <c r="A54" i="4"/>
  <c r="A194" i="4"/>
  <c r="A238" i="4"/>
  <c r="A103" i="4"/>
  <c r="A52" i="14"/>
  <c r="A58" i="4"/>
  <c r="A149" i="4"/>
  <c r="A202" i="4"/>
  <c r="A246" i="4"/>
  <c r="S227" i="4"/>
  <c r="A157" i="4"/>
  <c r="A111" i="4"/>
  <c r="A58" i="14"/>
  <c r="A66" i="4"/>
  <c r="A206" i="4"/>
  <c r="A250" i="4"/>
  <c r="A161" i="4"/>
  <c r="A115" i="4"/>
  <c r="A61" i="14"/>
  <c r="A70" i="4"/>
  <c r="A210" i="4"/>
  <c r="A254" i="4"/>
  <c r="A119" i="4"/>
  <c r="A65" i="14"/>
  <c r="A74" i="4"/>
  <c r="A165" i="4"/>
  <c r="A212" i="4"/>
  <c r="A256" i="4"/>
  <c r="A121" i="4"/>
  <c r="A67" i="14"/>
  <c r="A76" i="4"/>
  <c r="A167" i="4"/>
  <c r="A94" i="3"/>
  <c r="A283" i="3"/>
  <c r="A233" i="3"/>
  <c r="A214" i="4"/>
  <c r="A258" i="4"/>
  <c r="A123" i="4"/>
  <c r="A69" i="14"/>
  <c r="A78" i="4"/>
  <c r="A169" i="4"/>
  <c r="A218" i="4"/>
  <c r="A262" i="4"/>
  <c r="A173" i="4"/>
  <c r="A127" i="4"/>
  <c r="A73" i="14"/>
  <c r="A82" i="4"/>
  <c r="A98" i="3"/>
  <c r="A237" i="3"/>
  <c r="A287" i="3"/>
  <c r="A220" i="4"/>
  <c r="A264" i="4"/>
  <c r="A175" i="4"/>
  <c r="A129" i="4"/>
  <c r="A75" i="14"/>
  <c r="A84" i="4"/>
  <c r="A222" i="4"/>
  <c r="A266" i="4"/>
  <c r="A177" i="4"/>
  <c r="A131" i="4"/>
  <c r="A77" i="14"/>
  <c r="A86" i="4"/>
  <c r="A224" i="4"/>
  <c r="A268" i="4"/>
  <c r="A179" i="4"/>
  <c r="A133" i="4"/>
  <c r="A79" i="14"/>
  <c r="A88" i="4"/>
  <c r="A68" i="3"/>
  <c r="A207" i="3"/>
  <c r="A257" i="3"/>
  <c r="A188" i="4"/>
  <c r="A232" i="4"/>
  <c r="A143" i="4"/>
  <c r="A97" i="4"/>
  <c r="A46" i="14"/>
  <c r="A52" i="4"/>
  <c r="A70" i="3"/>
  <c r="A209" i="3"/>
  <c r="A259" i="3"/>
  <c r="A72" i="3"/>
  <c r="A211" i="3"/>
  <c r="A261" i="3"/>
  <c r="A192" i="4"/>
  <c r="A236" i="4"/>
  <c r="A147" i="4"/>
  <c r="A101" i="4"/>
  <c r="A50" i="14"/>
  <c r="A56" i="4"/>
  <c r="A74" i="3"/>
  <c r="A213" i="3"/>
  <c r="A263" i="3"/>
  <c r="A196" i="4"/>
  <c r="A240" i="4"/>
  <c r="A105" i="4"/>
  <c r="A54" i="14"/>
  <c r="A60" i="4"/>
  <c r="A151" i="4"/>
  <c r="A76" i="3"/>
  <c r="A215" i="3"/>
  <c r="A265" i="3"/>
  <c r="A198" i="4"/>
  <c r="A242" i="4"/>
  <c r="A107" i="4"/>
  <c r="A62" i="4"/>
  <c r="A153" i="4"/>
  <c r="A78" i="3"/>
  <c r="A267" i="3"/>
  <c r="A217" i="3"/>
  <c r="A200" i="4"/>
  <c r="A244" i="4"/>
  <c r="A109" i="4"/>
  <c r="A56" i="14"/>
  <c r="A64" i="4"/>
  <c r="A155" i="4"/>
  <c r="A84" i="3"/>
  <c r="A223" i="3"/>
  <c r="A273" i="3"/>
  <c r="A204" i="4"/>
  <c r="A248" i="4"/>
  <c r="A159" i="4"/>
  <c r="A113" i="4"/>
  <c r="A60" i="14"/>
  <c r="A68" i="4"/>
  <c r="A86" i="3"/>
  <c r="A225" i="3"/>
  <c r="A275" i="3"/>
  <c r="A88" i="3"/>
  <c r="A227" i="3"/>
  <c r="A277" i="3"/>
  <c r="A90" i="3"/>
  <c r="A229" i="3"/>
  <c r="A279" i="3"/>
  <c r="A100" i="3"/>
  <c r="A239" i="3"/>
  <c r="A289" i="3"/>
  <c r="A102" i="3"/>
  <c r="A241" i="3"/>
  <c r="A291" i="3"/>
  <c r="A104" i="3"/>
  <c r="A243" i="3"/>
  <c r="A293" i="3"/>
  <c r="A184" i="4"/>
  <c r="A228" i="4"/>
  <c r="A48" i="4"/>
  <c r="A139" i="4"/>
  <c r="A93" i="4"/>
  <c r="A42" i="14"/>
  <c r="A67" i="3"/>
  <c r="A206" i="3"/>
  <c r="A256" i="3"/>
  <c r="A189" i="4"/>
  <c r="A233" i="4"/>
  <c r="A144" i="4"/>
  <c r="A98" i="4"/>
  <c r="A47" i="14"/>
  <c r="A53" i="4"/>
  <c r="A71" i="3"/>
  <c r="A210" i="3"/>
  <c r="A260" i="3"/>
  <c r="A73" i="3"/>
  <c r="A212" i="3"/>
  <c r="A262" i="3"/>
  <c r="A195" i="4"/>
  <c r="A239" i="4"/>
  <c r="A150" i="4"/>
  <c r="A104" i="4"/>
  <c r="A53" i="14"/>
  <c r="A59" i="4"/>
  <c r="A75" i="3"/>
  <c r="A214" i="3"/>
  <c r="A264" i="3"/>
  <c r="A77" i="3"/>
  <c r="A216" i="3"/>
  <c r="A266" i="3"/>
  <c r="A199" i="4"/>
  <c r="A243" i="4"/>
  <c r="A63" i="4"/>
  <c r="A154" i="4"/>
  <c r="A108" i="4"/>
  <c r="A79" i="3"/>
  <c r="A218" i="3"/>
  <c r="A268" i="3"/>
  <c r="A201" i="4"/>
  <c r="A245" i="4"/>
  <c r="A156" i="4"/>
  <c r="A110" i="4"/>
  <c r="A57" i="14"/>
  <c r="A65" i="4"/>
  <c r="A83" i="3"/>
  <c r="A222" i="3"/>
  <c r="A272" i="3"/>
  <c r="A205" i="4"/>
  <c r="A249" i="4"/>
  <c r="A69" i="4"/>
  <c r="A160" i="4"/>
  <c r="A114" i="4"/>
  <c r="A87" i="3"/>
  <c r="A226" i="3"/>
  <c r="A276" i="3"/>
  <c r="A209" i="4"/>
  <c r="A253" i="4"/>
  <c r="A73" i="4"/>
  <c r="A164" i="4"/>
  <c r="A118" i="4"/>
  <c r="A64" i="14"/>
  <c r="A91" i="3"/>
  <c r="A230" i="3"/>
  <c r="A280" i="3"/>
  <c r="A93" i="3"/>
  <c r="A232" i="3"/>
  <c r="A282" i="3"/>
  <c r="A95" i="3"/>
  <c r="A234" i="3"/>
  <c r="A284" i="3"/>
  <c r="A217" i="4"/>
  <c r="A261" i="4"/>
  <c r="A81" i="4"/>
  <c r="A172" i="4"/>
  <c r="A126" i="4"/>
  <c r="A72" i="14"/>
  <c r="A97" i="3"/>
  <c r="A236" i="3"/>
  <c r="A286" i="3"/>
  <c r="A101" i="3"/>
  <c r="A240" i="3"/>
  <c r="A290" i="3"/>
  <c r="A223" i="4"/>
  <c r="A267" i="4"/>
  <c r="A178" i="4"/>
  <c r="A132" i="4"/>
  <c r="A78" i="14"/>
  <c r="A87" i="4"/>
  <c r="A103" i="3"/>
  <c r="A242" i="3"/>
  <c r="A292" i="3"/>
  <c r="A65" i="3"/>
  <c r="A204" i="3"/>
  <c r="A254" i="3"/>
  <c r="A185" i="4"/>
  <c r="A229" i="4"/>
  <c r="A49" i="4"/>
  <c r="A140" i="4"/>
  <c r="A94" i="4"/>
  <c r="A43" i="14"/>
  <c r="N137" i="4"/>
  <c r="N92" i="4"/>
  <c r="E92" i="4"/>
  <c r="E137" i="4"/>
  <c r="S137" i="4"/>
  <c r="S92" i="4"/>
  <c r="I137" i="4"/>
  <c r="I92" i="4"/>
  <c r="M137" i="4"/>
  <c r="M92" i="4"/>
  <c r="U137" i="4"/>
  <c r="U92" i="4"/>
  <c r="Z92" i="4"/>
  <c r="Z137" i="4"/>
  <c r="G137" i="4"/>
  <c r="G92" i="4"/>
  <c r="H137" i="4"/>
  <c r="H92" i="4"/>
  <c r="V92" i="4"/>
  <c r="V137" i="4"/>
  <c r="O137" i="4"/>
  <c r="O92" i="4"/>
  <c r="W137" i="4"/>
  <c r="W92" i="4"/>
  <c r="D137" i="4"/>
  <c r="D92" i="4"/>
  <c r="K137" i="4"/>
  <c r="K92" i="4"/>
  <c r="Q137" i="4"/>
  <c r="Q92" i="4"/>
  <c r="F137" i="4"/>
  <c r="F92" i="4"/>
  <c r="P137" i="4"/>
  <c r="P92" i="4"/>
  <c r="C92" i="4"/>
  <c r="C137" i="4"/>
  <c r="J137" i="4"/>
  <c r="J92" i="4"/>
  <c r="X137" i="4"/>
  <c r="X92" i="4"/>
  <c r="T137" i="4"/>
  <c r="T92" i="4"/>
  <c r="R137" i="4"/>
  <c r="R92" i="4"/>
  <c r="L137" i="4"/>
  <c r="L92" i="4"/>
  <c r="Y92" i="4"/>
  <c r="Y137" i="4"/>
  <c r="G6" i="14"/>
  <c r="D6" i="14"/>
  <c r="H6" i="14"/>
  <c r="E6" i="14"/>
  <c r="C6" i="14"/>
  <c r="F4" i="14"/>
  <c r="F5" i="14"/>
  <c r="D28" i="14"/>
  <c r="O74" i="4"/>
  <c r="O65" i="4"/>
  <c r="O61" i="4"/>
  <c r="E16" i="14"/>
  <c r="D38" i="14"/>
  <c r="O87" i="4"/>
  <c r="O85" i="4"/>
  <c r="O56" i="4"/>
  <c r="O86" i="4"/>
  <c r="O57" i="4"/>
  <c r="O59" i="4"/>
  <c r="O58" i="4"/>
  <c r="J6" i="14"/>
  <c r="B272" i="4"/>
  <c r="B3" i="14"/>
  <c r="I6" i="14"/>
  <c r="J28" i="14"/>
  <c r="O73" i="4"/>
  <c r="O49" i="4"/>
  <c r="O88" i="4"/>
  <c r="O55" i="4"/>
  <c r="O60" i="4"/>
  <c r="O80" i="4"/>
  <c r="O53" i="4"/>
  <c r="O84" i="4"/>
  <c r="O75" i="4"/>
  <c r="O63" i="4"/>
  <c r="O54" i="4"/>
  <c r="O78" i="4"/>
  <c r="O62" i="4"/>
  <c r="O77" i="4"/>
  <c r="H5" i="14"/>
  <c r="O79" i="4"/>
  <c r="E142" i="14"/>
  <c r="E147" i="14"/>
  <c r="E144" i="14"/>
  <c r="E145" i="14"/>
  <c r="E146" i="14"/>
  <c r="E148" i="14"/>
  <c r="E141" i="14"/>
  <c r="E143" i="14"/>
  <c r="O76" i="4"/>
  <c r="O50" i="4"/>
  <c r="B16" i="14"/>
  <c r="B38" i="14"/>
  <c r="D16" i="14"/>
  <c r="B28" i="14"/>
  <c r="C16" i="14"/>
  <c r="C38" i="14"/>
  <c r="C28" i="14"/>
  <c r="O52" i="4"/>
  <c r="O64" i="4"/>
  <c r="E28" i="14"/>
  <c r="K28" i="14"/>
  <c r="E38" i="14"/>
  <c r="E272" i="4"/>
  <c r="I5" i="14"/>
  <c r="G5" i="14"/>
  <c r="C4" i="14"/>
  <c r="G28" i="14"/>
  <c r="Q28" i="14"/>
  <c r="O72" i="4"/>
  <c r="O51" i="4"/>
  <c r="B265" i="3"/>
  <c r="CI265" i="3"/>
  <c r="CG265" i="3"/>
  <c r="CE265" i="3"/>
  <c r="CC265" i="3"/>
  <c r="CA265" i="3"/>
  <c r="BY265" i="3"/>
  <c r="BW265" i="3"/>
  <c r="BU265" i="3"/>
  <c r="BS265" i="3"/>
  <c r="BQ265" i="3"/>
  <c r="BO265" i="3"/>
  <c r="BM265" i="3"/>
  <c r="BK265" i="3"/>
  <c r="BI265" i="3"/>
  <c r="BG265" i="3"/>
  <c r="BE265" i="3"/>
  <c r="BC265" i="3"/>
  <c r="BA265" i="3"/>
  <c r="AY265" i="3"/>
  <c r="AW265" i="3"/>
  <c r="AU265" i="3"/>
  <c r="AS265" i="3"/>
  <c r="AQ265" i="3"/>
  <c r="AO265" i="3"/>
  <c r="AM265" i="3"/>
  <c r="AK265" i="3"/>
  <c r="AI265" i="3"/>
  <c r="AG265" i="3"/>
  <c r="AE265" i="3"/>
  <c r="AC265" i="3"/>
  <c r="AA265" i="3"/>
  <c r="Y265" i="3"/>
  <c r="W265" i="3"/>
  <c r="U265" i="3"/>
  <c r="S265" i="3"/>
  <c r="Q265" i="3"/>
  <c r="O265" i="3"/>
  <c r="M265" i="3"/>
  <c r="K265" i="3"/>
  <c r="I265" i="3"/>
  <c r="G265" i="3"/>
  <c r="E265" i="3"/>
  <c r="C265" i="3"/>
  <c r="CH265" i="3"/>
  <c r="CF265" i="3"/>
  <c r="CD265" i="3"/>
  <c r="CB265" i="3"/>
  <c r="BZ265" i="3"/>
  <c r="BX265" i="3"/>
  <c r="BV265" i="3"/>
  <c r="BT265" i="3"/>
  <c r="BR265" i="3"/>
  <c r="BP265" i="3"/>
  <c r="BN265" i="3"/>
  <c r="BL265" i="3"/>
  <c r="BJ265" i="3"/>
  <c r="BH265" i="3"/>
  <c r="BF265" i="3"/>
  <c r="BD265" i="3"/>
  <c r="BB265" i="3"/>
  <c r="AZ265" i="3"/>
  <c r="AX265" i="3"/>
  <c r="AV265" i="3"/>
  <c r="AT265" i="3"/>
  <c r="AR265" i="3"/>
  <c r="AP265" i="3"/>
  <c r="AN265" i="3"/>
  <c r="AL265" i="3"/>
  <c r="AJ265" i="3"/>
  <c r="AH265" i="3"/>
  <c r="AF265" i="3"/>
  <c r="AD265" i="3"/>
  <c r="AB265" i="3"/>
  <c r="Z265" i="3"/>
  <c r="X265" i="3"/>
  <c r="V265" i="3"/>
  <c r="T265" i="3"/>
  <c r="R265" i="3"/>
  <c r="P265" i="3"/>
  <c r="N265" i="3"/>
  <c r="L265" i="3"/>
  <c r="J265" i="3"/>
  <c r="H265" i="3"/>
  <c r="F265" i="3"/>
  <c r="D265" i="3"/>
  <c r="Q215" i="3"/>
  <c r="DA265" i="3"/>
  <c r="N215" i="3"/>
  <c r="CX265" i="3"/>
  <c r="L215" i="3"/>
  <c r="CV265" i="3"/>
  <c r="R215" i="3"/>
  <c r="DB265" i="3"/>
  <c r="M215" i="3"/>
  <c r="CW265" i="3"/>
  <c r="O215" i="3"/>
  <c r="CY265" i="3"/>
  <c r="P215" i="3"/>
  <c r="CZ265" i="3"/>
  <c r="B266" i="3"/>
  <c r="CI266" i="3"/>
  <c r="CG266" i="3"/>
  <c r="CE266" i="3"/>
  <c r="CC266" i="3"/>
  <c r="CA266" i="3"/>
  <c r="BY266" i="3"/>
  <c r="BW266" i="3"/>
  <c r="BU266" i="3"/>
  <c r="BS266" i="3"/>
  <c r="BQ266" i="3"/>
  <c r="BO266" i="3"/>
  <c r="BM266" i="3"/>
  <c r="BK266" i="3"/>
  <c r="BI266" i="3"/>
  <c r="BG266" i="3"/>
  <c r="BE266" i="3"/>
  <c r="BC266" i="3"/>
  <c r="BA266" i="3"/>
  <c r="AY266" i="3"/>
  <c r="AW266" i="3"/>
  <c r="AU266" i="3"/>
  <c r="AS266" i="3"/>
  <c r="AQ266" i="3"/>
  <c r="AO266" i="3"/>
  <c r="AM266" i="3"/>
  <c r="AK266" i="3"/>
  <c r="AI266" i="3"/>
  <c r="AG266" i="3"/>
  <c r="AE266" i="3"/>
  <c r="AC266" i="3"/>
  <c r="AA266" i="3"/>
  <c r="Y266" i="3"/>
  <c r="W266" i="3"/>
  <c r="U266" i="3"/>
  <c r="S266" i="3"/>
  <c r="Q266" i="3"/>
  <c r="O266" i="3"/>
  <c r="M266" i="3"/>
  <c r="K266" i="3"/>
  <c r="I266" i="3"/>
  <c r="G266" i="3"/>
  <c r="E266" i="3"/>
  <c r="C266" i="3"/>
  <c r="CH266" i="3"/>
  <c r="CF266" i="3"/>
  <c r="CD266" i="3"/>
  <c r="CB266" i="3"/>
  <c r="BZ266" i="3"/>
  <c r="BX266" i="3"/>
  <c r="BV266" i="3"/>
  <c r="BT266" i="3"/>
  <c r="BR266" i="3"/>
  <c r="BP266" i="3"/>
  <c r="BN266" i="3"/>
  <c r="BL266" i="3"/>
  <c r="BJ266" i="3"/>
  <c r="BH266" i="3"/>
  <c r="BF266" i="3"/>
  <c r="BD266" i="3"/>
  <c r="BB266" i="3"/>
  <c r="AZ266" i="3"/>
  <c r="AX266" i="3"/>
  <c r="AT266" i="3"/>
  <c r="AP266" i="3"/>
  <c r="AL266" i="3"/>
  <c r="AH266" i="3"/>
  <c r="AD266" i="3"/>
  <c r="Z266" i="3"/>
  <c r="V266" i="3"/>
  <c r="R266" i="3"/>
  <c r="N266" i="3"/>
  <c r="J266" i="3"/>
  <c r="F266" i="3"/>
  <c r="AV266" i="3"/>
  <c r="AR266" i="3"/>
  <c r="AN266" i="3"/>
  <c r="AJ266" i="3"/>
  <c r="AF266" i="3"/>
  <c r="AB266" i="3"/>
  <c r="X266" i="3"/>
  <c r="T266" i="3"/>
  <c r="P266" i="3"/>
  <c r="L266" i="3"/>
  <c r="H266" i="3"/>
  <c r="D266" i="3"/>
  <c r="R216" i="3"/>
  <c r="DB266" i="3"/>
  <c r="N216" i="3"/>
  <c r="CX266" i="3"/>
  <c r="L216" i="3"/>
  <c r="CV266" i="3"/>
  <c r="P216" i="3"/>
  <c r="CZ266" i="3"/>
  <c r="Q216" i="3"/>
  <c r="DA266" i="3"/>
  <c r="M216" i="3"/>
  <c r="CW266" i="3"/>
  <c r="O216" i="3"/>
  <c r="CY266" i="3"/>
  <c r="O28" i="14"/>
  <c r="I28" i="14"/>
  <c r="M28" i="14"/>
  <c r="P28" i="14"/>
  <c r="N28" i="14"/>
  <c r="H4" i="14"/>
  <c r="C5" i="14"/>
  <c r="Z165" i="4"/>
  <c r="O48" i="4"/>
  <c r="Z152" i="4"/>
  <c r="B292" i="3"/>
  <c r="CI292" i="3"/>
  <c r="CG292" i="3"/>
  <c r="CE292" i="3"/>
  <c r="CC292" i="3"/>
  <c r="CA292" i="3"/>
  <c r="BY292" i="3"/>
  <c r="BW292" i="3"/>
  <c r="BU292" i="3"/>
  <c r="BS292" i="3"/>
  <c r="BQ292" i="3"/>
  <c r="BO292" i="3"/>
  <c r="BM292" i="3"/>
  <c r="BK292" i="3"/>
  <c r="BI292" i="3"/>
  <c r="BG292" i="3"/>
  <c r="BE292" i="3"/>
  <c r="BC292" i="3"/>
  <c r="BA292" i="3"/>
  <c r="AY292" i="3"/>
  <c r="AW292" i="3"/>
  <c r="AU292" i="3"/>
  <c r="AS292" i="3"/>
  <c r="AQ292" i="3"/>
  <c r="AO292" i="3"/>
  <c r="AM292" i="3"/>
  <c r="AK292" i="3"/>
  <c r="AI292" i="3"/>
  <c r="AG292" i="3"/>
  <c r="AE292" i="3"/>
  <c r="AC292" i="3"/>
  <c r="AA292" i="3"/>
  <c r="Y292" i="3"/>
  <c r="W292" i="3"/>
  <c r="U292" i="3"/>
  <c r="S292" i="3"/>
  <c r="Q292" i="3"/>
  <c r="O292" i="3"/>
  <c r="M292" i="3"/>
  <c r="K292" i="3"/>
  <c r="I292" i="3"/>
  <c r="G292" i="3"/>
  <c r="E292" i="3"/>
  <c r="C292" i="3"/>
  <c r="CH292" i="3"/>
  <c r="CF292" i="3"/>
  <c r="CD292" i="3"/>
  <c r="CB292" i="3"/>
  <c r="BZ292" i="3"/>
  <c r="BX292" i="3"/>
  <c r="BV292" i="3"/>
  <c r="BT292" i="3"/>
  <c r="BR292" i="3"/>
  <c r="BP292" i="3"/>
  <c r="BN292" i="3"/>
  <c r="BL292" i="3"/>
  <c r="BJ292" i="3"/>
  <c r="BH292" i="3"/>
  <c r="BF292" i="3"/>
  <c r="BD292" i="3"/>
  <c r="BB292" i="3"/>
  <c r="AZ292" i="3"/>
  <c r="AX292" i="3"/>
  <c r="AV292" i="3"/>
  <c r="AT292" i="3"/>
  <c r="AR292" i="3"/>
  <c r="AP292" i="3"/>
  <c r="AN292" i="3"/>
  <c r="AL292" i="3"/>
  <c r="AJ292" i="3"/>
  <c r="AH292" i="3"/>
  <c r="AF292" i="3"/>
  <c r="AD292" i="3"/>
  <c r="AB292" i="3"/>
  <c r="Z292" i="3"/>
  <c r="X292" i="3"/>
  <c r="V292" i="3"/>
  <c r="T292" i="3"/>
  <c r="R292" i="3"/>
  <c r="P292" i="3"/>
  <c r="N292" i="3"/>
  <c r="L292" i="3"/>
  <c r="J292" i="3"/>
  <c r="H292" i="3"/>
  <c r="F292" i="3"/>
  <c r="D292" i="3"/>
  <c r="R242" i="3"/>
  <c r="DB292" i="3"/>
  <c r="N242" i="3"/>
  <c r="CX292" i="3"/>
  <c r="L242" i="3"/>
  <c r="CV292" i="3"/>
  <c r="P242" i="3"/>
  <c r="CZ292" i="3"/>
  <c r="Q242" i="3"/>
  <c r="DA292" i="3"/>
  <c r="M242" i="3"/>
  <c r="CW292" i="3"/>
  <c r="O242" i="3"/>
  <c r="CY292" i="3"/>
  <c r="B270" i="3"/>
  <c r="CI270" i="3"/>
  <c r="CG270" i="3"/>
  <c r="CE270" i="3"/>
  <c r="CC270" i="3"/>
  <c r="CA270" i="3"/>
  <c r="BY270" i="3"/>
  <c r="BW270" i="3"/>
  <c r="BU270" i="3"/>
  <c r="BS270" i="3"/>
  <c r="BQ270" i="3"/>
  <c r="BO270" i="3"/>
  <c r="BM270" i="3"/>
  <c r="BK270" i="3"/>
  <c r="BI270" i="3"/>
  <c r="BG270" i="3"/>
  <c r="BE270" i="3"/>
  <c r="BC270" i="3"/>
  <c r="BA270" i="3"/>
  <c r="AY270" i="3"/>
  <c r="AW270" i="3"/>
  <c r="AU270" i="3"/>
  <c r="AS270" i="3"/>
  <c r="AQ270" i="3"/>
  <c r="AO270" i="3"/>
  <c r="AM270" i="3"/>
  <c r="AK270" i="3"/>
  <c r="AI270" i="3"/>
  <c r="AG270" i="3"/>
  <c r="AE270" i="3"/>
  <c r="AC270" i="3"/>
  <c r="AA270" i="3"/>
  <c r="Y270" i="3"/>
  <c r="W270" i="3"/>
  <c r="U270" i="3"/>
  <c r="S270" i="3"/>
  <c r="Q270" i="3"/>
  <c r="O270" i="3"/>
  <c r="M270" i="3"/>
  <c r="K270" i="3"/>
  <c r="I270" i="3"/>
  <c r="G270" i="3"/>
  <c r="E270" i="3"/>
  <c r="C270" i="3"/>
  <c r="CH270" i="3"/>
  <c r="CF270" i="3"/>
  <c r="CD270" i="3"/>
  <c r="CB270" i="3"/>
  <c r="BZ270" i="3"/>
  <c r="BX270" i="3"/>
  <c r="BV270" i="3"/>
  <c r="BT270" i="3"/>
  <c r="BR270" i="3"/>
  <c r="BP270" i="3"/>
  <c r="BN270" i="3"/>
  <c r="BL270" i="3"/>
  <c r="BJ270" i="3"/>
  <c r="BH270" i="3"/>
  <c r="BF270" i="3"/>
  <c r="BD270" i="3"/>
  <c r="BB270" i="3"/>
  <c r="AZ270" i="3"/>
  <c r="AX270" i="3"/>
  <c r="AV270" i="3"/>
  <c r="AT270" i="3"/>
  <c r="AR270" i="3"/>
  <c r="AP270" i="3"/>
  <c r="AN270" i="3"/>
  <c r="AL270" i="3"/>
  <c r="AJ270" i="3"/>
  <c r="AH270" i="3"/>
  <c r="AF270" i="3"/>
  <c r="AD270" i="3"/>
  <c r="AB270" i="3"/>
  <c r="Z270" i="3"/>
  <c r="X270" i="3"/>
  <c r="V270" i="3"/>
  <c r="T270" i="3"/>
  <c r="R270" i="3"/>
  <c r="P270" i="3"/>
  <c r="N270" i="3"/>
  <c r="L270" i="3"/>
  <c r="J270" i="3"/>
  <c r="H270" i="3"/>
  <c r="F270" i="3"/>
  <c r="D270" i="3"/>
  <c r="R220" i="3"/>
  <c r="DB270" i="3"/>
  <c r="N220" i="3"/>
  <c r="CX270" i="3"/>
  <c r="L220" i="3"/>
  <c r="CV270" i="3"/>
  <c r="P220" i="3"/>
  <c r="CZ270" i="3"/>
  <c r="Q220" i="3"/>
  <c r="DA270" i="3"/>
  <c r="M220" i="3"/>
  <c r="CW270" i="3"/>
  <c r="O220" i="3"/>
  <c r="CY270" i="3"/>
  <c r="CH269" i="3"/>
  <c r="CF269" i="3"/>
  <c r="CD269" i="3"/>
  <c r="CB269" i="3"/>
  <c r="BZ269" i="3"/>
  <c r="BX269" i="3"/>
  <c r="BV269" i="3"/>
  <c r="BT269" i="3"/>
  <c r="BR269" i="3"/>
  <c r="BP269" i="3"/>
  <c r="BN269" i="3"/>
  <c r="BL269" i="3"/>
  <c r="BJ269" i="3"/>
  <c r="BH269" i="3"/>
  <c r="BF269" i="3"/>
  <c r="BD269" i="3"/>
  <c r="BB269" i="3"/>
  <c r="AZ269" i="3"/>
  <c r="AX269" i="3"/>
  <c r="AV269" i="3"/>
  <c r="AT269" i="3"/>
  <c r="AR269" i="3"/>
  <c r="AP269" i="3"/>
  <c r="AN269" i="3"/>
  <c r="AL269" i="3"/>
  <c r="AJ269" i="3"/>
  <c r="AH269" i="3"/>
  <c r="AF269" i="3"/>
  <c r="AD269" i="3"/>
  <c r="AB269" i="3"/>
  <c r="Z269" i="3"/>
  <c r="X269" i="3"/>
  <c r="V269" i="3"/>
  <c r="T269" i="3"/>
  <c r="R269" i="3"/>
  <c r="P269" i="3"/>
  <c r="N269" i="3"/>
  <c r="L269" i="3"/>
  <c r="J269" i="3"/>
  <c r="H269" i="3"/>
  <c r="F269" i="3"/>
  <c r="D269" i="3"/>
  <c r="B269" i="3"/>
  <c r="CI269" i="3"/>
  <c r="CG269" i="3"/>
  <c r="CE269" i="3"/>
  <c r="CC269" i="3"/>
  <c r="CA269" i="3"/>
  <c r="BY269" i="3"/>
  <c r="BW269" i="3"/>
  <c r="BU269" i="3"/>
  <c r="BS269" i="3"/>
  <c r="BQ269" i="3"/>
  <c r="BO269" i="3"/>
  <c r="BM269" i="3"/>
  <c r="BK269" i="3"/>
  <c r="BI269" i="3"/>
  <c r="BG269" i="3"/>
  <c r="BE269" i="3"/>
  <c r="BC269" i="3"/>
  <c r="BA269" i="3"/>
  <c r="AY269" i="3"/>
  <c r="AW269" i="3"/>
  <c r="AU269" i="3"/>
  <c r="AS269" i="3"/>
  <c r="AQ269" i="3"/>
  <c r="AO269" i="3"/>
  <c r="AM269" i="3"/>
  <c r="AK269" i="3"/>
  <c r="AI269" i="3"/>
  <c r="AG269" i="3"/>
  <c r="AE269" i="3"/>
  <c r="AC269" i="3"/>
  <c r="AA269" i="3"/>
  <c r="Y269" i="3"/>
  <c r="W269" i="3"/>
  <c r="U269" i="3"/>
  <c r="S269" i="3"/>
  <c r="Q269" i="3"/>
  <c r="O269" i="3"/>
  <c r="M269" i="3"/>
  <c r="K269" i="3"/>
  <c r="I269" i="3"/>
  <c r="G269" i="3"/>
  <c r="E269" i="3"/>
  <c r="C269" i="3"/>
  <c r="R219" i="3"/>
  <c r="DB269" i="3"/>
  <c r="M219" i="3"/>
  <c r="CW269" i="3"/>
  <c r="O219" i="3"/>
  <c r="CY269" i="3"/>
  <c r="P219" i="3"/>
  <c r="CZ269" i="3"/>
  <c r="Q219" i="3"/>
  <c r="DA269" i="3"/>
  <c r="N219" i="3"/>
  <c r="CX269" i="3"/>
  <c r="L219" i="3"/>
  <c r="CV269" i="3"/>
  <c r="B261" i="3"/>
  <c r="CI261" i="3"/>
  <c r="CG261" i="3"/>
  <c r="CE261" i="3"/>
  <c r="CC261" i="3"/>
  <c r="CA261" i="3"/>
  <c r="BY261" i="3"/>
  <c r="BW261" i="3"/>
  <c r="BU261" i="3"/>
  <c r="BS261" i="3"/>
  <c r="BQ261" i="3"/>
  <c r="BO261" i="3"/>
  <c r="BM261" i="3"/>
  <c r="BK261" i="3"/>
  <c r="BI261" i="3"/>
  <c r="BG261" i="3"/>
  <c r="BE261" i="3"/>
  <c r="BC261" i="3"/>
  <c r="BA261" i="3"/>
  <c r="AY261" i="3"/>
  <c r="AW261" i="3"/>
  <c r="AU261" i="3"/>
  <c r="AS261" i="3"/>
  <c r="AQ261" i="3"/>
  <c r="AO261" i="3"/>
  <c r="AM261" i="3"/>
  <c r="AK261" i="3"/>
  <c r="AI261" i="3"/>
  <c r="AG261" i="3"/>
  <c r="AE261" i="3"/>
  <c r="AC261" i="3"/>
  <c r="AA261" i="3"/>
  <c r="Y261" i="3"/>
  <c r="W261" i="3"/>
  <c r="U261" i="3"/>
  <c r="S261" i="3"/>
  <c r="Q261" i="3"/>
  <c r="O261" i="3"/>
  <c r="M261" i="3"/>
  <c r="K261" i="3"/>
  <c r="I261" i="3"/>
  <c r="G261" i="3"/>
  <c r="E261" i="3"/>
  <c r="C261" i="3"/>
  <c r="CH261" i="3"/>
  <c r="CF261" i="3"/>
  <c r="CD261" i="3"/>
  <c r="CB261" i="3"/>
  <c r="BZ261" i="3"/>
  <c r="BX261" i="3"/>
  <c r="BV261" i="3"/>
  <c r="BT261" i="3"/>
  <c r="BR261" i="3"/>
  <c r="BP261" i="3"/>
  <c r="BN261" i="3"/>
  <c r="BL261" i="3"/>
  <c r="BJ261" i="3"/>
  <c r="BH261" i="3"/>
  <c r="BF261" i="3"/>
  <c r="BD261" i="3"/>
  <c r="BB261" i="3"/>
  <c r="AZ261" i="3"/>
  <c r="AX261" i="3"/>
  <c r="AV261" i="3"/>
  <c r="AT261" i="3"/>
  <c r="AR261" i="3"/>
  <c r="AP261" i="3"/>
  <c r="AN261" i="3"/>
  <c r="AL261" i="3"/>
  <c r="AJ261" i="3"/>
  <c r="AH261" i="3"/>
  <c r="AF261" i="3"/>
  <c r="AD261" i="3"/>
  <c r="AB261" i="3"/>
  <c r="Z261" i="3"/>
  <c r="X261" i="3"/>
  <c r="V261" i="3"/>
  <c r="T261" i="3"/>
  <c r="R261" i="3"/>
  <c r="P261" i="3"/>
  <c r="N261" i="3"/>
  <c r="L261" i="3"/>
  <c r="J261" i="3"/>
  <c r="H261" i="3"/>
  <c r="F261" i="3"/>
  <c r="D261" i="3"/>
  <c r="R211" i="3"/>
  <c r="DB261" i="3"/>
  <c r="M211" i="3"/>
  <c r="CW261" i="3"/>
  <c r="O211" i="3"/>
  <c r="CY261" i="3"/>
  <c r="P211" i="3"/>
  <c r="CZ261" i="3"/>
  <c r="Q211" i="3"/>
  <c r="DA261" i="3"/>
  <c r="N211" i="3"/>
  <c r="CX261" i="3"/>
  <c r="L211" i="3"/>
  <c r="CV261" i="3"/>
  <c r="Z156" i="4"/>
  <c r="CH289" i="3"/>
  <c r="CF289" i="3"/>
  <c r="CD289" i="3"/>
  <c r="CB289" i="3"/>
  <c r="BZ289" i="3"/>
  <c r="BX289" i="3"/>
  <c r="BV289" i="3"/>
  <c r="BT289" i="3"/>
  <c r="BR289" i="3"/>
  <c r="BP289" i="3"/>
  <c r="BN289" i="3"/>
  <c r="BL289" i="3"/>
  <c r="BJ289" i="3"/>
  <c r="BH289" i="3"/>
  <c r="BF289" i="3"/>
  <c r="BD289" i="3"/>
  <c r="BB289" i="3"/>
  <c r="AZ289" i="3"/>
  <c r="AX289" i="3"/>
  <c r="AV289" i="3"/>
  <c r="AT289" i="3"/>
  <c r="AR289" i="3"/>
  <c r="AP289" i="3"/>
  <c r="AN289" i="3"/>
  <c r="AL289" i="3"/>
  <c r="AJ289" i="3"/>
  <c r="AH289" i="3"/>
  <c r="AF289" i="3"/>
  <c r="AD289" i="3"/>
  <c r="AB289" i="3"/>
  <c r="Z289" i="3"/>
  <c r="X289" i="3"/>
  <c r="V289" i="3"/>
  <c r="T289" i="3"/>
  <c r="R289" i="3"/>
  <c r="P289" i="3"/>
  <c r="N289" i="3"/>
  <c r="L289" i="3"/>
  <c r="J289" i="3"/>
  <c r="H289" i="3"/>
  <c r="F289" i="3"/>
  <c r="D289" i="3"/>
  <c r="B289" i="3"/>
  <c r="CI289" i="3"/>
  <c r="CG289" i="3"/>
  <c r="CE289" i="3"/>
  <c r="CC289" i="3"/>
  <c r="CA289" i="3"/>
  <c r="BY289" i="3"/>
  <c r="BW289" i="3"/>
  <c r="BU289" i="3"/>
  <c r="BS289" i="3"/>
  <c r="BQ289" i="3"/>
  <c r="BO289" i="3"/>
  <c r="BM289" i="3"/>
  <c r="BK289" i="3"/>
  <c r="BI289" i="3"/>
  <c r="BG289" i="3"/>
  <c r="BE289" i="3"/>
  <c r="BC289" i="3"/>
  <c r="BA289" i="3"/>
  <c r="AY289" i="3"/>
  <c r="AW289" i="3"/>
  <c r="AU289" i="3"/>
  <c r="AS289" i="3"/>
  <c r="AQ289" i="3"/>
  <c r="AO289" i="3"/>
  <c r="AM289" i="3"/>
  <c r="AK289" i="3"/>
  <c r="AI289" i="3"/>
  <c r="AG289" i="3"/>
  <c r="AE289" i="3"/>
  <c r="AC289" i="3"/>
  <c r="AA289" i="3"/>
  <c r="Y289" i="3"/>
  <c r="W289" i="3"/>
  <c r="U289" i="3"/>
  <c r="S289" i="3"/>
  <c r="Q289" i="3"/>
  <c r="O289" i="3"/>
  <c r="M289" i="3"/>
  <c r="K289" i="3"/>
  <c r="I289" i="3"/>
  <c r="G289" i="3"/>
  <c r="E289" i="3"/>
  <c r="C289" i="3"/>
  <c r="Q239" i="3"/>
  <c r="DA289" i="3"/>
  <c r="N239" i="3"/>
  <c r="CX289" i="3"/>
  <c r="L239" i="3"/>
  <c r="CV289" i="3"/>
  <c r="R239" i="3"/>
  <c r="DB289" i="3"/>
  <c r="M239" i="3"/>
  <c r="CW289" i="3"/>
  <c r="O239" i="3"/>
  <c r="CY289" i="3"/>
  <c r="P239" i="3"/>
  <c r="CZ289" i="3"/>
  <c r="B290" i="3"/>
  <c r="CI290" i="3"/>
  <c r="CG290" i="3"/>
  <c r="CE290" i="3"/>
  <c r="CC290" i="3"/>
  <c r="CA290" i="3"/>
  <c r="BY290" i="3"/>
  <c r="BW290" i="3"/>
  <c r="BU290" i="3"/>
  <c r="BS290" i="3"/>
  <c r="BQ290" i="3"/>
  <c r="BO290" i="3"/>
  <c r="BM290" i="3"/>
  <c r="BK290" i="3"/>
  <c r="BI290" i="3"/>
  <c r="BG290" i="3"/>
  <c r="BE290" i="3"/>
  <c r="BC290" i="3"/>
  <c r="BA290" i="3"/>
  <c r="AY290" i="3"/>
  <c r="AW290" i="3"/>
  <c r="AU290" i="3"/>
  <c r="AS290" i="3"/>
  <c r="AQ290" i="3"/>
  <c r="AO290" i="3"/>
  <c r="AM290" i="3"/>
  <c r="AK290" i="3"/>
  <c r="AI290" i="3"/>
  <c r="AG290" i="3"/>
  <c r="AE290" i="3"/>
  <c r="AC290" i="3"/>
  <c r="AA290" i="3"/>
  <c r="Y290" i="3"/>
  <c r="W290" i="3"/>
  <c r="U290" i="3"/>
  <c r="S290" i="3"/>
  <c r="Q290" i="3"/>
  <c r="O290" i="3"/>
  <c r="M290" i="3"/>
  <c r="K290" i="3"/>
  <c r="I290" i="3"/>
  <c r="G290" i="3"/>
  <c r="E290" i="3"/>
  <c r="C290" i="3"/>
  <c r="CH290" i="3"/>
  <c r="CF290" i="3"/>
  <c r="CD290" i="3"/>
  <c r="CB290" i="3"/>
  <c r="BZ290" i="3"/>
  <c r="BX290" i="3"/>
  <c r="BV290" i="3"/>
  <c r="BT290" i="3"/>
  <c r="BR290" i="3"/>
  <c r="BP290" i="3"/>
  <c r="BN290" i="3"/>
  <c r="BL290" i="3"/>
  <c r="BJ290" i="3"/>
  <c r="BH290" i="3"/>
  <c r="BF290" i="3"/>
  <c r="BD290" i="3"/>
  <c r="BB290" i="3"/>
  <c r="AZ290" i="3"/>
  <c r="AX290" i="3"/>
  <c r="AV290" i="3"/>
  <c r="AT290" i="3"/>
  <c r="AR290" i="3"/>
  <c r="AP290" i="3"/>
  <c r="AN290" i="3"/>
  <c r="AL290" i="3"/>
  <c r="AJ290" i="3"/>
  <c r="AH290" i="3"/>
  <c r="AF290" i="3"/>
  <c r="AD290" i="3"/>
  <c r="AB290" i="3"/>
  <c r="Z290" i="3"/>
  <c r="X290" i="3"/>
  <c r="V290" i="3"/>
  <c r="T290" i="3"/>
  <c r="R290" i="3"/>
  <c r="P290" i="3"/>
  <c r="N290" i="3"/>
  <c r="L290" i="3"/>
  <c r="J290" i="3"/>
  <c r="H290" i="3"/>
  <c r="F290" i="3"/>
  <c r="D290" i="3"/>
  <c r="R240" i="3"/>
  <c r="DB290" i="3"/>
  <c r="N240" i="3"/>
  <c r="CX290" i="3"/>
  <c r="L240" i="3"/>
  <c r="CV290" i="3"/>
  <c r="P240" i="3"/>
  <c r="CZ290" i="3"/>
  <c r="Q240" i="3"/>
  <c r="DA290" i="3"/>
  <c r="M240" i="3"/>
  <c r="CW290" i="3"/>
  <c r="O240" i="3"/>
  <c r="CY290" i="3"/>
  <c r="CH291" i="3"/>
  <c r="CF291" i="3"/>
  <c r="CD291" i="3"/>
  <c r="CB291" i="3"/>
  <c r="BZ291" i="3"/>
  <c r="BX291" i="3"/>
  <c r="BV291" i="3"/>
  <c r="BT291" i="3"/>
  <c r="BR291" i="3"/>
  <c r="BP291" i="3"/>
  <c r="BN291" i="3"/>
  <c r="BL291" i="3"/>
  <c r="BJ291" i="3"/>
  <c r="BH291" i="3"/>
  <c r="BF291" i="3"/>
  <c r="BD291" i="3"/>
  <c r="BB291" i="3"/>
  <c r="AZ291" i="3"/>
  <c r="AX291" i="3"/>
  <c r="AV291" i="3"/>
  <c r="AT291" i="3"/>
  <c r="AR291" i="3"/>
  <c r="AP291" i="3"/>
  <c r="AN291" i="3"/>
  <c r="AL291" i="3"/>
  <c r="AJ291" i="3"/>
  <c r="AH291" i="3"/>
  <c r="AF291" i="3"/>
  <c r="AD291" i="3"/>
  <c r="AB291" i="3"/>
  <c r="Z291" i="3"/>
  <c r="X291" i="3"/>
  <c r="V291" i="3"/>
  <c r="T291" i="3"/>
  <c r="R291" i="3"/>
  <c r="P291" i="3"/>
  <c r="N291" i="3"/>
  <c r="L291" i="3"/>
  <c r="J291" i="3"/>
  <c r="H291" i="3"/>
  <c r="F291" i="3"/>
  <c r="D291" i="3"/>
  <c r="B291" i="3"/>
  <c r="CI291" i="3"/>
  <c r="CG291" i="3"/>
  <c r="CE291" i="3"/>
  <c r="CC291" i="3"/>
  <c r="CA291" i="3"/>
  <c r="BY291" i="3"/>
  <c r="BW291" i="3"/>
  <c r="BU291" i="3"/>
  <c r="BS291" i="3"/>
  <c r="BQ291" i="3"/>
  <c r="BO291" i="3"/>
  <c r="BM291" i="3"/>
  <c r="BK291" i="3"/>
  <c r="BI291" i="3"/>
  <c r="BG291" i="3"/>
  <c r="BE291" i="3"/>
  <c r="BC291" i="3"/>
  <c r="BA291" i="3"/>
  <c r="AY291" i="3"/>
  <c r="AW291" i="3"/>
  <c r="AU291" i="3"/>
  <c r="AS291" i="3"/>
  <c r="AQ291" i="3"/>
  <c r="AO291" i="3"/>
  <c r="AM291" i="3"/>
  <c r="AK291" i="3"/>
  <c r="AI291" i="3"/>
  <c r="AG291" i="3"/>
  <c r="AE291" i="3"/>
  <c r="AC291" i="3"/>
  <c r="AA291" i="3"/>
  <c r="Y291" i="3"/>
  <c r="W291" i="3"/>
  <c r="U291" i="3"/>
  <c r="S291" i="3"/>
  <c r="Q291" i="3"/>
  <c r="O291" i="3"/>
  <c r="M291" i="3"/>
  <c r="K291" i="3"/>
  <c r="I291" i="3"/>
  <c r="G291" i="3"/>
  <c r="E291" i="3"/>
  <c r="C291" i="3"/>
  <c r="Q241" i="3"/>
  <c r="DA291" i="3"/>
  <c r="N241" i="3"/>
  <c r="CX291" i="3"/>
  <c r="L241" i="3"/>
  <c r="CV291" i="3"/>
  <c r="R241" i="3"/>
  <c r="DB291" i="3"/>
  <c r="M241" i="3"/>
  <c r="CW291" i="3"/>
  <c r="O241" i="3"/>
  <c r="CY291" i="3"/>
  <c r="P241" i="3"/>
  <c r="CZ291" i="3"/>
  <c r="E5" i="14"/>
  <c r="B278" i="3"/>
  <c r="CI278" i="3"/>
  <c r="CG278" i="3"/>
  <c r="CE278" i="3"/>
  <c r="CC278" i="3"/>
  <c r="CA278" i="3"/>
  <c r="BY278" i="3"/>
  <c r="BW278" i="3"/>
  <c r="BU278" i="3"/>
  <c r="BS278" i="3"/>
  <c r="BQ278" i="3"/>
  <c r="BO278" i="3"/>
  <c r="BM278" i="3"/>
  <c r="BK278" i="3"/>
  <c r="BI278" i="3"/>
  <c r="BG278" i="3"/>
  <c r="BE278" i="3"/>
  <c r="BC278" i="3"/>
  <c r="BA278" i="3"/>
  <c r="AY278" i="3"/>
  <c r="AW278" i="3"/>
  <c r="AU278" i="3"/>
  <c r="AS278" i="3"/>
  <c r="AQ278" i="3"/>
  <c r="AO278" i="3"/>
  <c r="AM278" i="3"/>
  <c r="AK278" i="3"/>
  <c r="AI278" i="3"/>
  <c r="AG278" i="3"/>
  <c r="AE278" i="3"/>
  <c r="AC278" i="3"/>
  <c r="AA278" i="3"/>
  <c r="Y278" i="3"/>
  <c r="W278" i="3"/>
  <c r="U278" i="3"/>
  <c r="S278" i="3"/>
  <c r="Q278" i="3"/>
  <c r="O278" i="3"/>
  <c r="M278" i="3"/>
  <c r="K278" i="3"/>
  <c r="I278" i="3"/>
  <c r="G278" i="3"/>
  <c r="E278" i="3"/>
  <c r="C278" i="3"/>
  <c r="CH278" i="3"/>
  <c r="CF278" i="3"/>
  <c r="CD278" i="3"/>
  <c r="CB278" i="3"/>
  <c r="BZ278" i="3"/>
  <c r="BX278" i="3"/>
  <c r="BV278" i="3"/>
  <c r="BT278" i="3"/>
  <c r="BR278" i="3"/>
  <c r="BP278" i="3"/>
  <c r="BN278" i="3"/>
  <c r="BL278" i="3"/>
  <c r="BJ278" i="3"/>
  <c r="BH278" i="3"/>
  <c r="BF278" i="3"/>
  <c r="BD278" i="3"/>
  <c r="BB278" i="3"/>
  <c r="AZ278" i="3"/>
  <c r="AX278" i="3"/>
  <c r="AV278" i="3"/>
  <c r="AT278" i="3"/>
  <c r="AR278" i="3"/>
  <c r="AP278" i="3"/>
  <c r="AN278" i="3"/>
  <c r="AL278" i="3"/>
  <c r="AJ278" i="3"/>
  <c r="AH278" i="3"/>
  <c r="AF278" i="3"/>
  <c r="AD278" i="3"/>
  <c r="AB278" i="3"/>
  <c r="Z278" i="3"/>
  <c r="X278" i="3"/>
  <c r="V278" i="3"/>
  <c r="T278" i="3"/>
  <c r="R278" i="3"/>
  <c r="P278" i="3"/>
  <c r="N278" i="3"/>
  <c r="L278" i="3"/>
  <c r="J278" i="3"/>
  <c r="H278" i="3"/>
  <c r="F278" i="3"/>
  <c r="D278" i="3"/>
  <c r="Q228" i="3"/>
  <c r="DA278" i="3"/>
  <c r="M228" i="3"/>
  <c r="CW278" i="3"/>
  <c r="O228" i="3"/>
  <c r="CY278" i="3"/>
  <c r="R228" i="3"/>
  <c r="DB278" i="3"/>
  <c r="N228" i="3"/>
  <c r="CX278" i="3"/>
  <c r="L228" i="3"/>
  <c r="CV278" i="3"/>
  <c r="P228" i="3"/>
  <c r="CZ278" i="3"/>
  <c r="B264" i="3"/>
  <c r="CH264" i="3"/>
  <c r="CF264" i="3"/>
  <c r="CD264" i="3"/>
  <c r="CB264" i="3"/>
  <c r="BZ264" i="3"/>
  <c r="BX264" i="3"/>
  <c r="BV264" i="3"/>
  <c r="BT264" i="3"/>
  <c r="BR264" i="3"/>
  <c r="BP264" i="3"/>
  <c r="BN264" i="3"/>
  <c r="BL264" i="3"/>
  <c r="BJ264" i="3"/>
  <c r="BH264" i="3"/>
  <c r="BF264" i="3"/>
  <c r="BD264" i="3"/>
  <c r="BB264" i="3"/>
  <c r="AZ264" i="3"/>
  <c r="AX264" i="3"/>
  <c r="AV264" i="3"/>
  <c r="AT264" i="3"/>
  <c r="AR264" i="3"/>
  <c r="AP264" i="3"/>
  <c r="AN264" i="3"/>
  <c r="AL264" i="3"/>
  <c r="AJ264" i="3"/>
  <c r="AH264" i="3"/>
  <c r="AF264" i="3"/>
  <c r="AD264" i="3"/>
  <c r="AB264" i="3"/>
  <c r="Z264" i="3"/>
  <c r="X264" i="3"/>
  <c r="V264" i="3"/>
  <c r="T264" i="3"/>
  <c r="R264" i="3"/>
  <c r="P264" i="3"/>
  <c r="N264" i="3"/>
  <c r="L264" i="3"/>
  <c r="J264" i="3"/>
  <c r="H264" i="3"/>
  <c r="F264" i="3"/>
  <c r="D264" i="3"/>
  <c r="CI264" i="3"/>
  <c r="CG264" i="3"/>
  <c r="CE264" i="3"/>
  <c r="CC264" i="3"/>
  <c r="CA264" i="3"/>
  <c r="BY264" i="3"/>
  <c r="BW264" i="3"/>
  <c r="BU264" i="3"/>
  <c r="BS264" i="3"/>
  <c r="BQ264" i="3"/>
  <c r="BO264" i="3"/>
  <c r="BM264" i="3"/>
  <c r="BK264" i="3"/>
  <c r="BI264" i="3"/>
  <c r="BG264" i="3"/>
  <c r="BE264" i="3"/>
  <c r="BC264" i="3"/>
  <c r="BA264" i="3"/>
  <c r="AY264" i="3"/>
  <c r="AW264" i="3"/>
  <c r="AU264" i="3"/>
  <c r="AS264" i="3"/>
  <c r="AQ264" i="3"/>
  <c r="AO264" i="3"/>
  <c r="AM264" i="3"/>
  <c r="AK264" i="3"/>
  <c r="AI264" i="3"/>
  <c r="AG264" i="3"/>
  <c r="AE264" i="3"/>
  <c r="AC264" i="3"/>
  <c r="AA264" i="3"/>
  <c r="Y264" i="3"/>
  <c r="W264" i="3"/>
  <c r="U264" i="3"/>
  <c r="S264" i="3"/>
  <c r="Q264" i="3"/>
  <c r="O264" i="3"/>
  <c r="M264" i="3"/>
  <c r="K264" i="3"/>
  <c r="I264" i="3"/>
  <c r="G264" i="3"/>
  <c r="E264" i="3"/>
  <c r="C264" i="3"/>
  <c r="R214" i="3"/>
  <c r="DB264" i="3"/>
  <c r="N214" i="3"/>
  <c r="CX264" i="3"/>
  <c r="L214" i="3"/>
  <c r="CV264" i="3"/>
  <c r="P214" i="3"/>
  <c r="CZ264" i="3"/>
  <c r="Q214" i="3"/>
  <c r="DA264" i="3"/>
  <c r="M214" i="3"/>
  <c r="CW264" i="3"/>
  <c r="O214" i="3"/>
  <c r="CY264" i="3"/>
  <c r="Z178" i="4"/>
  <c r="B260" i="3"/>
  <c r="CH260" i="3"/>
  <c r="CF260" i="3"/>
  <c r="CD260" i="3"/>
  <c r="CB260" i="3"/>
  <c r="BZ260" i="3"/>
  <c r="BX260" i="3"/>
  <c r="BV260" i="3"/>
  <c r="BT260" i="3"/>
  <c r="BR260" i="3"/>
  <c r="BP260" i="3"/>
  <c r="BN260" i="3"/>
  <c r="BL260" i="3"/>
  <c r="BJ260" i="3"/>
  <c r="BH260" i="3"/>
  <c r="BF260" i="3"/>
  <c r="BD260" i="3"/>
  <c r="BB260" i="3"/>
  <c r="AZ260" i="3"/>
  <c r="AX260" i="3"/>
  <c r="AV260" i="3"/>
  <c r="AT260" i="3"/>
  <c r="AR260" i="3"/>
  <c r="AP260" i="3"/>
  <c r="AN260" i="3"/>
  <c r="AL260" i="3"/>
  <c r="AJ260" i="3"/>
  <c r="AH260" i="3"/>
  <c r="AF260" i="3"/>
  <c r="AD260" i="3"/>
  <c r="AB260" i="3"/>
  <c r="Z260" i="3"/>
  <c r="X260" i="3"/>
  <c r="V260" i="3"/>
  <c r="T260" i="3"/>
  <c r="R260" i="3"/>
  <c r="P260" i="3"/>
  <c r="N260" i="3"/>
  <c r="L260" i="3"/>
  <c r="J260" i="3"/>
  <c r="H260" i="3"/>
  <c r="F260" i="3"/>
  <c r="D260" i="3"/>
  <c r="CI260" i="3"/>
  <c r="CG260" i="3"/>
  <c r="CE260" i="3"/>
  <c r="CC260" i="3"/>
  <c r="CA260" i="3"/>
  <c r="BY260" i="3"/>
  <c r="BW260" i="3"/>
  <c r="BU260" i="3"/>
  <c r="BS260" i="3"/>
  <c r="BQ260" i="3"/>
  <c r="BO260" i="3"/>
  <c r="BM260" i="3"/>
  <c r="BK260" i="3"/>
  <c r="BI260" i="3"/>
  <c r="BG260" i="3"/>
  <c r="BE260" i="3"/>
  <c r="BC260" i="3"/>
  <c r="BA260" i="3"/>
  <c r="AY260" i="3"/>
  <c r="AW260" i="3"/>
  <c r="AU260" i="3"/>
  <c r="AS260" i="3"/>
  <c r="AQ260" i="3"/>
  <c r="AO260" i="3"/>
  <c r="AM260" i="3"/>
  <c r="AK260" i="3"/>
  <c r="AI260" i="3"/>
  <c r="AG260" i="3"/>
  <c r="AE260" i="3"/>
  <c r="AC260" i="3"/>
  <c r="AA260" i="3"/>
  <c r="Y260" i="3"/>
  <c r="W260" i="3"/>
  <c r="U260" i="3"/>
  <c r="S260" i="3"/>
  <c r="Q260" i="3"/>
  <c r="O260" i="3"/>
  <c r="M260" i="3"/>
  <c r="K260" i="3"/>
  <c r="I260" i="3"/>
  <c r="G260" i="3"/>
  <c r="E260" i="3"/>
  <c r="C260" i="3"/>
  <c r="Q210" i="3"/>
  <c r="DA260" i="3"/>
  <c r="M210" i="3"/>
  <c r="CW260" i="3"/>
  <c r="O210" i="3"/>
  <c r="CY260" i="3"/>
  <c r="R210" i="3"/>
  <c r="DB260" i="3"/>
  <c r="N210" i="3"/>
  <c r="CX260" i="3"/>
  <c r="L210" i="3"/>
  <c r="CV260" i="3"/>
  <c r="P210" i="3"/>
  <c r="CZ260" i="3"/>
  <c r="CH279" i="3"/>
  <c r="CF279" i="3"/>
  <c r="CD279" i="3"/>
  <c r="CB279" i="3"/>
  <c r="BZ279" i="3"/>
  <c r="BX279" i="3"/>
  <c r="BV279" i="3"/>
  <c r="BT279" i="3"/>
  <c r="BR279" i="3"/>
  <c r="BP279" i="3"/>
  <c r="BN279" i="3"/>
  <c r="BL279" i="3"/>
  <c r="BJ279" i="3"/>
  <c r="BH279" i="3"/>
  <c r="BF279" i="3"/>
  <c r="BD279" i="3"/>
  <c r="BB279" i="3"/>
  <c r="AZ279" i="3"/>
  <c r="AX279" i="3"/>
  <c r="AV279" i="3"/>
  <c r="AT279" i="3"/>
  <c r="AR279" i="3"/>
  <c r="AP279" i="3"/>
  <c r="AN279" i="3"/>
  <c r="AL279" i="3"/>
  <c r="AJ279" i="3"/>
  <c r="AH279" i="3"/>
  <c r="AF279" i="3"/>
  <c r="AD279" i="3"/>
  <c r="AB279" i="3"/>
  <c r="Z279" i="3"/>
  <c r="X279" i="3"/>
  <c r="V279" i="3"/>
  <c r="T279" i="3"/>
  <c r="R279" i="3"/>
  <c r="P279" i="3"/>
  <c r="N279" i="3"/>
  <c r="L279" i="3"/>
  <c r="J279" i="3"/>
  <c r="H279" i="3"/>
  <c r="F279" i="3"/>
  <c r="D279" i="3"/>
  <c r="B279" i="3"/>
  <c r="CI279" i="3"/>
  <c r="CG279" i="3"/>
  <c r="CE279" i="3"/>
  <c r="CC279" i="3"/>
  <c r="CA279" i="3"/>
  <c r="BY279" i="3"/>
  <c r="BW279" i="3"/>
  <c r="BU279" i="3"/>
  <c r="BS279" i="3"/>
  <c r="BQ279" i="3"/>
  <c r="BO279" i="3"/>
  <c r="BM279" i="3"/>
  <c r="BK279" i="3"/>
  <c r="BI279" i="3"/>
  <c r="BG279" i="3"/>
  <c r="BE279" i="3"/>
  <c r="BC279" i="3"/>
  <c r="BA279" i="3"/>
  <c r="AY279" i="3"/>
  <c r="AW279" i="3"/>
  <c r="AU279" i="3"/>
  <c r="AS279" i="3"/>
  <c r="AQ279" i="3"/>
  <c r="AO279" i="3"/>
  <c r="AM279" i="3"/>
  <c r="AK279" i="3"/>
  <c r="AI279" i="3"/>
  <c r="AG279" i="3"/>
  <c r="AE279" i="3"/>
  <c r="AC279" i="3"/>
  <c r="AA279" i="3"/>
  <c r="Y279" i="3"/>
  <c r="W279" i="3"/>
  <c r="U279" i="3"/>
  <c r="S279" i="3"/>
  <c r="Q279" i="3"/>
  <c r="O279" i="3"/>
  <c r="M279" i="3"/>
  <c r="K279" i="3"/>
  <c r="I279" i="3"/>
  <c r="G279" i="3"/>
  <c r="E279" i="3"/>
  <c r="C279" i="3"/>
  <c r="R229" i="3"/>
  <c r="DB279" i="3"/>
  <c r="M229" i="3"/>
  <c r="CW279" i="3"/>
  <c r="O229" i="3"/>
  <c r="CY279" i="3"/>
  <c r="P229" i="3"/>
  <c r="CZ279" i="3"/>
  <c r="Q229" i="3"/>
  <c r="DA279" i="3"/>
  <c r="N229" i="3"/>
  <c r="CX279" i="3"/>
  <c r="L229" i="3"/>
  <c r="CV279" i="3"/>
  <c r="Z161" i="4"/>
  <c r="D272" i="4"/>
  <c r="Z163" i="4"/>
  <c r="CF281" i="3"/>
  <c r="G4" i="14"/>
  <c r="Z171" i="4"/>
  <c r="Z168" i="4"/>
  <c r="Z140" i="4"/>
  <c r="Z146" i="4"/>
  <c r="B254" i="3"/>
  <c r="CH254" i="3"/>
  <c r="CF254" i="3"/>
  <c r="CD254" i="3"/>
  <c r="CB254" i="3"/>
  <c r="BZ254" i="3"/>
  <c r="BX254" i="3"/>
  <c r="BV254" i="3"/>
  <c r="BT254" i="3"/>
  <c r="BR254" i="3"/>
  <c r="BP254" i="3"/>
  <c r="BN254" i="3"/>
  <c r="BL254" i="3"/>
  <c r="BJ254" i="3"/>
  <c r="BH254" i="3"/>
  <c r="BF254" i="3"/>
  <c r="BD254" i="3"/>
  <c r="BB254" i="3"/>
  <c r="AZ254" i="3"/>
  <c r="AX254" i="3"/>
  <c r="AV254" i="3"/>
  <c r="AT254" i="3"/>
  <c r="AR254" i="3"/>
  <c r="AP254" i="3"/>
  <c r="AN254" i="3"/>
  <c r="AL254" i="3"/>
  <c r="AJ254" i="3"/>
  <c r="AH254" i="3"/>
  <c r="AF254" i="3"/>
  <c r="AD254" i="3"/>
  <c r="AB254" i="3"/>
  <c r="Z254" i="3"/>
  <c r="X254" i="3"/>
  <c r="V254" i="3"/>
  <c r="T254" i="3"/>
  <c r="R254" i="3"/>
  <c r="P254" i="3"/>
  <c r="N254" i="3"/>
  <c r="L254" i="3"/>
  <c r="J254" i="3"/>
  <c r="H254" i="3"/>
  <c r="F254" i="3"/>
  <c r="D254" i="3"/>
  <c r="CI254" i="3"/>
  <c r="CG254" i="3"/>
  <c r="CE254" i="3"/>
  <c r="CC254" i="3"/>
  <c r="CA254" i="3"/>
  <c r="BY254" i="3"/>
  <c r="BW254" i="3"/>
  <c r="BU254" i="3"/>
  <c r="BS254" i="3"/>
  <c r="BQ254" i="3"/>
  <c r="BO254" i="3"/>
  <c r="BM254" i="3"/>
  <c r="BK254" i="3"/>
  <c r="BI254" i="3"/>
  <c r="BG254" i="3"/>
  <c r="BE254" i="3"/>
  <c r="BC254" i="3"/>
  <c r="BA254" i="3"/>
  <c r="AY254" i="3"/>
  <c r="AW254" i="3"/>
  <c r="AU254" i="3"/>
  <c r="AS254" i="3"/>
  <c r="AQ254" i="3"/>
  <c r="AO254" i="3"/>
  <c r="AM254" i="3"/>
  <c r="AK254" i="3"/>
  <c r="AI254" i="3"/>
  <c r="AG254" i="3"/>
  <c r="AE254" i="3"/>
  <c r="AC254" i="3"/>
  <c r="AA254" i="3"/>
  <c r="Y254" i="3"/>
  <c r="W254" i="3"/>
  <c r="U254" i="3"/>
  <c r="S254" i="3"/>
  <c r="Q254" i="3"/>
  <c r="O254" i="3"/>
  <c r="M254" i="3"/>
  <c r="K254" i="3"/>
  <c r="I254" i="3"/>
  <c r="G254" i="3"/>
  <c r="E254" i="3"/>
  <c r="C254" i="3"/>
  <c r="R204" i="3"/>
  <c r="DB254" i="3"/>
  <c r="N204" i="3"/>
  <c r="CX254" i="3"/>
  <c r="L204" i="3"/>
  <c r="CV254" i="3"/>
  <c r="P204" i="3"/>
  <c r="CZ254" i="3"/>
  <c r="Q204" i="3"/>
  <c r="DA254" i="3"/>
  <c r="M204" i="3"/>
  <c r="CW254" i="3"/>
  <c r="O204" i="3"/>
  <c r="CY254" i="3"/>
  <c r="Z169" i="4"/>
  <c r="Z176" i="4"/>
  <c r="B280" i="3"/>
  <c r="CI280" i="3"/>
  <c r="CG280" i="3"/>
  <c r="CE280" i="3"/>
  <c r="CC280" i="3"/>
  <c r="CA280" i="3"/>
  <c r="BY280" i="3"/>
  <c r="BW280" i="3"/>
  <c r="BU280" i="3"/>
  <c r="BS280" i="3"/>
  <c r="BQ280" i="3"/>
  <c r="BO280" i="3"/>
  <c r="BM280" i="3"/>
  <c r="BK280" i="3"/>
  <c r="BI280" i="3"/>
  <c r="BG280" i="3"/>
  <c r="BE280" i="3"/>
  <c r="BC280" i="3"/>
  <c r="BA280" i="3"/>
  <c r="AY280" i="3"/>
  <c r="AW280" i="3"/>
  <c r="AU280" i="3"/>
  <c r="AS280" i="3"/>
  <c r="AQ280" i="3"/>
  <c r="AO280" i="3"/>
  <c r="AM280" i="3"/>
  <c r="AK280" i="3"/>
  <c r="AI280" i="3"/>
  <c r="AG280" i="3"/>
  <c r="AE280" i="3"/>
  <c r="AC280" i="3"/>
  <c r="AA280" i="3"/>
  <c r="Y280" i="3"/>
  <c r="W280" i="3"/>
  <c r="U280" i="3"/>
  <c r="S280" i="3"/>
  <c r="Q280" i="3"/>
  <c r="O280" i="3"/>
  <c r="M280" i="3"/>
  <c r="K280" i="3"/>
  <c r="I280" i="3"/>
  <c r="G280" i="3"/>
  <c r="E280" i="3"/>
  <c r="C280" i="3"/>
  <c r="CH280" i="3"/>
  <c r="CF280" i="3"/>
  <c r="CD280" i="3"/>
  <c r="CB280" i="3"/>
  <c r="BZ280" i="3"/>
  <c r="BX280" i="3"/>
  <c r="BV280" i="3"/>
  <c r="BT280" i="3"/>
  <c r="BR280" i="3"/>
  <c r="BP280" i="3"/>
  <c r="BN280" i="3"/>
  <c r="BL280" i="3"/>
  <c r="BJ280" i="3"/>
  <c r="BH280" i="3"/>
  <c r="BF280" i="3"/>
  <c r="BD280" i="3"/>
  <c r="BB280" i="3"/>
  <c r="AZ280" i="3"/>
  <c r="AX280" i="3"/>
  <c r="AV280" i="3"/>
  <c r="AT280" i="3"/>
  <c r="AR280" i="3"/>
  <c r="AP280" i="3"/>
  <c r="AN280" i="3"/>
  <c r="AL280" i="3"/>
  <c r="AJ280" i="3"/>
  <c r="AH280" i="3"/>
  <c r="AF280" i="3"/>
  <c r="AD280" i="3"/>
  <c r="AB280" i="3"/>
  <c r="Z280" i="3"/>
  <c r="X280" i="3"/>
  <c r="V280" i="3"/>
  <c r="T280" i="3"/>
  <c r="R280" i="3"/>
  <c r="P280" i="3"/>
  <c r="N280" i="3"/>
  <c r="L280" i="3"/>
  <c r="J280" i="3"/>
  <c r="H280" i="3"/>
  <c r="F280" i="3"/>
  <c r="D280" i="3"/>
  <c r="Q230" i="3"/>
  <c r="DA280" i="3"/>
  <c r="M230" i="3"/>
  <c r="CW280" i="3"/>
  <c r="O230" i="3"/>
  <c r="CY280" i="3"/>
  <c r="R230" i="3"/>
  <c r="DB280" i="3"/>
  <c r="N230" i="3"/>
  <c r="CX280" i="3"/>
  <c r="L230" i="3"/>
  <c r="CV280" i="3"/>
  <c r="P230" i="3"/>
  <c r="CZ280" i="3"/>
  <c r="CH283" i="3"/>
  <c r="CF283" i="3"/>
  <c r="CD283" i="3"/>
  <c r="CB283" i="3"/>
  <c r="BZ283" i="3"/>
  <c r="BX283" i="3"/>
  <c r="BV283" i="3"/>
  <c r="BT283" i="3"/>
  <c r="BR283" i="3"/>
  <c r="BP283" i="3"/>
  <c r="BN283" i="3"/>
  <c r="BL283" i="3"/>
  <c r="BJ283" i="3"/>
  <c r="BH283" i="3"/>
  <c r="BF283" i="3"/>
  <c r="BD283" i="3"/>
  <c r="BB283" i="3"/>
  <c r="AZ283" i="3"/>
  <c r="AX283" i="3"/>
  <c r="AV283" i="3"/>
  <c r="AT283" i="3"/>
  <c r="AR283" i="3"/>
  <c r="AP283" i="3"/>
  <c r="AN283" i="3"/>
  <c r="AL283" i="3"/>
  <c r="AJ283" i="3"/>
  <c r="AH283" i="3"/>
  <c r="AF283" i="3"/>
  <c r="AD283" i="3"/>
  <c r="AB283" i="3"/>
  <c r="Z283" i="3"/>
  <c r="X283" i="3"/>
  <c r="V283" i="3"/>
  <c r="T283" i="3"/>
  <c r="R283" i="3"/>
  <c r="P283" i="3"/>
  <c r="N283" i="3"/>
  <c r="L283" i="3"/>
  <c r="J283" i="3"/>
  <c r="H283" i="3"/>
  <c r="F283" i="3"/>
  <c r="D283" i="3"/>
  <c r="B283" i="3"/>
  <c r="CI283" i="3"/>
  <c r="CG283" i="3"/>
  <c r="CE283" i="3"/>
  <c r="CC283" i="3"/>
  <c r="CA283" i="3"/>
  <c r="BY283" i="3"/>
  <c r="BW283" i="3"/>
  <c r="BU283" i="3"/>
  <c r="BS283" i="3"/>
  <c r="BQ283" i="3"/>
  <c r="BO283" i="3"/>
  <c r="BM283" i="3"/>
  <c r="BK283" i="3"/>
  <c r="BI283" i="3"/>
  <c r="BG283" i="3"/>
  <c r="BE283" i="3"/>
  <c r="BC283" i="3"/>
  <c r="BA283" i="3"/>
  <c r="AY283" i="3"/>
  <c r="AW283" i="3"/>
  <c r="AU283" i="3"/>
  <c r="AS283" i="3"/>
  <c r="AQ283" i="3"/>
  <c r="AO283" i="3"/>
  <c r="AM283" i="3"/>
  <c r="AK283" i="3"/>
  <c r="AI283" i="3"/>
  <c r="AG283" i="3"/>
  <c r="AE283" i="3"/>
  <c r="AC283" i="3"/>
  <c r="AA283" i="3"/>
  <c r="Y283" i="3"/>
  <c r="W283" i="3"/>
  <c r="U283" i="3"/>
  <c r="S283" i="3"/>
  <c r="Q283" i="3"/>
  <c r="O283" i="3"/>
  <c r="M283" i="3"/>
  <c r="K283" i="3"/>
  <c r="I283" i="3"/>
  <c r="G283" i="3"/>
  <c r="E283" i="3"/>
  <c r="C283" i="3"/>
  <c r="R233" i="3"/>
  <c r="DB283" i="3"/>
  <c r="M233" i="3"/>
  <c r="CW283" i="3"/>
  <c r="O233" i="3"/>
  <c r="CY283" i="3"/>
  <c r="P233" i="3"/>
  <c r="CZ283" i="3"/>
  <c r="Q233" i="3"/>
  <c r="DA283" i="3"/>
  <c r="N233" i="3"/>
  <c r="CX283" i="3"/>
  <c r="L233" i="3"/>
  <c r="CV283" i="3"/>
  <c r="Z153" i="4"/>
  <c r="B268" i="3"/>
  <c r="CI268" i="3"/>
  <c r="CG268" i="3"/>
  <c r="CE268" i="3"/>
  <c r="CC268" i="3"/>
  <c r="CA268" i="3"/>
  <c r="BY268" i="3"/>
  <c r="BW268" i="3"/>
  <c r="BU268" i="3"/>
  <c r="BS268" i="3"/>
  <c r="BQ268" i="3"/>
  <c r="BO268" i="3"/>
  <c r="BM268" i="3"/>
  <c r="BK268" i="3"/>
  <c r="BI268" i="3"/>
  <c r="BG268" i="3"/>
  <c r="BE268" i="3"/>
  <c r="BC268" i="3"/>
  <c r="BA268" i="3"/>
  <c r="AY268" i="3"/>
  <c r="AW268" i="3"/>
  <c r="AU268" i="3"/>
  <c r="AS268" i="3"/>
  <c r="AQ268" i="3"/>
  <c r="AO268" i="3"/>
  <c r="AM268" i="3"/>
  <c r="AK268" i="3"/>
  <c r="AI268" i="3"/>
  <c r="AG268" i="3"/>
  <c r="AE268" i="3"/>
  <c r="AC268" i="3"/>
  <c r="AA268" i="3"/>
  <c r="Y268" i="3"/>
  <c r="W268" i="3"/>
  <c r="U268" i="3"/>
  <c r="S268" i="3"/>
  <c r="Q268" i="3"/>
  <c r="O268" i="3"/>
  <c r="M268" i="3"/>
  <c r="K268" i="3"/>
  <c r="I268" i="3"/>
  <c r="G268" i="3"/>
  <c r="E268" i="3"/>
  <c r="C268" i="3"/>
  <c r="CH268" i="3"/>
  <c r="CF268" i="3"/>
  <c r="CD268" i="3"/>
  <c r="CB268" i="3"/>
  <c r="BZ268" i="3"/>
  <c r="BX268" i="3"/>
  <c r="BV268" i="3"/>
  <c r="BT268" i="3"/>
  <c r="BR268" i="3"/>
  <c r="BP268" i="3"/>
  <c r="BN268" i="3"/>
  <c r="BL268" i="3"/>
  <c r="BJ268" i="3"/>
  <c r="BH268" i="3"/>
  <c r="BF268" i="3"/>
  <c r="BD268" i="3"/>
  <c r="BB268" i="3"/>
  <c r="AZ268" i="3"/>
  <c r="AX268" i="3"/>
  <c r="AV268" i="3"/>
  <c r="AT268" i="3"/>
  <c r="AR268" i="3"/>
  <c r="AP268" i="3"/>
  <c r="AN268" i="3"/>
  <c r="AL268" i="3"/>
  <c r="AJ268" i="3"/>
  <c r="AH268" i="3"/>
  <c r="AF268" i="3"/>
  <c r="AD268" i="3"/>
  <c r="AB268" i="3"/>
  <c r="Z268" i="3"/>
  <c r="X268" i="3"/>
  <c r="V268" i="3"/>
  <c r="T268" i="3"/>
  <c r="R268" i="3"/>
  <c r="P268" i="3"/>
  <c r="N268" i="3"/>
  <c r="L268" i="3"/>
  <c r="J268" i="3"/>
  <c r="H268" i="3"/>
  <c r="F268" i="3"/>
  <c r="D268" i="3"/>
  <c r="Q218" i="3"/>
  <c r="DA268" i="3"/>
  <c r="M218" i="3"/>
  <c r="CW268" i="3"/>
  <c r="O218" i="3"/>
  <c r="CY268" i="3"/>
  <c r="R218" i="3"/>
  <c r="DB268" i="3"/>
  <c r="N218" i="3"/>
  <c r="CX268" i="3"/>
  <c r="L218" i="3"/>
  <c r="CV268" i="3"/>
  <c r="P218" i="3"/>
  <c r="CZ268" i="3"/>
  <c r="CH277" i="3"/>
  <c r="CF277" i="3"/>
  <c r="CD277" i="3"/>
  <c r="CB277" i="3"/>
  <c r="BZ277" i="3"/>
  <c r="BX277" i="3"/>
  <c r="BV277" i="3"/>
  <c r="BT277" i="3"/>
  <c r="BR277" i="3"/>
  <c r="BP277" i="3"/>
  <c r="BN277" i="3"/>
  <c r="BL277" i="3"/>
  <c r="BJ277" i="3"/>
  <c r="BH277" i="3"/>
  <c r="BF277" i="3"/>
  <c r="BD277" i="3"/>
  <c r="BB277" i="3"/>
  <c r="AZ277" i="3"/>
  <c r="AX277" i="3"/>
  <c r="AV277" i="3"/>
  <c r="AT277" i="3"/>
  <c r="AR277" i="3"/>
  <c r="AP277" i="3"/>
  <c r="AN277" i="3"/>
  <c r="AL277" i="3"/>
  <c r="AJ277" i="3"/>
  <c r="AH277" i="3"/>
  <c r="AF277" i="3"/>
  <c r="AD277" i="3"/>
  <c r="AB277" i="3"/>
  <c r="Z277" i="3"/>
  <c r="X277" i="3"/>
  <c r="V277" i="3"/>
  <c r="T277" i="3"/>
  <c r="R277" i="3"/>
  <c r="P277" i="3"/>
  <c r="N277" i="3"/>
  <c r="L277" i="3"/>
  <c r="J277" i="3"/>
  <c r="H277" i="3"/>
  <c r="F277" i="3"/>
  <c r="D277" i="3"/>
  <c r="B277" i="3"/>
  <c r="CI277" i="3"/>
  <c r="CG277" i="3"/>
  <c r="CE277" i="3"/>
  <c r="CC277" i="3"/>
  <c r="CA277" i="3"/>
  <c r="BY277" i="3"/>
  <c r="BW277" i="3"/>
  <c r="BU277" i="3"/>
  <c r="BS277" i="3"/>
  <c r="BQ277" i="3"/>
  <c r="BO277" i="3"/>
  <c r="BM277" i="3"/>
  <c r="BK277" i="3"/>
  <c r="BI277" i="3"/>
  <c r="BG277" i="3"/>
  <c r="BE277" i="3"/>
  <c r="BC277" i="3"/>
  <c r="BA277" i="3"/>
  <c r="AY277" i="3"/>
  <c r="AW277" i="3"/>
  <c r="AU277" i="3"/>
  <c r="AS277" i="3"/>
  <c r="AQ277" i="3"/>
  <c r="AO277" i="3"/>
  <c r="AM277" i="3"/>
  <c r="AK277" i="3"/>
  <c r="AI277" i="3"/>
  <c r="AG277" i="3"/>
  <c r="AE277" i="3"/>
  <c r="AC277" i="3"/>
  <c r="AA277" i="3"/>
  <c r="Y277" i="3"/>
  <c r="W277" i="3"/>
  <c r="U277" i="3"/>
  <c r="S277" i="3"/>
  <c r="Q277" i="3"/>
  <c r="O277" i="3"/>
  <c r="M277" i="3"/>
  <c r="K277" i="3"/>
  <c r="I277" i="3"/>
  <c r="G277" i="3"/>
  <c r="E277" i="3"/>
  <c r="C277" i="3"/>
  <c r="R227" i="3"/>
  <c r="DB277" i="3"/>
  <c r="M227" i="3"/>
  <c r="CW277" i="3"/>
  <c r="O227" i="3"/>
  <c r="CY277" i="3"/>
  <c r="P227" i="3"/>
  <c r="CZ277" i="3"/>
  <c r="Q227" i="3"/>
  <c r="DA277" i="3"/>
  <c r="N227" i="3"/>
  <c r="CX277" i="3"/>
  <c r="L227" i="3"/>
  <c r="CV277" i="3"/>
  <c r="Z155" i="4"/>
  <c r="CH285" i="3"/>
  <c r="CF285" i="3"/>
  <c r="CD285" i="3"/>
  <c r="CB285" i="3"/>
  <c r="BZ285" i="3"/>
  <c r="BX285" i="3"/>
  <c r="BV285" i="3"/>
  <c r="BT285" i="3"/>
  <c r="BR285" i="3"/>
  <c r="BP285" i="3"/>
  <c r="BN285" i="3"/>
  <c r="BL285" i="3"/>
  <c r="BJ285" i="3"/>
  <c r="BH285" i="3"/>
  <c r="BF285" i="3"/>
  <c r="BD285" i="3"/>
  <c r="BB285" i="3"/>
  <c r="AZ285" i="3"/>
  <c r="AX285" i="3"/>
  <c r="AV285" i="3"/>
  <c r="AT285" i="3"/>
  <c r="AR285" i="3"/>
  <c r="AP285" i="3"/>
  <c r="AN285" i="3"/>
  <c r="AL285" i="3"/>
  <c r="AJ285" i="3"/>
  <c r="AH285" i="3"/>
  <c r="AF285" i="3"/>
  <c r="AD285" i="3"/>
  <c r="AB285" i="3"/>
  <c r="Z285" i="3"/>
  <c r="X285" i="3"/>
  <c r="V285" i="3"/>
  <c r="T285" i="3"/>
  <c r="R285" i="3"/>
  <c r="P285" i="3"/>
  <c r="N285" i="3"/>
  <c r="L285" i="3"/>
  <c r="J285" i="3"/>
  <c r="H285" i="3"/>
  <c r="F285" i="3"/>
  <c r="D285" i="3"/>
  <c r="B285" i="3"/>
  <c r="CI285" i="3"/>
  <c r="CG285" i="3"/>
  <c r="CE285" i="3"/>
  <c r="CC285" i="3"/>
  <c r="CA285" i="3"/>
  <c r="BY285" i="3"/>
  <c r="BW285" i="3"/>
  <c r="BU285" i="3"/>
  <c r="BS285" i="3"/>
  <c r="BQ285" i="3"/>
  <c r="BO285" i="3"/>
  <c r="BM285" i="3"/>
  <c r="BK285" i="3"/>
  <c r="BI285" i="3"/>
  <c r="BG285" i="3"/>
  <c r="BE285" i="3"/>
  <c r="BC285" i="3"/>
  <c r="BA285" i="3"/>
  <c r="AY285" i="3"/>
  <c r="AW285" i="3"/>
  <c r="AU285" i="3"/>
  <c r="AS285" i="3"/>
  <c r="AQ285" i="3"/>
  <c r="AO285" i="3"/>
  <c r="AM285" i="3"/>
  <c r="AK285" i="3"/>
  <c r="AI285" i="3"/>
  <c r="AG285" i="3"/>
  <c r="AE285" i="3"/>
  <c r="AC285" i="3"/>
  <c r="AA285" i="3"/>
  <c r="Y285" i="3"/>
  <c r="W285" i="3"/>
  <c r="U285" i="3"/>
  <c r="S285" i="3"/>
  <c r="Q285" i="3"/>
  <c r="O285" i="3"/>
  <c r="M285" i="3"/>
  <c r="K285" i="3"/>
  <c r="I285" i="3"/>
  <c r="G285" i="3"/>
  <c r="E285" i="3"/>
  <c r="C285" i="3"/>
  <c r="Q235" i="3"/>
  <c r="DA285" i="3"/>
  <c r="N235" i="3"/>
  <c r="CX285" i="3"/>
  <c r="L235" i="3"/>
  <c r="CV285" i="3"/>
  <c r="R235" i="3"/>
  <c r="DB285" i="3"/>
  <c r="M235" i="3"/>
  <c r="CW285" i="3"/>
  <c r="O235" i="3"/>
  <c r="CY285" i="3"/>
  <c r="P235" i="3"/>
  <c r="CZ285" i="3"/>
  <c r="Z177" i="4"/>
  <c r="Z149" i="4"/>
  <c r="Z150" i="4"/>
  <c r="CH293" i="3"/>
  <c r="CF293" i="3"/>
  <c r="CD293" i="3"/>
  <c r="CB293" i="3"/>
  <c r="BZ293" i="3"/>
  <c r="BX293" i="3"/>
  <c r="BV293" i="3"/>
  <c r="BT293" i="3"/>
  <c r="BR293" i="3"/>
  <c r="BP293" i="3"/>
  <c r="BN293" i="3"/>
  <c r="BL293" i="3"/>
  <c r="BJ293" i="3"/>
  <c r="BH293" i="3"/>
  <c r="BF293" i="3"/>
  <c r="BD293" i="3"/>
  <c r="BB293" i="3"/>
  <c r="AZ293" i="3"/>
  <c r="AX293" i="3"/>
  <c r="AV293" i="3"/>
  <c r="AT293" i="3"/>
  <c r="AR293" i="3"/>
  <c r="AP293" i="3"/>
  <c r="AN293" i="3"/>
  <c r="AL293" i="3"/>
  <c r="AJ293" i="3"/>
  <c r="AH293" i="3"/>
  <c r="AF293" i="3"/>
  <c r="AD293" i="3"/>
  <c r="AB293" i="3"/>
  <c r="Z293" i="3"/>
  <c r="X293" i="3"/>
  <c r="V293" i="3"/>
  <c r="T293" i="3"/>
  <c r="R293" i="3"/>
  <c r="P293" i="3"/>
  <c r="N293" i="3"/>
  <c r="L293" i="3"/>
  <c r="J293" i="3"/>
  <c r="H293" i="3"/>
  <c r="F293" i="3"/>
  <c r="D293" i="3"/>
  <c r="B293" i="3"/>
  <c r="CI293" i="3"/>
  <c r="CG293" i="3"/>
  <c r="CE293" i="3"/>
  <c r="CC293" i="3"/>
  <c r="CA293" i="3"/>
  <c r="BY293" i="3"/>
  <c r="BW293" i="3"/>
  <c r="BU293" i="3"/>
  <c r="BS293" i="3"/>
  <c r="BQ293" i="3"/>
  <c r="BO293" i="3"/>
  <c r="BM293" i="3"/>
  <c r="BK293" i="3"/>
  <c r="BI293" i="3"/>
  <c r="BG293" i="3"/>
  <c r="BE293" i="3"/>
  <c r="BC293" i="3"/>
  <c r="BA293" i="3"/>
  <c r="AY293" i="3"/>
  <c r="AW293" i="3"/>
  <c r="AU293" i="3"/>
  <c r="AS293" i="3"/>
  <c r="AQ293" i="3"/>
  <c r="AO293" i="3"/>
  <c r="AM293" i="3"/>
  <c r="AK293" i="3"/>
  <c r="AI293" i="3"/>
  <c r="AG293" i="3"/>
  <c r="AE293" i="3"/>
  <c r="AC293" i="3"/>
  <c r="AA293" i="3"/>
  <c r="Y293" i="3"/>
  <c r="W293" i="3"/>
  <c r="U293" i="3"/>
  <c r="S293" i="3"/>
  <c r="Q293" i="3"/>
  <c r="O293" i="3"/>
  <c r="M293" i="3"/>
  <c r="K293" i="3"/>
  <c r="I293" i="3"/>
  <c r="G293" i="3"/>
  <c r="E293" i="3"/>
  <c r="C293" i="3"/>
  <c r="Q243" i="3"/>
  <c r="DA293" i="3"/>
  <c r="N243" i="3"/>
  <c r="CX293" i="3"/>
  <c r="L243" i="3"/>
  <c r="CV293" i="3"/>
  <c r="R243" i="3"/>
  <c r="DB293" i="3"/>
  <c r="M243" i="3"/>
  <c r="CW293" i="3"/>
  <c r="O243" i="3"/>
  <c r="CY293" i="3"/>
  <c r="P243" i="3"/>
  <c r="CZ293" i="3"/>
  <c r="Z144" i="4"/>
  <c r="B259" i="3"/>
  <c r="CI259" i="3"/>
  <c r="CG259" i="3"/>
  <c r="CE259" i="3"/>
  <c r="CC259" i="3"/>
  <c r="CA259" i="3"/>
  <c r="BY259" i="3"/>
  <c r="BW259" i="3"/>
  <c r="BU259" i="3"/>
  <c r="BS259" i="3"/>
  <c r="BQ259" i="3"/>
  <c r="BO259" i="3"/>
  <c r="BM259" i="3"/>
  <c r="BK259" i="3"/>
  <c r="BI259" i="3"/>
  <c r="BG259" i="3"/>
  <c r="BE259" i="3"/>
  <c r="BC259" i="3"/>
  <c r="BA259" i="3"/>
  <c r="AY259" i="3"/>
  <c r="AW259" i="3"/>
  <c r="AU259" i="3"/>
  <c r="AS259" i="3"/>
  <c r="AQ259" i="3"/>
  <c r="AO259" i="3"/>
  <c r="AM259" i="3"/>
  <c r="AK259" i="3"/>
  <c r="AI259" i="3"/>
  <c r="AG259" i="3"/>
  <c r="AE259" i="3"/>
  <c r="AC259" i="3"/>
  <c r="AA259" i="3"/>
  <c r="Y259" i="3"/>
  <c r="W259" i="3"/>
  <c r="U259" i="3"/>
  <c r="S259" i="3"/>
  <c r="Q259" i="3"/>
  <c r="O259" i="3"/>
  <c r="M259" i="3"/>
  <c r="K259" i="3"/>
  <c r="I259" i="3"/>
  <c r="G259" i="3"/>
  <c r="E259" i="3"/>
  <c r="C259" i="3"/>
  <c r="CH259" i="3"/>
  <c r="CF259" i="3"/>
  <c r="CD259" i="3"/>
  <c r="CB259" i="3"/>
  <c r="BZ259" i="3"/>
  <c r="BX259" i="3"/>
  <c r="BV259" i="3"/>
  <c r="BT259" i="3"/>
  <c r="BR259" i="3"/>
  <c r="BP259" i="3"/>
  <c r="BN259" i="3"/>
  <c r="BL259" i="3"/>
  <c r="BJ259" i="3"/>
  <c r="BH259" i="3"/>
  <c r="BF259" i="3"/>
  <c r="BD259" i="3"/>
  <c r="BB259" i="3"/>
  <c r="AZ259" i="3"/>
  <c r="AX259" i="3"/>
  <c r="AV259" i="3"/>
  <c r="AT259" i="3"/>
  <c r="AR259" i="3"/>
  <c r="AP259" i="3"/>
  <c r="AN259" i="3"/>
  <c r="AL259" i="3"/>
  <c r="AJ259" i="3"/>
  <c r="AH259" i="3"/>
  <c r="AF259" i="3"/>
  <c r="AD259" i="3"/>
  <c r="AB259" i="3"/>
  <c r="Z259" i="3"/>
  <c r="X259" i="3"/>
  <c r="V259" i="3"/>
  <c r="T259" i="3"/>
  <c r="R259" i="3"/>
  <c r="P259" i="3"/>
  <c r="N259" i="3"/>
  <c r="L259" i="3"/>
  <c r="J259" i="3"/>
  <c r="H259" i="3"/>
  <c r="F259" i="3"/>
  <c r="D259" i="3"/>
  <c r="R209" i="3"/>
  <c r="DB259" i="3"/>
  <c r="M209" i="3"/>
  <c r="CW259" i="3"/>
  <c r="O209" i="3"/>
  <c r="CY259" i="3"/>
  <c r="P209" i="3"/>
  <c r="CZ259" i="3"/>
  <c r="Q209" i="3"/>
  <c r="DA259" i="3"/>
  <c r="N209" i="3"/>
  <c r="CX259" i="3"/>
  <c r="L209" i="3"/>
  <c r="CV259" i="3"/>
  <c r="BF281" i="3"/>
  <c r="Z281" i="3"/>
  <c r="CC281" i="3"/>
  <c r="AW281" i="3"/>
  <c r="Q281" i="3"/>
  <c r="B263" i="3"/>
  <c r="CI263" i="3"/>
  <c r="CG263" i="3"/>
  <c r="CE263" i="3"/>
  <c r="CC263" i="3"/>
  <c r="CA263" i="3"/>
  <c r="BY263" i="3"/>
  <c r="BW263" i="3"/>
  <c r="BU263" i="3"/>
  <c r="BS263" i="3"/>
  <c r="BQ263" i="3"/>
  <c r="BO263" i="3"/>
  <c r="BM263" i="3"/>
  <c r="BK263" i="3"/>
  <c r="BI263" i="3"/>
  <c r="BG263" i="3"/>
  <c r="BE263" i="3"/>
  <c r="BC263" i="3"/>
  <c r="BA263" i="3"/>
  <c r="AY263" i="3"/>
  <c r="AW263" i="3"/>
  <c r="AU263" i="3"/>
  <c r="AS263" i="3"/>
  <c r="AQ263" i="3"/>
  <c r="AO263" i="3"/>
  <c r="AM263" i="3"/>
  <c r="AK263" i="3"/>
  <c r="AI263" i="3"/>
  <c r="AG263" i="3"/>
  <c r="AE263" i="3"/>
  <c r="AC263" i="3"/>
  <c r="AA263" i="3"/>
  <c r="Y263" i="3"/>
  <c r="W263" i="3"/>
  <c r="U263" i="3"/>
  <c r="S263" i="3"/>
  <c r="Q263" i="3"/>
  <c r="O263" i="3"/>
  <c r="M263" i="3"/>
  <c r="K263" i="3"/>
  <c r="I263" i="3"/>
  <c r="G263" i="3"/>
  <c r="E263" i="3"/>
  <c r="C263" i="3"/>
  <c r="CH263" i="3"/>
  <c r="CF263" i="3"/>
  <c r="CD263" i="3"/>
  <c r="CB263" i="3"/>
  <c r="BZ263" i="3"/>
  <c r="BX263" i="3"/>
  <c r="BV263" i="3"/>
  <c r="BT263" i="3"/>
  <c r="BR263" i="3"/>
  <c r="BP263" i="3"/>
  <c r="BN263" i="3"/>
  <c r="BL263" i="3"/>
  <c r="BJ263" i="3"/>
  <c r="BH263" i="3"/>
  <c r="BF263" i="3"/>
  <c r="BD263" i="3"/>
  <c r="BB263" i="3"/>
  <c r="AZ263" i="3"/>
  <c r="AX263" i="3"/>
  <c r="AV263" i="3"/>
  <c r="AT263" i="3"/>
  <c r="AR263" i="3"/>
  <c r="AP263" i="3"/>
  <c r="AN263" i="3"/>
  <c r="AL263" i="3"/>
  <c r="AJ263" i="3"/>
  <c r="AH263" i="3"/>
  <c r="AF263" i="3"/>
  <c r="AD263" i="3"/>
  <c r="AB263" i="3"/>
  <c r="Z263" i="3"/>
  <c r="X263" i="3"/>
  <c r="V263" i="3"/>
  <c r="T263" i="3"/>
  <c r="R263" i="3"/>
  <c r="P263" i="3"/>
  <c r="N263" i="3"/>
  <c r="L263" i="3"/>
  <c r="J263" i="3"/>
  <c r="H263" i="3"/>
  <c r="F263" i="3"/>
  <c r="D263" i="3"/>
  <c r="R213" i="3"/>
  <c r="DB263" i="3"/>
  <c r="M213" i="3"/>
  <c r="CW263" i="3"/>
  <c r="O213" i="3"/>
  <c r="CY263" i="3"/>
  <c r="P213" i="3"/>
  <c r="CZ263" i="3"/>
  <c r="Q213" i="3"/>
  <c r="DA263" i="3"/>
  <c r="N213" i="3"/>
  <c r="CX263" i="3"/>
  <c r="L213" i="3"/>
  <c r="CV263" i="3"/>
  <c r="Z147" i="4"/>
  <c r="Z148" i="4"/>
  <c r="CH267" i="3"/>
  <c r="CF267" i="3"/>
  <c r="CD267" i="3"/>
  <c r="CB267" i="3"/>
  <c r="BZ267" i="3"/>
  <c r="BX267" i="3"/>
  <c r="BV267" i="3"/>
  <c r="BT267" i="3"/>
  <c r="BR267" i="3"/>
  <c r="BP267" i="3"/>
  <c r="BN267" i="3"/>
  <c r="BL267" i="3"/>
  <c r="BJ267" i="3"/>
  <c r="BH267" i="3"/>
  <c r="BF267" i="3"/>
  <c r="BD267" i="3"/>
  <c r="BB267" i="3"/>
  <c r="AZ267" i="3"/>
  <c r="AX267" i="3"/>
  <c r="AV267" i="3"/>
  <c r="AT267" i="3"/>
  <c r="AR267" i="3"/>
  <c r="AP267" i="3"/>
  <c r="AN267" i="3"/>
  <c r="AL267" i="3"/>
  <c r="AJ267" i="3"/>
  <c r="AH267" i="3"/>
  <c r="AF267" i="3"/>
  <c r="AD267" i="3"/>
  <c r="AB267" i="3"/>
  <c r="Z267" i="3"/>
  <c r="X267" i="3"/>
  <c r="V267" i="3"/>
  <c r="T267" i="3"/>
  <c r="R267" i="3"/>
  <c r="P267" i="3"/>
  <c r="N267" i="3"/>
  <c r="L267" i="3"/>
  <c r="J267" i="3"/>
  <c r="H267" i="3"/>
  <c r="F267" i="3"/>
  <c r="D267" i="3"/>
  <c r="B267" i="3"/>
  <c r="CI267" i="3"/>
  <c r="CG267" i="3"/>
  <c r="CE267" i="3"/>
  <c r="CC267" i="3"/>
  <c r="CA267" i="3"/>
  <c r="BY267" i="3"/>
  <c r="BW267" i="3"/>
  <c r="BU267" i="3"/>
  <c r="BS267" i="3"/>
  <c r="BQ267" i="3"/>
  <c r="BO267" i="3"/>
  <c r="BM267" i="3"/>
  <c r="BK267" i="3"/>
  <c r="BI267" i="3"/>
  <c r="BG267" i="3"/>
  <c r="BE267" i="3"/>
  <c r="BC267" i="3"/>
  <c r="BA267" i="3"/>
  <c r="AY267" i="3"/>
  <c r="AW267" i="3"/>
  <c r="AU267" i="3"/>
  <c r="AS267" i="3"/>
  <c r="AQ267" i="3"/>
  <c r="AO267" i="3"/>
  <c r="AM267" i="3"/>
  <c r="AK267" i="3"/>
  <c r="AI267" i="3"/>
  <c r="AG267" i="3"/>
  <c r="AE267" i="3"/>
  <c r="AC267" i="3"/>
  <c r="AA267" i="3"/>
  <c r="Y267" i="3"/>
  <c r="W267" i="3"/>
  <c r="U267" i="3"/>
  <c r="S267" i="3"/>
  <c r="Q267" i="3"/>
  <c r="O267" i="3"/>
  <c r="M267" i="3"/>
  <c r="K267" i="3"/>
  <c r="I267" i="3"/>
  <c r="G267" i="3"/>
  <c r="E267" i="3"/>
  <c r="C267" i="3"/>
  <c r="Q217" i="3"/>
  <c r="DA267" i="3"/>
  <c r="N217" i="3"/>
  <c r="CX267" i="3"/>
  <c r="L217" i="3"/>
  <c r="CV267" i="3"/>
  <c r="R217" i="3"/>
  <c r="DB267" i="3"/>
  <c r="M217" i="3"/>
  <c r="CW267" i="3"/>
  <c r="O217" i="3"/>
  <c r="CY267" i="3"/>
  <c r="P217" i="3"/>
  <c r="CZ267" i="3"/>
  <c r="B258" i="3"/>
  <c r="CH258" i="3"/>
  <c r="CF258" i="3"/>
  <c r="CD258" i="3"/>
  <c r="CB258" i="3"/>
  <c r="BZ258" i="3"/>
  <c r="BX258" i="3"/>
  <c r="BV258" i="3"/>
  <c r="BT258" i="3"/>
  <c r="BR258" i="3"/>
  <c r="BP258" i="3"/>
  <c r="BN258" i="3"/>
  <c r="BL258" i="3"/>
  <c r="BJ258" i="3"/>
  <c r="BH258" i="3"/>
  <c r="BF258" i="3"/>
  <c r="BD258" i="3"/>
  <c r="BB258" i="3"/>
  <c r="AZ258" i="3"/>
  <c r="AX258" i="3"/>
  <c r="AV258" i="3"/>
  <c r="AT258" i="3"/>
  <c r="AR258" i="3"/>
  <c r="AP258" i="3"/>
  <c r="AN258" i="3"/>
  <c r="AL258" i="3"/>
  <c r="AJ258" i="3"/>
  <c r="AH258" i="3"/>
  <c r="AF258" i="3"/>
  <c r="AD258" i="3"/>
  <c r="AB258" i="3"/>
  <c r="Z258" i="3"/>
  <c r="X258" i="3"/>
  <c r="V258" i="3"/>
  <c r="T258" i="3"/>
  <c r="R258" i="3"/>
  <c r="P258" i="3"/>
  <c r="N258" i="3"/>
  <c r="L258" i="3"/>
  <c r="J258" i="3"/>
  <c r="H258" i="3"/>
  <c r="F258" i="3"/>
  <c r="D258" i="3"/>
  <c r="CI258" i="3"/>
  <c r="CG258" i="3"/>
  <c r="CE258" i="3"/>
  <c r="CC258" i="3"/>
  <c r="CA258" i="3"/>
  <c r="BY258" i="3"/>
  <c r="BW258" i="3"/>
  <c r="BU258" i="3"/>
  <c r="BS258" i="3"/>
  <c r="BQ258" i="3"/>
  <c r="BO258" i="3"/>
  <c r="BM258" i="3"/>
  <c r="BK258" i="3"/>
  <c r="BI258" i="3"/>
  <c r="BG258" i="3"/>
  <c r="BE258" i="3"/>
  <c r="BC258" i="3"/>
  <c r="BA258" i="3"/>
  <c r="AY258" i="3"/>
  <c r="AW258" i="3"/>
  <c r="AU258" i="3"/>
  <c r="AS258" i="3"/>
  <c r="AQ258" i="3"/>
  <c r="AO258" i="3"/>
  <c r="AM258" i="3"/>
  <c r="AK258" i="3"/>
  <c r="AI258" i="3"/>
  <c r="AG258" i="3"/>
  <c r="AE258" i="3"/>
  <c r="AC258" i="3"/>
  <c r="AA258" i="3"/>
  <c r="Y258" i="3"/>
  <c r="W258" i="3"/>
  <c r="U258" i="3"/>
  <c r="S258" i="3"/>
  <c r="Q258" i="3"/>
  <c r="O258" i="3"/>
  <c r="M258" i="3"/>
  <c r="K258" i="3"/>
  <c r="I258" i="3"/>
  <c r="G258" i="3"/>
  <c r="E258" i="3"/>
  <c r="C258" i="3"/>
  <c r="R208" i="3"/>
  <c r="DB258" i="3"/>
  <c r="N208" i="3"/>
  <c r="CX258" i="3"/>
  <c r="L208" i="3"/>
  <c r="CV258" i="3"/>
  <c r="P208" i="3"/>
  <c r="CZ258" i="3"/>
  <c r="Q208" i="3"/>
  <c r="DA258" i="3"/>
  <c r="M208" i="3"/>
  <c r="CW258" i="3"/>
  <c r="O208" i="3"/>
  <c r="CY258" i="3"/>
  <c r="B257" i="3"/>
  <c r="CI257" i="3"/>
  <c r="CG257" i="3"/>
  <c r="CE257" i="3"/>
  <c r="CC257" i="3"/>
  <c r="CA257" i="3"/>
  <c r="BY257" i="3"/>
  <c r="BW257" i="3"/>
  <c r="BU257" i="3"/>
  <c r="BS257" i="3"/>
  <c r="BQ257" i="3"/>
  <c r="BO257" i="3"/>
  <c r="BM257" i="3"/>
  <c r="BK257" i="3"/>
  <c r="BI257" i="3"/>
  <c r="BG257" i="3"/>
  <c r="BE257" i="3"/>
  <c r="BC257" i="3"/>
  <c r="BA257" i="3"/>
  <c r="AY257" i="3"/>
  <c r="AW257" i="3"/>
  <c r="AU257" i="3"/>
  <c r="AS257" i="3"/>
  <c r="AQ257" i="3"/>
  <c r="AO257" i="3"/>
  <c r="AM257" i="3"/>
  <c r="AK257" i="3"/>
  <c r="AI257" i="3"/>
  <c r="AG257" i="3"/>
  <c r="AE257" i="3"/>
  <c r="AC257" i="3"/>
  <c r="AA257" i="3"/>
  <c r="Y257" i="3"/>
  <c r="W257" i="3"/>
  <c r="U257" i="3"/>
  <c r="S257" i="3"/>
  <c r="Q257" i="3"/>
  <c r="O257" i="3"/>
  <c r="M257" i="3"/>
  <c r="K257" i="3"/>
  <c r="I257" i="3"/>
  <c r="G257" i="3"/>
  <c r="E257" i="3"/>
  <c r="C257" i="3"/>
  <c r="CH257" i="3"/>
  <c r="CF257" i="3"/>
  <c r="CD257" i="3"/>
  <c r="CB257" i="3"/>
  <c r="BZ257" i="3"/>
  <c r="BX257" i="3"/>
  <c r="BV257" i="3"/>
  <c r="BT257" i="3"/>
  <c r="BR257" i="3"/>
  <c r="BP257" i="3"/>
  <c r="BN257" i="3"/>
  <c r="BL257" i="3"/>
  <c r="BJ257" i="3"/>
  <c r="BH257" i="3"/>
  <c r="BF257" i="3"/>
  <c r="BD257" i="3"/>
  <c r="BB257" i="3"/>
  <c r="AZ257" i="3"/>
  <c r="AX257" i="3"/>
  <c r="AV257" i="3"/>
  <c r="AT257" i="3"/>
  <c r="AR257" i="3"/>
  <c r="AP257" i="3"/>
  <c r="AN257" i="3"/>
  <c r="AL257" i="3"/>
  <c r="AJ257" i="3"/>
  <c r="AH257" i="3"/>
  <c r="AF257" i="3"/>
  <c r="AD257" i="3"/>
  <c r="AB257" i="3"/>
  <c r="Z257" i="3"/>
  <c r="X257" i="3"/>
  <c r="V257" i="3"/>
  <c r="T257" i="3"/>
  <c r="R257" i="3"/>
  <c r="P257" i="3"/>
  <c r="N257" i="3"/>
  <c r="L257" i="3"/>
  <c r="J257" i="3"/>
  <c r="H257" i="3"/>
  <c r="F257" i="3"/>
  <c r="D257" i="3"/>
  <c r="R207" i="3"/>
  <c r="DB257" i="3"/>
  <c r="M207" i="3"/>
  <c r="CW257" i="3"/>
  <c r="O207" i="3"/>
  <c r="CY257" i="3"/>
  <c r="P207" i="3"/>
  <c r="CZ257" i="3"/>
  <c r="Q207" i="3"/>
  <c r="DA257" i="3"/>
  <c r="N207" i="3"/>
  <c r="CX257" i="3"/>
  <c r="L207" i="3"/>
  <c r="CV257" i="3"/>
  <c r="B282" i="3"/>
  <c r="CI282" i="3"/>
  <c r="CG282" i="3"/>
  <c r="CE282" i="3"/>
  <c r="CC282" i="3"/>
  <c r="CA282" i="3"/>
  <c r="BY282" i="3"/>
  <c r="BW282" i="3"/>
  <c r="BU282" i="3"/>
  <c r="BS282" i="3"/>
  <c r="BQ282" i="3"/>
  <c r="BO282" i="3"/>
  <c r="BM282" i="3"/>
  <c r="BK282" i="3"/>
  <c r="BI282" i="3"/>
  <c r="BG282" i="3"/>
  <c r="BE282" i="3"/>
  <c r="BC282" i="3"/>
  <c r="BA282" i="3"/>
  <c r="AY282" i="3"/>
  <c r="AW282" i="3"/>
  <c r="AU282" i="3"/>
  <c r="AS282" i="3"/>
  <c r="AQ282" i="3"/>
  <c r="AO282" i="3"/>
  <c r="AM282" i="3"/>
  <c r="AK282" i="3"/>
  <c r="AI282" i="3"/>
  <c r="AG282" i="3"/>
  <c r="AE282" i="3"/>
  <c r="AC282" i="3"/>
  <c r="AA282" i="3"/>
  <c r="Y282" i="3"/>
  <c r="W282" i="3"/>
  <c r="U282" i="3"/>
  <c r="S282" i="3"/>
  <c r="Q282" i="3"/>
  <c r="O282" i="3"/>
  <c r="M282" i="3"/>
  <c r="K282" i="3"/>
  <c r="I282" i="3"/>
  <c r="G282" i="3"/>
  <c r="E282" i="3"/>
  <c r="C282" i="3"/>
  <c r="CH282" i="3"/>
  <c r="CF282" i="3"/>
  <c r="CD282" i="3"/>
  <c r="CB282" i="3"/>
  <c r="BZ282" i="3"/>
  <c r="BX282" i="3"/>
  <c r="BV282" i="3"/>
  <c r="BT282" i="3"/>
  <c r="BR282" i="3"/>
  <c r="BP282" i="3"/>
  <c r="BN282" i="3"/>
  <c r="BL282" i="3"/>
  <c r="BJ282" i="3"/>
  <c r="BH282" i="3"/>
  <c r="BF282" i="3"/>
  <c r="BD282" i="3"/>
  <c r="BB282" i="3"/>
  <c r="AZ282" i="3"/>
  <c r="AX282" i="3"/>
  <c r="AV282" i="3"/>
  <c r="AT282" i="3"/>
  <c r="AR282" i="3"/>
  <c r="AP282" i="3"/>
  <c r="AN282" i="3"/>
  <c r="AL282" i="3"/>
  <c r="AJ282" i="3"/>
  <c r="AH282" i="3"/>
  <c r="AF282" i="3"/>
  <c r="AD282" i="3"/>
  <c r="AB282" i="3"/>
  <c r="Z282" i="3"/>
  <c r="X282" i="3"/>
  <c r="V282" i="3"/>
  <c r="T282" i="3"/>
  <c r="R282" i="3"/>
  <c r="P282" i="3"/>
  <c r="N282" i="3"/>
  <c r="L282" i="3"/>
  <c r="J282" i="3"/>
  <c r="H282" i="3"/>
  <c r="F282" i="3"/>
  <c r="D282" i="3"/>
  <c r="R232" i="3"/>
  <c r="DB282" i="3"/>
  <c r="N232" i="3"/>
  <c r="CX282" i="3"/>
  <c r="L232" i="3"/>
  <c r="CV282" i="3"/>
  <c r="P232" i="3"/>
  <c r="CZ282" i="3"/>
  <c r="Q232" i="3"/>
  <c r="DA282" i="3"/>
  <c r="M232" i="3"/>
  <c r="CW282" i="3"/>
  <c r="O232" i="3"/>
  <c r="CY282" i="3"/>
  <c r="R231" i="3"/>
  <c r="DB281" i="3"/>
  <c r="AG281" i="3"/>
  <c r="BM281" i="3"/>
  <c r="J281" i="3"/>
  <c r="AP281" i="3"/>
  <c r="BV281" i="3"/>
  <c r="Q231" i="3"/>
  <c r="DA281" i="3"/>
  <c r="I281" i="3"/>
  <c r="Y281" i="3"/>
  <c r="AO281" i="3"/>
  <c r="BE281" i="3"/>
  <c r="BU281" i="3"/>
  <c r="B281" i="3"/>
  <c r="R281" i="3"/>
  <c r="AH281" i="3"/>
  <c r="AX281" i="3"/>
  <c r="BN281" i="3"/>
  <c r="CD281" i="3"/>
  <c r="L231" i="3"/>
  <c r="CV281" i="3"/>
  <c r="O231" i="3"/>
  <c r="CY281" i="3"/>
  <c r="E281" i="3"/>
  <c r="M281" i="3"/>
  <c r="U281" i="3"/>
  <c r="AC281" i="3"/>
  <c r="AK281" i="3"/>
  <c r="AS281" i="3"/>
  <c r="BA281" i="3"/>
  <c r="BI281" i="3"/>
  <c r="BQ281" i="3"/>
  <c r="BY281" i="3"/>
  <c r="CG281" i="3"/>
  <c r="F281" i="3"/>
  <c r="N281" i="3"/>
  <c r="V281" i="3"/>
  <c r="AD281" i="3"/>
  <c r="AL281" i="3"/>
  <c r="AT281" i="3"/>
  <c r="BB281" i="3"/>
  <c r="BJ281" i="3"/>
  <c r="BR281" i="3"/>
  <c r="BZ281" i="3"/>
  <c r="CH281" i="3"/>
  <c r="Z154" i="4"/>
  <c r="N231" i="3"/>
  <c r="CX281" i="3"/>
  <c r="P231" i="3"/>
  <c r="CZ281" i="3"/>
  <c r="M231" i="3"/>
  <c r="CW281" i="3"/>
  <c r="C281" i="3"/>
  <c r="G281" i="3"/>
  <c r="K281" i="3"/>
  <c r="O281" i="3"/>
  <c r="S281" i="3"/>
  <c r="W281" i="3"/>
  <c r="AA281" i="3"/>
  <c r="AE281" i="3"/>
  <c r="AI281" i="3"/>
  <c r="AM281" i="3"/>
  <c r="AQ281" i="3"/>
  <c r="AU281" i="3"/>
  <c r="AY281" i="3"/>
  <c r="BC281" i="3"/>
  <c r="BG281" i="3"/>
  <c r="BK281" i="3"/>
  <c r="BO281" i="3"/>
  <c r="BS281" i="3"/>
  <c r="BW281" i="3"/>
  <c r="CA281" i="3"/>
  <c r="CE281" i="3"/>
  <c r="CI281" i="3"/>
  <c r="D281" i="3"/>
  <c r="H281" i="3"/>
  <c r="L281" i="3"/>
  <c r="P281" i="3"/>
  <c r="T281" i="3"/>
  <c r="X281" i="3"/>
  <c r="AB281" i="3"/>
  <c r="AF281" i="3"/>
  <c r="AJ281" i="3"/>
  <c r="AN281" i="3"/>
  <c r="AR281" i="3"/>
  <c r="AV281" i="3"/>
  <c r="AZ281" i="3"/>
  <c r="BD281" i="3"/>
  <c r="BH281" i="3"/>
  <c r="BL281" i="3"/>
  <c r="BP281" i="3"/>
  <c r="BT281" i="3"/>
  <c r="BX281" i="3"/>
  <c r="CB281" i="3"/>
  <c r="Z142" i="4"/>
  <c r="CI255" i="3"/>
  <c r="CE255" i="3"/>
  <c r="CA255" i="3"/>
  <c r="BW255" i="3"/>
  <c r="BS255" i="3"/>
  <c r="BO255" i="3"/>
  <c r="BK255" i="3"/>
  <c r="BG255" i="3"/>
  <c r="BC255" i="3"/>
  <c r="AY255" i="3"/>
  <c r="AU255" i="3"/>
  <c r="AQ255" i="3"/>
  <c r="AM255" i="3"/>
  <c r="AI255" i="3"/>
  <c r="AE255" i="3"/>
  <c r="AA255" i="3"/>
  <c r="W255" i="3"/>
  <c r="S255" i="3"/>
  <c r="O255" i="3"/>
  <c r="K255" i="3"/>
  <c r="G255" i="3"/>
  <c r="C255" i="3"/>
  <c r="CF255" i="3"/>
  <c r="CB255" i="3"/>
  <c r="BX255" i="3"/>
  <c r="BT255" i="3"/>
  <c r="BP255" i="3"/>
  <c r="BL255" i="3"/>
  <c r="BH255" i="3"/>
  <c r="BD255" i="3"/>
  <c r="AZ255" i="3"/>
  <c r="AV255" i="3"/>
  <c r="AR255" i="3"/>
  <c r="AN255" i="3"/>
  <c r="AJ255" i="3"/>
  <c r="AF255" i="3"/>
  <c r="AB255" i="3"/>
  <c r="X255" i="3"/>
  <c r="T255" i="3"/>
  <c r="P255" i="3"/>
  <c r="L255" i="3"/>
  <c r="H255" i="3"/>
  <c r="D255" i="3"/>
  <c r="M205" i="3"/>
  <c r="CW255" i="3"/>
  <c r="P205" i="3"/>
  <c r="CZ255" i="3"/>
  <c r="N205" i="3"/>
  <c r="CX255" i="3"/>
  <c r="B255" i="3"/>
  <c r="CG255" i="3"/>
  <c r="CC255" i="3"/>
  <c r="BY255" i="3"/>
  <c r="BU255" i="3"/>
  <c r="BQ255" i="3"/>
  <c r="BM255" i="3"/>
  <c r="BI255" i="3"/>
  <c r="BE255" i="3"/>
  <c r="BA255" i="3"/>
  <c r="AW255" i="3"/>
  <c r="AS255" i="3"/>
  <c r="AO255" i="3"/>
  <c r="AK255" i="3"/>
  <c r="AG255" i="3"/>
  <c r="AC255" i="3"/>
  <c r="Y255" i="3"/>
  <c r="U255" i="3"/>
  <c r="Q255" i="3"/>
  <c r="M255" i="3"/>
  <c r="I255" i="3"/>
  <c r="E255" i="3"/>
  <c r="CH255" i="3"/>
  <c r="CD255" i="3"/>
  <c r="BZ255" i="3"/>
  <c r="BV255" i="3"/>
  <c r="BR255" i="3"/>
  <c r="BN255" i="3"/>
  <c r="BJ255" i="3"/>
  <c r="BF255" i="3"/>
  <c r="BB255" i="3"/>
  <c r="AX255" i="3"/>
  <c r="AT255" i="3"/>
  <c r="AP255" i="3"/>
  <c r="AL255" i="3"/>
  <c r="AH255" i="3"/>
  <c r="AD255" i="3"/>
  <c r="Z255" i="3"/>
  <c r="V255" i="3"/>
  <c r="R255" i="3"/>
  <c r="N255" i="3"/>
  <c r="J255" i="3"/>
  <c r="F255" i="3"/>
  <c r="R205" i="3"/>
  <c r="DB255" i="3"/>
  <c r="O205" i="3"/>
  <c r="CY255" i="3"/>
  <c r="Q205" i="3"/>
  <c r="DA255" i="3"/>
  <c r="L205" i="3"/>
  <c r="CV255" i="3"/>
  <c r="Z151" i="4"/>
  <c r="Z166" i="4"/>
  <c r="Z175" i="4"/>
  <c r="Z145" i="4"/>
  <c r="Z143" i="4"/>
  <c r="Z141" i="4"/>
  <c r="Z164" i="4"/>
  <c r="Z179" i="4"/>
  <c r="Z158" i="4"/>
  <c r="Z160" i="4"/>
  <c r="B262" i="3"/>
  <c r="CH262" i="3"/>
  <c r="CF262" i="3"/>
  <c r="CD262" i="3"/>
  <c r="CB262" i="3"/>
  <c r="BZ262" i="3"/>
  <c r="BX262" i="3"/>
  <c r="BV262" i="3"/>
  <c r="BT262" i="3"/>
  <c r="BR262" i="3"/>
  <c r="BP262" i="3"/>
  <c r="BN262" i="3"/>
  <c r="BL262" i="3"/>
  <c r="BJ262" i="3"/>
  <c r="BH262" i="3"/>
  <c r="BF262" i="3"/>
  <c r="BD262" i="3"/>
  <c r="BB262" i="3"/>
  <c r="AZ262" i="3"/>
  <c r="AX262" i="3"/>
  <c r="AV262" i="3"/>
  <c r="AT262" i="3"/>
  <c r="AR262" i="3"/>
  <c r="AP262" i="3"/>
  <c r="AN262" i="3"/>
  <c r="AL262" i="3"/>
  <c r="AJ262" i="3"/>
  <c r="AH262" i="3"/>
  <c r="AF262" i="3"/>
  <c r="AD262" i="3"/>
  <c r="AB262" i="3"/>
  <c r="Z262" i="3"/>
  <c r="X262" i="3"/>
  <c r="V262" i="3"/>
  <c r="T262" i="3"/>
  <c r="R262" i="3"/>
  <c r="P262" i="3"/>
  <c r="N262" i="3"/>
  <c r="L262" i="3"/>
  <c r="J262" i="3"/>
  <c r="H262" i="3"/>
  <c r="F262" i="3"/>
  <c r="D262" i="3"/>
  <c r="CI262" i="3"/>
  <c r="CG262" i="3"/>
  <c r="CE262" i="3"/>
  <c r="CC262" i="3"/>
  <c r="CA262" i="3"/>
  <c r="BY262" i="3"/>
  <c r="BW262" i="3"/>
  <c r="BU262" i="3"/>
  <c r="BS262" i="3"/>
  <c r="BQ262" i="3"/>
  <c r="BO262" i="3"/>
  <c r="BM262" i="3"/>
  <c r="BK262" i="3"/>
  <c r="BI262" i="3"/>
  <c r="BG262" i="3"/>
  <c r="BE262" i="3"/>
  <c r="BC262" i="3"/>
  <c r="BA262" i="3"/>
  <c r="AY262" i="3"/>
  <c r="AW262" i="3"/>
  <c r="AU262" i="3"/>
  <c r="AS262" i="3"/>
  <c r="AQ262" i="3"/>
  <c r="AO262" i="3"/>
  <c r="AM262" i="3"/>
  <c r="AK262" i="3"/>
  <c r="AI262" i="3"/>
  <c r="AG262" i="3"/>
  <c r="AE262" i="3"/>
  <c r="AC262" i="3"/>
  <c r="AA262" i="3"/>
  <c r="Y262" i="3"/>
  <c r="W262" i="3"/>
  <c r="U262" i="3"/>
  <c r="S262" i="3"/>
  <c r="Q262" i="3"/>
  <c r="O262" i="3"/>
  <c r="M262" i="3"/>
  <c r="K262" i="3"/>
  <c r="I262" i="3"/>
  <c r="G262" i="3"/>
  <c r="E262" i="3"/>
  <c r="C262" i="3"/>
  <c r="R212" i="3"/>
  <c r="DB262" i="3"/>
  <c r="N212" i="3"/>
  <c r="CX262" i="3"/>
  <c r="L212" i="3"/>
  <c r="CV262" i="3"/>
  <c r="P212" i="3"/>
  <c r="CZ262" i="3"/>
  <c r="Q212" i="3"/>
  <c r="DA262" i="3"/>
  <c r="M212" i="3"/>
  <c r="CW262" i="3"/>
  <c r="O212" i="3"/>
  <c r="CY262" i="3"/>
  <c r="Z162" i="4"/>
  <c r="J5" i="14"/>
  <c r="J26" i="14"/>
  <c r="I4" i="14"/>
  <c r="E4" i="14"/>
  <c r="B256" i="3"/>
  <c r="CF256" i="3"/>
  <c r="CB256" i="3"/>
  <c r="BX256" i="3"/>
  <c r="BT256" i="3"/>
  <c r="BP256" i="3"/>
  <c r="BL256" i="3"/>
  <c r="BH256" i="3"/>
  <c r="BD256" i="3"/>
  <c r="AZ256" i="3"/>
  <c r="AV256" i="3"/>
  <c r="AR256" i="3"/>
  <c r="AN256" i="3"/>
  <c r="AJ256" i="3"/>
  <c r="AF256" i="3"/>
  <c r="AB256" i="3"/>
  <c r="X256" i="3"/>
  <c r="T256" i="3"/>
  <c r="P256" i="3"/>
  <c r="L256" i="3"/>
  <c r="H256" i="3"/>
  <c r="D256" i="3"/>
  <c r="CG256" i="3"/>
  <c r="CC256" i="3"/>
  <c r="BY256" i="3"/>
  <c r="BU256" i="3"/>
  <c r="BQ256" i="3"/>
  <c r="BM256" i="3"/>
  <c r="BI256" i="3"/>
  <c r="BE256" i="3"/>
  <c r="BA256" i="3"/>
  <c r="AW256" i="3"/>
  <c r="AS256" i="3"/>
  <c r="AO256" i="3"/>
  <c r="AK256" i="3"/>
  <c r="AG256" i="3"/>
  <c r="AC256" i="3"/>
  <c r="Y256" i="3"/>
  <c r="U256" i="3"/>
  <c r="Q256" i="3"/>
  <c r="M256" i="3"/>
  <c r="I256" i="3"/>
  <c r="E256" i="3"/>
  <c r="Q206" i="3"/>
  <c r="DA256" i="3"/>
  <c r="O206" i="3"/>
  <c r="CY256" i="3"/>
  <c r="N206" i="3"/>
  <c r="CX256" i="3"/>
  <c r="P206" i="3"/>
  <c r="CZ256" i="3"/>
  <c r="CH256" i="3"/>
  <c r="CD256" i="3"/>
  <c r="BZ256" i="3"/>
  <c r="BV256" i="3"/>
  <c r="BR256" i="3"/>
  <c r="BN256" i="3"/>
  <c r="BJ256" i="3"/>
  <c r="BF256" i="3"/>
  <c r="BB256" i="3"/>
  <c r="AX256" i="3"/>
  <c r="AT256" i="3"/>
  <c r="AP256" i="3"/>
  <c r="AL256" i="3"/>
  <c r="AH256" i="3"/>
  <c r="AD256" i="3"/>
  <c r="Z256" i="3"/>
  <c r="V256" i="3"/>
  <c r="R256" i="3"/>
  <c r="N256" i="3"/>
  <c r="J256" i="3"/>
  <c r="F256" i="3"/>
  <c r="CI256" i="3"/>
  <c r="CE256" i="3"/>
  <c r="CA256" i="3"/>
  <c r="BW256" i="3"/>
  <c r="BS256" i="3"/>
  <c r="BO256" i="3"/>
  <c r="BK256" i="3"/>
  <c r="BG256" i="3"/>
  <c r="BC256" i="3"/>
  <c r="AY256" i="3"/>
  <c r="AU256" i="3"/>
  <c r="AQ256" i="3"/>
  <c r="AM256" i="3"/>
  <c r="AI256" i="3"/>
  <c r="AE256" i="3"/>
  <c r="AA256" i="3"/>
  <c r="W256" i="3"/>
  <c r="S256" i="3"/>
  <c r="O256" i="3"/>
  <c r="K256" i="3"/>
  <c r="G256" i="3"/>
  <c r="C256" i="3"/>
  <c r="M206" i="3"/>
  <c r="CW256" i="3"/>
  <c r="R206" i="3"/>
  <c r="DB256" i="3"/>
  <c r="L206" i="3"/>
  <c r="CV256" i="3"/>
  <c r="CI284" i="3"/>
  <c r="CE284" i="3"/>
  <c r="CA284" i="3"/>
  <c r="BW284" i="3"/>
  <c r="BS284" i="3"/>
  <c r="BO284" i="3"/>
  <c r="BK284" i="3"/>
  <c r="BG284" i="3"/>
  <c r="BC284" i="3"/>
  <c r="AY284" i="3"/>
  <c r="AU284" i="3"/>
  <c r="AQ284" i="3"/>
  <c r="AM284" i="3"/>
  <c r="AI284" i="3"/>
  <c r="AE284" i="3"/>
  <c r="AA284" i="3"/>
  <c r="W284" i="3"/>
  <c r="S284" i="3"/>
  <c r="O284" i="3"/>
  <c r="K284" i="3"/>
  <c r="G284" i="3"/>
  <c r="C284" i="3"/>
  <c r="CF284" i="3"/>
  <c r="CB284" i="3"/>
  <c r="BX284" i="3"/>
  <c r="BT284" i="3"/>
  <c r="BP284" i="3"/>
  <c r="BL284" i="3"/>
  <c r="BH284" i="3"/>
  <c r="BD284" i="3"/>
  <c r="AZ284" i="3"/>
  <c r="AV284" i="3"/>
  <c r="AR284" i="3"/>
  <c r="AN284" i="3"/>
  <c r="AJ284" i="3"/>
  <c r="AF284" i="3"/>
  <c r="AB284" i="3"/>
  <c r="X284" i="3"/>
  <c r="T284" i="3"/>
  <c r="P284" i="3"/>
  <c r="L284" i="3"/>
  <c r="H284" i="3"/>
  <c r="D284" i="3"/>
  <c r="N234" i="3"/>
  <c r="CX284" i="3"/>
  <c r="P234" i="3"/>
  <c r="CZ284" i="3"/>
  <c r="M234" i="3"/>
  <c r="CW284" i="3"/>
  <c r="B284" i="3"/>
  <c r="CG284" i="3"/>
  <c r="CC284" i="3"/>
  <c r="BY284" i="3"/>
  <c r="BU284" i="3"/>
  <c r="BQ284" i="3"/>
  <c r="BM284" i="3"/>
  <c r="BI284" i="3"/>
  <c r="BE284" i="3"/>
  <c r="BA284" i="3"/>
  <c r="AW284" i="3"/>
  <c r="AS284" i="3"/>
  <c r="AO284" i="3"/>
  <c r="AK284" i="3"/>
  <c r="AG284" i="3"/>
  <c r="AC284" i="3"/>
  <c r="Y284" i="3"/>
  <c r="U284" i="3"/>
  <c r="Q284" i="3"/>
  <c r="M284" i="3"/>
  <c r="I284" i="3"/>
  <c r="E284" i="3"/>
  <c r="CH284" i="3"/>
  <c r="CD284" i="3"/>
  <c r="BZ284" i="3"/>
  <c r="BV284" i="3"/>
  <c r="BR284" i="3"/>
  <c r="BN284" i="3"/>
  <c r="BJ284" i="3"/>
  <c r="BF284" i="3"/>
  <c r="BB284" i="3"/>
  <c r="AX284" i="3"/>
  <c r="AT284" i="3"/>
  <c r="AP284" i="3"/>
  <c r="AL284" i="3"/>
  <c r="AH284" i="3"/>
  <c r="AD284" i="3"/>
  <c r="Z284" i="3"/>
  <c r="V284" i="3"/>
  <c r="R284" i="3"/>
  <c r="N284" i="3"/>
  <c r="J284" i="3"/>
  <c r="F284" i="3"/>
  <c r="R234" i="3"/>
  <c r="DB284" i="3"/>
  <c r="L234" i="3"/>
  <c r="CV284" i="3"/>
  <c r="Q234" i="3"/>
  <c r="DA284" i="3"/>
  <c r="O234" i="3"/>
  <c r="CY284" i="3"/>
  <c r="Z170" i="4"/>
  <c r="D5" i="14"/>
  <c r="D142" i="14"/>
  <c r="E14" i="14"/>
  <c r="D37" i="14"/>
  <c r="D26" i="14"/>
  <c r="Z167" i="4"/>
  <c r="D144" i="14"/>
  <c r="D141" i="14"/>
  <c r="D146" i="14"/>
  <c r="D147" i="14"/>
  <c r="D143" i="14"/>
  <c r="D145" i="14"/>
  <c r="D148" i="14"/>
  <c r="D14" i="14"/>
  <c r="C14" i="14"/>
  <c r="C37" i="14"/>
  <c r="B26" i="14"/>
  <c r="C26" i="14"/>
  <c r="B14" i="14"/>
  <c r="B37" i="14"/>
  <c r="G14" i="14"/>
  <c r="E26" i="14"/>
  <c r="E37" i="14"/>
  <c r="K26" i="14"/>
  <c r="G26" i="14"/>
  <c r="D4" i="14"/>
  <c r="J24" i="14"/>
  <c r="D24" i="14"/>
  <c r="P26" i="14"/>
  <c r="I26" i="14"/>
  <c r="Q26" i="14"/>
  <c r="O26" i="14"/>
  <c r="N26" i="14"/>
  <c r="M26" i="14"/>
  <c r="E12" i="14"/>
  <c r="D36" i="14"/>
  <c r="J4" i="14"/>
  <c r="Z139" i="4"/>
  <c r="C24" i="14"/>
  <c r="B24" i="14"/>
  <c r="D12" i="14"/>
  <c r="C12" i="14"/>
  <c r="K24" i="14"/>
  <c r="C36" i="14"/>
  <c r="E3" i="14"/>
  <c r="D3" i="14"/>
  <c r="C272" i="4"/>
  <c r="C3" i="14"/>
  <c r="F3" i="14"/>
  <c r="I44" i="4"/>
  <c r="J44" i="4"/>
  <c r="O82" i="4"/>
  <c r="O44" i="4"/>
  <c r="O81" i="4"/>
  <c r="Q44" i="4"/>
  <c r="W44" i="4"/>
  <c r="X44" i="4"/>
  <c r="H244" i="3" a="1"/>
  <c r="S44" i="4"/>
  <c r="T203" i="3" a="1"/>
  <c r="O236" i="3"/>
  <c r="O237" i="3"/>
  <c r="O238" i="3"/>
  <c r="O244" i="3" a="1"/>
  <c r="L236" i="3"/>
  <c r="L237" i="3"/>
  <c r="L238" i="3"/>
  <c r="L244" i="3" a="1"/>
  <c r="R236" i="3"/>
  <c r="R237" i="3"/>
  <c r="R238" i="3"/>
  <c r="R244" i="3" a="1"/>
  <c r="Q236" i="3"/>
  <c r="Q237" i="3"/>
  <c r="Q238" i="3"/>
  <c r="Q244" i="3" a="1"/>
  <c r="N236" i="3"/>
  <c r="N237" i="3"/>
  <c r="N238" i="3"/>
  <c r="N244" i="3" a="1"/>
  <c r="M236" i="3"/>
  <c r="M237" i="3"/>
  <c r="M238" i="3"/>
  <c r="M244" i="3" a="1"/>
  <c r="P236" i="3"/>
  <c r="P237" i="3"/>
  <c r="P238" i="3"/>
  <c r="P244" i="3" a="1"/>
  <c r="U44" i="4"/>
  <c r="G204" i="3" a="1"/>
  <c r="G204" i="3"/>
  <c r="G205" i="3" a="1"/>
  <c r="G205" i="3"/>
  <c r="G206" i="3" a="1"/>
  <c r="G207" i="3" a="1"/>
  <c r="G208" i="3" a="1"/>
  <c r="G209" i="3" a="1"/>
  <c r="G210" i="3" a="1"/>
  <c r="G211" i="3" a="1"/>
  <c r="G212" i="3" a="1"/>
  <c r="G213" i="3" a="1"/>
  <c r="G214" i="3" a="1"/>
  <c r="G215" i="3" a="1"/>
  <c r="G216" i="3" a="1"/>
  <c r="G217" i="3" a="1"/>
  <c r="G218" i="3" a="1"/>
  <c r="G219" i="3" a="1"/>
  <c r="G220" i="3" a="1"/>
  <c r="G221" i="3" a="1"/>
  <c r="G222" i="3" a="1"/>
  <c r="G223" i="3" a="1"/>
  <c r="G224" i="3" a="1"/>
  <c r="G225" i="3" a="1"/>
  <c r="G226" i="3" a="1"/>
  <c r="G227" i="3" a="1"/>
  <c r="G228" i="3" a="1"/>
  <c r="G229" i="3" a="1"/>
  <c r="G230" i="3" a="1"/>
  <c r="G231" i="3" a="1"/>
  <c r="G232" i="3" a="1"/>
  <c r="G233" i="3" a="1"/>
  <c r="G234" i="3" a="1"/>
  <c r="G235" i="3" a="1"/>
  <c r="G236" i="3" a="1"/>
  <c r="G237" i="3" a="1"/>
  <c r="G238" i="3" a="1"/>
  <c r="G239" i="3" a="1"/>
  <c r="G240" i="3" a="1"/>
  <c r="G241" i="3" a="1"/>
  <c r="G242" i="3" a="1"/>
  <c r="G243" i="3" a="1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 a="1"/>
  <c r="F204" i="3" a="1"/>
  <c r="F204" i="3"/>
  <c r="F205" i="3" a="1"/>
  <c r="F205" i="3"/>
  <c r="F206" i="3" a="1"/>
  <c r="F207" i="3" a="1"/>
  <c r="F208" i="3" a="1"/>
  <c r="F209" i="3" a="1"/>
  <c r="F210" i="3" a="1"/>
  <c r="F211" i="3" a="1"/>
  <c r="F212" i="3" a="1"/>
  <c r="F213" i="3" a="1"/>
  <c r="F214" i="3" a="1"/>
  <c r="F215" i="3" a="1"/>
  <c r="F216" i="3" a="1"/>
  <c r="F217" i="3" a="1"/>
  <c r="F218" i="3" a="1"/>
  <c r="F219" i="3" a="1"/>
  <c r="F220" i="3" a="1"/>
  <c r="F221" i="3" a="1"/>
  <c r="F222" i="3" a="1"/>
  <c r="F223" i="3" a="1"/>
  <c r="F224" i="3" a="1"/>
  <c r="F225" i="3" a="1"/>
  <c r="F226" i="3" a="1"/>
  <c r="F227" i="3" a="1"/>
  <c r="F228" i="3" a="1"/>
  <c r="F229" i="3" a="1"/>
  <c r="F230" i="3" a="1"/>
  <c r="F231" i="3" a="1"/>
  <c r="F232" i="3" a="1"/>
  <c r="F233" i="3" a="1"/>
  <c r="F234" i="3" a="1"/>
  <c r="F235" i="3" a="1"/>
  <c r="F236" i="3" a="1"/>
  <c r="F237" i="3" a="1"/>
  <c r="F238" i="3" a="1"/>
  <c r="F239" i="3" a="1"/>
  <c r="F240" i="3" a="1"/>
  <c r="F241" i="3" a="1"/>
  <c r="F242" i="3" a="1"/>
  <c r="F243" i="3" a="1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 a="1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 a="1"/>
  <c r="M96" i="14"/>
  <c r="I43" i="15"/>
  <c r="C142" i="14"/>
  <c r="C146" i="14"/>
  <c r="C147" i="14"/>
  <c r="C143" i="14"/>
  <c r="C141" i="14"/>
  <c r="C145" i="14"/>
  <c r="C148" i="14"/>
  <c r="C144" i="14"/>
  <c r="B250" i="14" a="1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9" i="14" a="1"/>
  <c r="B279" i="14"/>
  <c r="F250" i="14" a="1"/>
  <c r="F250" i="14"/>
  <c r="F251" i="14"/>
  <c r="F252" i="14"/>
  <c r="F253" i="14"/>
  <c r="F254" i="14" a="1"/>
  <c r="F256" i="14" a="1"/>
  <c r="F254" i="14"/>
  <c r="F255" i="14"/>
  <c r="F256" i="14"/>
  <c r="F257" i="14"/>
  <c r="F279" i="14" a="1"/>
  <c r="F279" i="14"/>
  <c r="D250" i="14" a="1"/>
  <c r="D250" i="14"/>
  <c r="D251" i="14"/>
  <c r="D252" i="14"/>
  <c r="D253" i="14"/>
  <c r="D254" i="14"/>
  <c r="D255" i="14"/>
  <c r="D256" i="14"/>
  <c r="D257" i="14"/>
  <c r="D258" i="14"/>
  <c r="D259" i="14" a="1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9" i="14" a="1"/>
  <c r="D279" i="14"/>
  <c r="R257" i="14"/>
  <c r="R264" i="14"/>
  <c r="R265" i="14"/>
  <c r="R266" i="14"/>
  <c r="R267" i="14"/>
  <c r="R278" i="14"/>
  <c r="R282" i="14"/>
  <c r="R285" i="14"/>
  <c r="R286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2" i="14"/>
  <c r="Q283" i="14"/>
  <c r="Q284" i="14"/>
  <c r="Q286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1" i="14"/>
  <c r="P286" i="14"/>
  <c r="B12" i="14"/>
  <c r="I12" i="14"/>
  <c r="B36" i="14"/>
  <c r="E36" i="14"/>
  <c r="E24" i="14"/>
  <c r="G24" i="14"/>
  <c r="P24" i="14"/>
  <c r="I24" i="14"/>
  <c r="Q24" i="14"/>
  <c r="O24" i="14"/>
  <c r="N24" i="14"/>
  <c r="M24" i="14"/>
  <c r="O83" i="4"/>
  <c r="B58" i="14"/>
  <c r="B60" i="14"/>
  <c r="DK280" i="3"/>
  <c r="DK265" i="3"/>
  <c r="DK253" i="3"/>
  <c r="K184" i="4"/>
  <c r="DI253" i="3"/>
  <c r="DI284" i="3"/>
  <c r="DI276" i="3"/>
  <c r="K214" i="4"/>
  <c r="DK283" i="3"/>
  <c r="K190" i="4"/>
  <c r="DK259" i="3"/>
  <c r="K208" i="4"/>
  <c r="DK277" i="3"/>
  <c r="DI260" i="3"/>
  <c r="DI290" i="3"/>
  <c r="K223" i="4"/>
  <c r="DK292" i="3"/>
  <c r="DI292" i="3"/>
  <c r="K221" i="4"/>
  <c r="DK290" i="3"/>
  <c r="K224" i="4"/>
  <c r="DK293" i="3"/>
  <c r="O89" i="4"/>
  <c r="K215" i="4"/>
  <c r="DK284" i="3"/>
  <c r="K192" i="4"/>
  <c r="DK261" i="3"/>
  <c r="DI256" i="3"/>
  <c r="DI262" i="3"/>
  <c r="DI271" i="3"/>
  <c r="DI254" i="3"/>
  <c r="DI281" i="3"/>
  <c r="DI261" i="3"/>
  <c r="DI274" i="3"/>
  <c r="DI279" i="3"/>
  <c r="K203" i="4"/>
  <c r="DK272" i="3"/>
  <c r="K189" i="4"/>
  <c r="DK258" i="3"/>
  <c r="DI265" i="3"/>
  <c r="DI264" i="3"/>
  <c r="DI269" i="3"/>
  <c r="K210" i="4"/>
  <c r="DK279" i="3"/>
  <c r="K216" i="4"/>
  <c r="DK285" i="3"/>
  <c r="K212" i="4"/>
  <c r="DK281" i="3"/>
  <c r="K194" i="4"/>
  <c r="DK263" i="3"/>
  <c r="DI277" i="3"/>
  <c r="DI280" i="3"/>
  <c r="K197" i="4"/>
  <c r="DK266" i="3"/>
  <c r="K185" i="4"/>
  <c r="DK254" i="3"/>
  <c r="DI266" i="3"/>
  <c r="K199" i="4"/>
  <c r="DK268" i="3"/>
  <c r="K196" i="4"/>
  <c r="K191" i="4"/>
  <c r="DK260" i="3"/>
  <c r="DK262" i="3"/>
  <c r="K193" i="4"/>
  <c r="K188" i="4"/>
  <c r="DK257" i="3"/>
  <c r="DI259" i="3"/>
  <c r="K205" i="4"/>
  <c r="DK274" i="3"/>
  <c r="K195" i="4"/>
  <c r="DK264" i="3"/>
  <c r="DI263" i="3"/>
  <c r="DI291" i="3"/>
  <c r="K222" i="4"/>
  <c r="DK291" i="3"/>
  <c r="DI293" i="3"/>
  <c r="K220" i="4"/>
  <c r="DK289" i="3"/>
  <c r="DI289" i="3"/>
  <c r="DK271" i="3"/>
  <c r="DK282" i="3"/>
  <c r="K213" i="4"/>
  <c r="K198" i="4"/>
  <c r="DK267" i="3"/>
  <c r="DI255" i="3"/>
  <c r="K204" i="4"/>
  <c r="DK273" i="3"/>
  <c r="DI258" i="3"/>
  <c r="DI283" i="3"/>
  <c r="DI257" i="3"/>
  <c r="DI272" i="3"/>
  <c r="K200" i="4"/>
  <c r="DK269" i="3"/>
  <c r="DI273" i="3"/>
  <c r="DK276" i="3"/>
  <c r="K207" i="4"/>
  <c r="DI268" i="3"/>
  <c r="K206" i="4"/>
  <c r="DK275" i="3"/>
  <c r="K209" i="4"/>
  <c r="DK278" i="3"/>
  <c r="K201" i="4"/>
  <c r="DK270" i="3"/>
  <c r="DI270" i="3"/>
  <c r="K186" i="4"/>
  <c r="DK255" i="3"/>
  <c r="K187" i="4"/>
  <c r="DK256" i="3"/>
  <c r="DI267" i="3"/>
  <c r="DI285" i="3"/>
  <c r="DI275" i="3"/>
  <c r="DI278" i="3"/>
  <c r="DI282" i="3"/>
  <c r="K211" i="4"/>
  <c r="Z157" i="4"/>
  <c r="Z159" i="4"/>
  <c r="H270" i="4"/>
  <c r="H272" i="4"/>
  <c r="H3" i="14"/>
  <c r="G270" i="4"/>
  <c r="G272" i="4"/>
  <c r="G3" i="14"/>
  <c r="J244" i="3"/>
  <c r="J245" i="3"/>
  <c r="F22" i="14"/>
  <c r="B110" i="14"/>
  <c r="P96" i="14"/>
  <c r="Z172" i="4"/>
  <c r="Z173" i="4"/>
  <c r="Z174" i="4"/>
  <c r="Z180" i="4"/>
  <c r="B214" i="3" a="1"/>
  <c r="B214" i="3"/>
  <c r="B142" i="14"/>
  <c r="DF264" i="3"/>
  <c r="B227" i="3" a="1"/>
  <c r="B227" i="3"/>
  <c r="B145" i="14"/>
  <c r="DF277" i="3"/>
  <c r="B229" i="3" a="1"/>
  <c r="B229" i="3"/>
  <c r="B144" i="14"/>
  <c r="DF279" i="3"/>
  <c r="B223" i="3" a="1"/>
  <c r="B223" i="3"/>
  <c r="B147" i="14"/>
  <c r="DF273" i="3"/>
  <c r="B221" i="3" a="1"/>
  <c r="B221" i="3"/>
  <c r="B146" i="14"/>
  <c r="DF271" i="3"/>
  <c r="B231" i="3" a="1"/>
  <c r="B231" i="3"/>
  <c r="B143" i="14"/>
  <c r="DF281" i="3"/>
  <c r="B213" i="3" a="1"/>
  <c r="B213" i="3"/>
  <c r="B141" i="14"/>
  <c r="DF263" i="3"/>
  <c r="B236" i="3" a="1"/>
  <c r="B236" i="3"/>
  <c r="B148" i="14"/>
  <c r="DF286" i="3"/>
  <c r="C236" i="3" a="1"/>
  <c r="C236" i="3"/>
  <c r="CR286" i="3"/>
  <c r="D236" i="3" a="1"/>
  <c r="D236" i="3"/>
  <c r="CS286" i="3"/>
  <c r="B238" i="3" a="1"/>
  <c r="B238" i="3"/>
  <c r="DF288" i="3"/>
  <c r="B224" i="3" a="1"/>
  <c r="B224" i="3"/>
  <c r="DF274" i="3"/>
  <c r="D204" i="3" a="1"/>
  <c r="D204" i="3"/>
  <c r="CS254" i="3"/>
  <c r="B208" i="3" a="1"/>
  <c r="B208" i="3"/>
  <c r="DF258" i="3"/>
  <c r="B215" i="3" a="1"/>
  <c r="B215" i="3"/>
  <c r="DF265" i="3"/>
  <c r="C218" i="3" a="1"/>
  <c r="C218" i="3"/>
  <c r="CR268" i="3"/>
  <c r="B243" i="3" a="1"/>
  <c r="B243" i="3"/>
  <c r="DF293" i="3"/>
  <c r="D221" i="3" a="1"/>
  <c r="D221" i="3"/>
  <c r="CS271" i="3"/>
  <c r="D209" i="3" a="1"/>
  <c r="D209" i="3"/>
  <c r="CS259" i="3"/>
  <c r="B212" i="3" a="1"/>
  <c r="B212" i="3"/>
  <c r="DF262" i="3"/>
  <c r="C239" i="3" a="1"/>
  <c r="C239" i="3"/>
  <c r="CR289" i="3"/>
  <c r="D214" i="3" a="1"/>
  <c r="D214" i="3"/>
  <c r="CS264" i="3"/>
  <c r="C223" i="3" a="1"/>
  <c r="C223" i="3"/>
  <c r="CR273" i="3"/>
  <c r="D217" i="3" a="1"/>
  <c r="D217" i="3"/>
  <c r="CS267" i="3"/>
  <c r="D226" i="3" a="1"/>
  <c r="D226" i="3"/>
  <c r="CS276" i="3"/>
  <c r="C216" i="3" a="1"/>
  <c r="C216" i="3"/>
  <c r="CR266" i="3"/>
  <c r="D225" i="3" a="1"/>
  <c r="D225" i="3"/>
  <c r="CS275" i="3"/>
  <c r="D241" i="3" a="1"/>
  <c r="D241" i="3"/>
  <c r="CS291" i="3"/>
  <c r="C213" i="3" a="1"/>
  <c r="C213" i="3"/>
  <c r="CR263" i="3"/>
  <c r="C206" i="3" a="1"/>
  <c r="C206" i="3"/>
  <c r="CR256" i="3"/>
  <c r="B232" i="3" a="1"/>
  <c r="B232" i="3"/>
  <c r="DF282" i="3"/>
  <c r="C235" i="3" a="1"/>
  <c r="C235" i="3"/>
  <c r="CR285" i="3"/>
  <c r="D208" i="3" a="1"/>
  <c r="D208" i="3"/>
  <c r="CS258" i="3"/>
  <c r="B217" i="3" a="1"/>
  <c r="B217" i="3"/>
  <c r="DF267" i="3"/>
  <c r="B219" i="3" a="1"/>
  <c r="B219" i="3"/>
  <c r="DF269" i="3"/>
  <c r="C212" i="3" a="1"/>
  <c r="C212" i="3"/>
  <c r="CR262" i="3"/>
  <c r="C205" i="3" a="1"/>
  <c r="C205" i="3"/>
  <c r="CR255" i="3"/>
  <c r="D238" i="3" a="1"/>
  <c r="D238" i="3"/>
  <c r="CS288" i="3"/>
  <c r="B237" i="3" a="1"/>
  <c r="B237" i="3"/>
  <c r="DF287" i="3"/>
  <c r="C231" i="3" a="1"/>
  <c r="C231" i="3"/>
  <c r="CR281" i="3"/>
  <c r="D227" i="3" a="1"/>
  <c r="D227" i="3"/>
  <c r="CS277" i="3"/>
  <c r="D206" i="3" a="1"/>
  <c r="D206" i="3"/>
  <c r="CS256" i="3"/>
  <c r="C241" i="3" a="1"/>
  <c r="C241" i="3"/>
  <c r="CR291" i="3"/>
  <c r="D212" i="3" a="1"/>
  <c r="D212" i="3"/>
  <c r="CS262" i="3"/>
  <c r="D215" i="3" a="1"/>
  <c r="D215" i="3"/>
  <c r="CS265" i="3"/>
  <c r="C227" i="3" a="1"/>
  <c r="C227" i="3"/>
  <c r="CR277" i="3"/>
  <c r="B240" i="3" a="1"/>
  <c r="B240" i="3"/>
  <c r="DF290" i="3"/>
  <c r="D205" i="3" a="1"/>
  <c r="D205" i="3"/>
  <c r="CS255" i="3"/>
  <c r="C232" i="3" a="1"/>
  <c r="C232" i="3"/>
  <c r="CR282" i="3"/>
  <c r="D211" i="3" a="1"/>
  <c r="D211" i="3"/>
  <c r="CS261" i="3"/>
  <c r="B241" i="3" a="1"/>
  <c r="B241" i="3"/>
  <c r="DF291" i="3"/>
  <c r="D228" i="3" a="1"/>
  <c r="D228" i="3"/>
  <c r="CS278" i="3"/>
  <c r="D239" i="3" a="1"/>
  <c r="D239" i="3"/>
  <c r="CS289" i="3"/>
  <c r="B234" i="3" a="1"/>
  <c r="B234" i="3"/>
  <c r="DF284" i="3"/>
  <c r="B222" i="3" a="1"/>
  <c r="B222" i="3"/>
  <c r="DF272" i="3"/>
  <c r="C217" i="3" a="1"/>
  <c r="C217" i="3"/>
  <c r="CR267" i="3"/>
  <c r="B233" i="3" a="1"/>
  <c r="B233" i="3"/>
  <c r="DF283" i="3"/>
  <c r="C219" i="3" a="1"/>
  <c r="C219" i="3"/>
  <c r="CR269" i="3"/>
  <c r="D216" i="3" a="1"/>
  <c r="D216" i="3"/>
  <c r="CS266" i="3"/>
  <c r="B239" i="3" a="1"/>
  <c r="B239" i="3"/>
  <c r="DF289" i="3"/>
  <c r="C226" i="3" a="1"/>
  <c r="C226" i="3"/>
  <c r="CR276" i="3"/>
  <c r="D222" i="3" a="1"/>
  <c r="D222" i="3"/>
  <c r="CS272" i="3"/>
  <c r="D232" i="3" a="1"/>
  <c r="D232" i="3"/>
  <c r="CS282" i="3"/>
  <c r="D218" i="3" a="1"/>
  <c r="D218" i="3"/>
  <c r="CS268" i="3"/>
  <c r="C237" i="3" a="1"/>
  <c r="C237" i="3"/>
  <c r="CR287" i="3"/>
  <c r="B220" i="3" a="1"/>
  <c r="B220" i="3"/>
  <c r="DF270" i="3"/>
  <c r="C208" i="3" a="1"/>
  <c r="C208" i="3"/>
  <c r="CR258" i="3"/>
  <c r="C221" i="3" a="1"/>
  <c r="C221" i="3"/>
  <c r="CR271" i="3"/>
  <c r="B228" i="3" a="1"/>
  <c r="B228" i="3"/>
  <c r="DF278" i="3"/>
  <c r="D231" i="3" a="1"/>
  <c r="D231" i="3"/>
  <c r="CS281" i="3"/>
  <c r="D229" i="3" a="1"/>
  <c r="D229" i="3"/>
  <c r="CS279" i="3"/>
  <c r="C233" i="3" a="1"/>
  <c r="C233" i="3"/>
  <c r="CR283" i="3"/>
  <c r="C225" i="3" a="1"/>
  <c r="C225" i="3"/>
  <c r="CR275" i="3"/>
  <c r="D242" i="3" a="1"/>
  <c r="D242" i="3"/>
  <c r="CS292" i="3"/>
  <c r="B210" i="3" a="1"/>
  <c r="B210" i="3"/>
  <c r="DF260" i="3"/>
  <c r="B206" i="3" a="1"/>
  <c r="B206" i="3"/>
  <c r="DF256" i="3"/>
  <c r="B207" i="3" a="1"/>
  <c r="B207" i="3"/>
  <c r="DF257" i="3"/>
  <c r="C209" i="3" a="1"/>
  <c r="C209" i="3"/>
  <c r="CR259" i="3"/>
  <c r="B216" i="3" a="1"/>
  <c r="B216" i="3"/>
  <c r="DF266" i="3"/>
  <c r="C243" i="3" a="1"/>
  <c r="C243" i="3"/>
  <c r="CR293" i="3"/>
  <c r="C211" i="3" a="1"/>
  <c r="C211" i="3"/>
  <c r="CR261" i="3"/>
  <c r="B205" i="3" a="1"/>
  <c r="B205" i="3"/>
  <c r="DF255" i="3"/>
  <c r="D220" i="3" a="1"/>
  <c r="D220" i="3"/>
  <c r="CS270" i="3"/>
  <c r="C224" i="3" a="1"/>
  <c r="C224" i="3"/>
  <c r="CR274" i="3"/>
  <c r="C203" i="3" a="1"/>
  <c r="C203" i="3"/>
  <c r="CR253" i="3"/>
  <c r="B225" i="3" a="1"/>
  <c r="B225" i="3"/>
  <c r="DF275" i="3"/>
  <c r="D219" i="3" a="1"/>
  <c r="D219" i="3"/>
  <c r="CS269" i="3"/>
  <c r="C214" i="3" a="1"/>
  <c r="C214" i="3"/>
  <c r="CR264" i="3"/>
  <c r="C220" i="3" a="1"/>
  <c r="C220" i="3"/>
  <c r="CR270" i="3"/>
  <c r="D224" i="3" a="1"/>
  <c r="D224" i="3"/>
  <c r="CS274" i="3"/>
  <c r="B209" i="3" a="1"/>
  <c r="B209" i="3"/>
  <c r="DF259" i="3"/>
  <c r="D237" i="3" a="1"/>
  <c r="D237" i="3"/>
  <c r="CS287" i="3"/>
  <c r="B203" i="3" a="1"/>
  <c r="B203" i="3"/>
  <c r="DF253" i="3"/>
  <c r="C228" i="3" a="1"/>
  <c r="C228" i="3"/>
  <c r="CR278" i="3"/>
  <c r="B235" i="3" a="1"/>
  <c r="B235" i="3"/>
  <c r="DF285" i="3"/>
  <c r="B242" i="3" a="1"/>
  <c r="B242" i="3"/>
  <c r="DF292" i="3"/>
  <c r="C242" i="3" a="1"/>
  <c r="C242" i="3"/>
  <c r="CR292" i="3"/>
  <c r="B218" i="3" a="1"/>
  <c r="B218" i="3"/>
  <c r="DF268" i="3"/>
  <c r="C210" i="3" a="1"/>
  <c r="C210" i="3"/>
  <c r="CR260" i="3"/>
  <c r="C215" i="3" a="1"/>
  <c r="C215" i="3"/>
  <c r="CR265" i="3"/>
  <c r="D234" i="3" a="1"/>
  <c r="D234" i="3"/>
  <c r="CS284" i="3"/>
  <c r="C238" i="3" a="1"/>
  <c r="C238" i="3"/>
  <c r="CR288" i="3"/>
  <c r="B226" i="3" a="1"/>
  <c r="B226" i="3"/>
  <c r="DF276" i="3"/>
  <c r="D243" i="3" a="1"/>
  <c r="D243" i="3"/>
  <c r="CS293" i="3"/>
  <c r="D223" i="3" a="1"/>
  <c r="D223" i="3"/>
  <c r="CS273" i="3"/>
  <c r="D235" i="3" a="1"/>
  <c r="D235" i="3"/>
  <c r="CS285" i="3"/>
  <c r="B230" i="3" a="1"/>
  <c r="B230" i="3"/>
  <c r="DF280" i="3"/>
  <c r="C240" i="3" a="1"/>
  <c r="C240" i="3"/>
  <c r="CR290" i="3"/>
  <c r="C229" i="3" a="1"/>
  <c r="C229" i="3"/>
  <c r="CR279" i="3"/>
  <c r="B211" i="3" a="1"/>
  <c r="B211" i="3"/>
  <c r="DF261" i="3"/>
  <c r="B204" i="3" a="1"/>
  <c r="B204" i="3"/>
  <c r="DF254" i="3"/>
  <c r="D203" i="3" a="1"/>
  <c r="D203" i="3"/>
  <c r="CS253" i="3"/>
  <c r="C207" i="3" a="1"/>
  <c r="C207" i="3"/>
  <c r="CR257" i="3"/>
  <c r="D233" i="3" a="1"/>
  <c r="D233" i="3"/>
  <c r="CS283" i="3"/>
  <c r="C222" i="3" a="1"/>
  <c r="C222" i="3"/>
  <c r="CR272" i="3"/>
  <c r="D213" i="3" a="1"/>
  <c r="D213" i="3"/>
  <c r="CS263" i="3"/>
  <c r="C230" i="3" a="1"/>
  <c r="C230" i="3"/>
  <c r="CR280" i="3"/>
  <c r="C204" i="3" a="1"/>
  <c r="C204" i="3"/>
  <c r="CR254" i="3"/>
  <c r="D207" i="3" a="1"/>
  <c r="D207" i="3"/>
  <c r="CS257" i="3"/>
  <c r="C234" i="3" a="1"/>
  <c r="C234" i="3"/>
  <c r="CR284" i="3"/>
  <c r="D230" i="3" a="1"/>
  <c r="D230" i="3"/>
  <c r="CS280" i="3"/>
  <c r="D240" i="3" a="1"/>
  <c r="D240" i="3"/>
  <c r="CS290" i="3"/>
  <c r="D210" i="3" a="1"/>
  <c r="D210" i="3"/>
  <c r="CS260" i="3"/>
  <c r="Z89" i="4"/>
  <c r="Z44" i="4"/>
  <c r="Y89" i="4"/>
  <c r="U89" i="4"/>
  <c r="S89" i="4"/>
  <c r="Y44" i="4"/>
  <c r="B274" i="4"/>
  <c r="J3" i="14"/>
  <c r="P81" i="14"/>
  <c r="B82" i="14"/>
  <c r="X89" i="4"/>
  <c r="DI286" i="3"/>
  <c r="E225" i="4"/>
  <c r="D269" i="4"/>
  <c r="DK286" i="3"/>
  <c r="K217" i="4"/>
  <c r="W89" i="4"/>
  <c r="Q89" i="4"/>
  <c r="V44" i="4"/>
  <c r="R34" i="3"/>
  <c r="M34" i="3"/>
  <c r="V89" i="4"/>
  <c r="I270" i="4"/>
  <c r="I272" i="4"/>
  <c r="I3" i="14"/>
  <c r="F225" i="4"/>
  <c r="E269" i="4"/>
  <c r="T44" i="4"/>
  <c r="R38" i="3"/>
  <c r="M38" i="3"/>
  <c r="H225" i="4"/>
  <c r="G269" i="4"/>
  <c r="R44" i="4"/>
  <c r="R56" i="3"/>
  <c r="M56" i="3"/>
  <c r="DK287" i="3"/>
  <c r="K218" i="4"/>
  <c r="DI288" i="3"/>
  <c r="DK288" i="3"/>
  <c r="K219" i="4"/>
  <c r="T89" i="4"/>
  <c r="DI287" i="3"/>
  <c r="R89" i="4"/>
  <c r="I225" i="4"/>
  <c r="H269" i="4"/>
  <c r="P44" i="4"/>
  <c r="R60" i="3"/>
  <c r="M60" i="3"/>
  <c r="N89" i="4"/>
  <c r="M89" i="4"/>
  <c r="H44" i="4"/>
  <c r="R48" i="3"/>
  <c r="M48" i="3"/>
  <c r="M44" i="4"/>
  <c r="K89" i="4"/>
  <c r="D225" i="4"/>
  <c r="C269" i="4"/>
  <c r="J89" i="4"/>
  <c r="K44" i="4"/>
  <c r="L44" i="4"/>
  <c r="H89" i="4"/>
  <c r="G44" i="4"/>
  <c r="R47" i="3"/>
  <c r="M47" i="3"/>
  <c r="I89" i="4"/>
  <c r="R42" i="3"/>
  <c r="M42" i="3"/>
  <c r="G89" i="4"/>
  <c r="C225" i="4"/>
  <c r="B269" i="4"/>
  <c r="F89" i="4"/>
  <c r="D89" i="4"/>
  <c r="C89" i="4"/>
  <c r="C44" i="4"/>
  <c r="B72" i="14"/>
  <c r="B73" i="14"/>
  <c r="B74" i="14"/>
  <c r="B80" i="14"/>
  <c r="Y218" i="3"/>
  <c r="CX288" i="3"/>
  <c r="CY288" i="3"/>
  <c r="CZ288" i="3"/>
  <c r="CV288" i="3"/>
  <c r="DB288" i="3"/>
  <c r="CW288" i="3"/>
  <c r="DA288" i="3"/>
  <c r="CE288" i="3"/>
  <c r="BS288" i="3"/>
  <c r="BC288" i="3"/>
  <c r="AM288" i="3"/>
  <c r="W288" i="3"/>
  <c r="G288" i="3"/>
  <c r="BX288" i="3"/>
  <c r="BH288" i="3"/>
  <c r="AR288" i="3"/>
  <c r="AB288" i="3"/>
  <c r="L288" i="3"/>
  <c r="BU288" i="3"/>
  <c r="BM288" i="3"/>
  <c r="Y288" i="3"/>
  <c r="BZ288" i="3"/>
  <c r="AT288" i="3"/>
  <c r="N288" i="3"/>
  <c r="AK288" i="3"/>
  <c r="E288" i="3"/>
  <c r="BF288" i="3"/>
  <c r="Z288" i="3"/>
  <c r="CC288" i="3"/>
  <c r="BW288" i="3"/>
  <c r="BG288" i="3"/>
  <c r="AQ288" i="3"/>
  <c r="AA288" i="3"/>
  <c r="K288" i="3"/>
  <c r="CB288" i="3"/>
  <c r="BL288" i="3"/>
  <c r="AV288" i="3"/>
  <c r="AF288" i="3"/>
  <c r="P288" i="3"/>
  <c r="BY288" i="3"/>
  <c r="BE288" i="3"/>
  <c r="AG288" i="3"/>
  <c r="CH288" i="3"/>
  <c r="BB288" i="3"/>
  <c r="V288" i="3"/>
  <c r="AS288" i="3"/>
  <c r="M288" i="3"/>
  <c r="BN288" i="3"/>
  <c r="AH288" i="3"/>
  <c r="J288" i="3"/>
  <c r="CG288" i="3"/>
  <c r="CA288" i="3"/>
  <c r="BK288" i="3"/>
  <c r="AU288" i="3"/>
  <c r="AE288" i="3"/>
  <c r="O288" i="3"/>
  <c r="CF288" i="3"/>
  <c r="BP288" i="3"/>
  <c r="AZ288" i="3"/>
  <c r="AJ288" i="3"/>
  <c r="T288" i="3"/>
  <c r="D288" i="3"/>
  <c r="BI288" i="3"/>
  <c r="AO288" i="3"/>
  <c r="I288" i="3"/>
  <c r="BJ288" i="3"/>
  <c r="AD288" i="3"/>
  <c r="BA288" i="3"/>
  <c r="U288" i="3"/>
  <c r="BV288" i="3"/>
  <c r="AP288" i="3"/>
  <c r="B288" i="3"/>
  <c r="CI288" i="3"/>
  <c r="BO288" i="3"/>
  <c r="AY288" i="3"/>
  <c r="AI288" i="3"/>
  <c r="S288" i="3"/>
  <c r="C288" i="3"/>
  <c r="BT288" i="3"/>
  <c r="BD288" i="3"/>
  <c r="AN288" i="3"/>
  <c r="X288" i="3"/>
  <c r="H288" i="3"/>
  <c r="BQ288" i="3"/>
  <c r="AW288" i="3"/>
  <c r="Q288" i="3"/>
  <c r="BR288" i="3"/>
  <c r="AL288" i="3"/>
  <c r="F288" i="3"/>
  <c r="AC288" i="3"/>
  <c r="CD288" i="3"/>
  <c r="AX288" i="3"/>
  <c r="R288" i="3"/>
  <c r="DA287" i="3"/>
  <c r="DB287" i="3"/>
  <c r="CW287" i="3"/>
  <c r="CY287" i="3"/>
  <c r="CX287" i="3"/>
  <c r="CZ287" i="3"/>
  <c r="CV287" i="3"/>
  <c r="BT287" i="3"/>
  <c r="P287" i="3"/>
  <c r="BK287" i="3"/>
  <c r="W287" i="3"/>
  <c r="CD287" i="3"/>
  <c r="BN287" i="3"/>
  <c r="AX287" i="3"/>
  <c r="AH287" i="3"/>
  <c r="R287" i="3"/>
  <c r="B287" i="3"/>
  <c r="BU287" i="3"/>
  <c r="BE287" i="3"/>
  <c r="AO287" i="3"/>
  <c r="Y287" i="3"/>
  <c r="I287" i="3"/>
  <c r="BP287" i="3"/>
  <c r="AR287" i="3"/>
  <c r="X287" i="3"/>
  <c r="CI287" i="3"/>
  <c r="BG287" i="3"/>
  <c r="AE287" i="3"/>
  <c r="CF287" i="3"/>
  <c r="AF287" i="3"/>
  <c r="BS287" i="3"/>
  <c r="AI287" i="3"/>
  <c r="CH287" i="3"/>
  <c r="BR287" i="3"/>
  <c r="BB287" i="3"/>
  <c r="AL287" i="3"/>
  <c r="V287" i="3"/>
  <c r="F287" i="3"/>
  <c r="BY287" i="3"/>
  <c r="BI287" i="3"/>
  <c r="AS287" i="3"/>
  <c r="AC287" i="3"/>
  <c r="M287" i="3"/>
  <c r="BX287" i="3"/>
  <c r="AZ287" i="3"/>
  <c r="AB287" i="3"/>
  <c r="H287" i="3"/>
  <c r="BO287" i="3"/>
  <c r="AM287" i="3"/>
  <c r="K287" i="3"/>
  <c r="AV287" i="3"/>
  <c r="CA287" i="3"/>
  <c r="AQ287" i="3"/>
  <c r="C287" i="3"/>
  <c r="BV287" i="3"/>
  <c r="BF287" i="3"/>
  <c r="AP287" i="3"/>
  <c r="Z287" i="3"/>
  <c r="J287" i="3"/>
  <c r="CC287" i="3"/>
  <c r="BM287" i="3"/>
  <c r="AW287" i="3"/>
  <c r="AG287" i="3"/>
  <c r="Q287" i="3"/>
  <c r="CB287" i="3"/>
  <c r="BD287" i="3"/>
  <c r="AJ287" i="3"/>
  <c r="L287" i="3"/>
  <c r="BW287" i="3"/>
  <c r="AU287" i="3"/>
  <c r="S287" i="3"/>
  <c r="BL287" i="3"/>
  <c r="D287" i="3"/>
  <c r="BC287" i="3"/>
  <c r="O287" i="3"/>
  <c r="BZ287" i="3"/>
  <c r="BJ287" i="3"/>
  <c r="AT287" i="3"/>
  <c r="AD287" i="3"/>
  <c r="N287" i="3"/>
  <c r="CG287" i="3"/>
  <c r="BQ287" i="3"/>
  <c r="BA287" i="3"/>
  <c r="AK287" i="3"/>
  <c r="U287" i="3"/>
  <c r="E287" i="3"/>
  <c r="BH287" i="3"/>
  <c r="AN287" i="3"/>
  <c r="T287" i="3"/>
  <c r="CE287" i="3"/>
  <c r="AY287" i="3"/>
  <c r="AA287" i="3"/>
  <c r="G287" i="3"/>
  <c r="E44" i="4"/>
  <c r="R52" i="3"/>
  <c r="M52" i="3"/>
  <c r="G225" i="4"/>
  <c r="F269" i="4"/>
  <c r="E89" i="4"/>
  <c r="D44" i="4"/>
  <c r="L89" i="4"/>
  <c r="P89" i="4"/>
  <c r="F286" i="3"/>
  <c r="AL286" i="3"/>
  <c r="BR286" i="3"/>
  <c r="Q286" i="3"/>
  <c r="AW286" i="3"/>
  <c r="CC286" i="3"/>
  <c r="Z286" i="3"/>
  <c r="BF286" i="3"/>
  <c r="M286" i="3"/>
  <c r="AS286" i="3"/>
  <c r="BY286" i="3"/>
  <c r="L286" i="3"/>
  <c r="AB286" i="3"/>
  <c r="AR286" i="3"/>
  <c r="BH286" i="3"/>
  <c r="BX286" i="3"/>
  <c r="G286" i="3"/>
  <c r="W286" i="3"/>
  <c r="AM286" i="3"/>
  <c r="BC286" i="3"/>
  <c r="BS286" i="3"/>
  <c r="CI286" i="3"/>
  <c r="N286" i="3"/>
  <c r="AT286" i="3"/>
  <c r="BZ286" i="3"/>
  <c r="Y286" i="3"/>
  <c r="BE286" i="3"/>
  <c r="B286" i="3"/>
  <c r="AH286" i="3"/>
  <c r="BN286" i="3"/>
  <c r="U286" i="3"/>
  <c r="BA286" i="3"/>
  <c r="CG286" i="3"/>
  <c r="P286" i="3"/>
  <c r="AF286" i="3"/>
  <c r="AV286" i="3"/>
  <c r="BL286" i="3"/>
  <c r="CB286" i="3"/>
  <c r="K286" i="3"/>
  <c r="AA286" i="3"/>
  <c r="AQ286" i="3"/>
  <c r="BG286" i="3"/>
  <c r="BW286" i="3"/>
  <c r="V286" i="3"/>
  <c r="BB286" i="3"/>
  <c r="CH286" i="3"/>
  <c r="AG286" i="3"/>
  <c r="BM286" i="3"/>
  <c r="J286" i="3"/>
  <c r="AP286" i="3"/>
  <c r="BV286" i="3"/>
  <c r="AC286" i="3"/>
  <c r="BI286" i="3"/>
  <c r="D286" i="3"/>
  <c r="T286" i="3"/>
  <c r="AJ286" i="3"/>
  <c r="AZ286" i="3"/>
  <c r="BP286" i="3"/>
  <c r="CF286" i="3"/>
  <c r="O286" i="3"/>
  <c r="AE286" i="3"/>
  <c r="AU286" i="3"/>
  <c r="BK286" i="3"/>
  <c r="CA286" i="3"/>
  <c r="CD286" i="3"/>
  <c r="AD286" i="3"/>
  <c r="BJ286" i="3"/>
  <c r="I286" i="3"/>
  <c r="AO286" i="3"/>
  <c r="BU286" i="3"/>
  <c r="R286" i="3"/>
  <c r="AX286" i="3"/>
  <c r="E286" i="3"/>
  <c r="AK286" i="3"/>
  <c r="BQ286" i="3"/>
  <c r="H286" i="3"/>
  <c r="X286" i="3"/>
  <c r="AN286" i="3"/>
  <c r="BD286" i="3"/>
  <c r="BT286" i="3"/>
  <c r="C286" i="3"/>
  <c r="S286" i="3"/>
  <c r="AI286" i="3"/>
  <c r="AY286" i="3"/>
  <c r="BO286" i="3"/>
  <c r="CE286" i="3"/>
  <c r="CW286" i="3"/>
  <c r="DA286" i="3"/>
  <c r="CV286" i="3"/>
  <c r="CZ286" i="3"/>
  <c r="CX286" i="3"/>
  <c r="DB286" i="3"/>
  <c r="CY286" i="3"/>
  <c r="G244" i="3"/>
  <c r="G245" i="3"/>
  <c r="C22" i="14"/>
  <c r="F244" i="3"/>
  <c r="F245" i="3"/>
  <c r="B22" i="14"/>
  <c r="B244" i="3" a="1"/>
  <c r="C244" i="3" a="1"/>
  <c r="D244" i="3" a="1"/>
  <c r="D244" i="3"/>
  <c r="D245" i="3"/>
  <c r="D10" i="14"/>
  <c r="W218" i="3" a="1"/>
  <c r="W218" i="3"/>
  <c r="T204" i="3" a="1"/>
  <c r="T204" i="3"/>
  <c r="B244" i="3"/>
  <c r="B245" i="3"/>
  <c r="B10" i="14"/>
  <c r="G10" i="14"/>
  <c r="C244" i="3"/>
  <c r="C245" i="3"/>
  <c r="C10" i="14"/>
  <c r="C112" i="14"/>
  <c r="B35" i="14"/>
  <c r="P82" i="14"/>
  <c r="C35" i="14"/>
  <c r="B112" i="14"/>
  <c r="G142" i="14"/>
  <c r="E22" i="14"/>
  <c r="B5" i="17"/>
  <c r="B6" i="17"/>
  <c r="K244" i="3"/>
  <c r="K245" i="3"/>
  <c r="J22" i="14"/>
  <c r="H203" i="3" a="1"/>
  <c r="H203" i="3"/>
  <c r="I203" i="3"/>
  <c r="E203" i="3"/>
  <c r="O203" i="3"/>
  <c r="R203" i="3"/>
  <c r="N203" i="3"/>
  <c r="P203" i="3"/>
  <c r="L203" i="3"/>
  <c r="Q203" i="3"/>
  <c r="M203" i="3"/>
  <c r="CZ253" i="3"/>
  <c r="CX253" i="3"/>
  <c r="CY253" i="3"/>
  <c r="CE253" i="3"/>
  <c r="CA253" i="3"/>
  <c r="BW253" i="3"/>
  <c r="BS253" i="3"/>
  <c r="BO253" i="3"/>
  <c r="BG253" i="3"/>
  <c r="AY253" i="3"/>
  <c r="AQ253" i="3"/>
  <c r="AI253" i="3"/>
  <c r="AA253" i="3"/>
  <c r="S253" i="3"/>
  <c r="K253" i="3"/>
  <c r="C253" i="3"/>
  <c r="CB253" i="3"/>
  <c r="BT253" i="3"/>
  <c r="BL253" i="3"/>
  <c r="BD253" i="3"/>
  <c r="AV253" i="3"/>
  <c r="AN253" i="3"/>
  <c r="AF253" i="3"/>
  <c r="X253" i="3"/>
  <c r="P253" i="3"/>
  <c r="H253" i="3"/>
  <c r="CW253" i="3"/>
  <c r="CG253" i="3"/>
  <c r="BY253" i="3"/>
  <c r="BQ253" i="3"/>
  <c r="BI253" i="3"/>
  <c r="BA253" i="3"/>
  <c r="AS253" i="3"/>
  <c r="AK253" i="3"/>
  <c r="AC253" i="3"/>
  <c r="U253" i="3"/>
  <c r="M253" i="3"/>
  <c r="E253" i="3"/>
  <c r="CD253" i="3"/>
  <c r="BV253" i="3"/>
  <c r="BN253" i="3"/>
  <c r="BF253" i="3"/>
  <c r="AX253" i="3"/>
  <c r="AP253" i="3"/>
  <c r="AH253" i="3"/>
  <c r="Z253" i="3"/>
  <c r="R253" i="3"/>
  <c r="J253" i="3"/>
  <c r="DA253" i="3"/>
  <c r="DB253" i="3"/>
  <c r="BK253" i="3"/>
  <c r="BC253" i="3"/>
  <c r="AU253" i="3"/>
  <c r="AM253" i="3"/>
  <c r="AE253" i="3"/>
  <c r="W253" i="3"/>
  <c r="O253" i="3"/>
  <c r="G253" i="3"/>
  <c r="CF253" i="3"/>
  <c r="BP253" i="3"/>
  <c r="AZ253" i="3"/>
  <c r="AJ253" i="3"/>
  <c r="T253" i="3"/>
  <c r="D253" i="3"/>
  <c r="B253" i="3"/>
  <c r="BU253" i="3"/>
  <c r="BE253" i="3"/>
  <c r="AO253" i="3"/>
  <c r="Y253" i="3"/>
  <c r="I253" i="3"/>
  <c r="BZ253" i="3"/>
  <c r="BJ253" i="3"/>
  <c r="AT253" i="3"/>
  <c r="AD253" i="3"/>
  <c r="N253" i="3"/>
  <c r="CV253" i="3"/>
  <c r="BX253" i="3"/>
  <c r="AR253" i="3"/>
  <c r="L253" i="3"/>
  <c r="CC253" i="3"/>
  <c r="AW253" i="3"/>
  <c r="Q253" i="3"/>
  <c r="BR253" i="3"/>
  <c r="AL253" i="3"/>
  <c r="F253" i="3"/>
  <c r="BH253" i="3"/>
  <c r="AB253" i="3"/>
  <c r="BM253" i="3"/>
  <c r="CH253" i="3"/>
  <c r="V253" i="3"/>
  <c r="BB253" i="3"/>
  <c r="AG253" i="3"/>
  <c r="CI253" i="3"/>
  <c r="H221" i="3" a="1"/>
  <c r="H221" i="3"/>
  <c r="E221" i="3"/>
  <c r="H222" i="3" a="1"/>
  <c r="H222" i="3"/>
  <c r="E222" i="3"/>
  <c r="H223" i="3" a="1"/>
  <c r="H223" i="3"/>
  <c r="E223" i="3"/>
  <c r="H224" i="3" a="1"/>
  <c r="H224" i="3"/>
  <c r="E224" i="3"/>
  <c r="H225" i="3" a="1"/>
  <c r="H225" i="3"/>
  <c r="E225" i="3"/>
  <c r="H226" i="3" a="1"/>
  <c r="H226" i="3"/>
  <c r="E226" i="3"/>
  <c r="E244" i="3"/>
  <c r="E245" i="3"/>
  <c r="B7" i="17"/>
  <c r="E10" i="14"/>
  <c r="D112" i="14"/>
  <c r="D35" i="14"/>
  <c r="M221" i="3"/>
  <c r="M222" i="3"/>
  <c r="M223" i="3"/>
  <c r="M224" i="3"/>
  <c r="M225" i="3"/>
  <c r="M226" i="3"/>
  <c r="M244" i="3"/>
  <c r="M245" i="3"/>
  <c r="Q221" i="3"/>
  <c r="Q222" i="3"/>
  <c r="Q223" i="3"/>
  <c r="Q224" i="3"/>
  <c r="Q225" i="3"/>
  <c r="Q226" i="3"/>
  <c r="Q244" i="3"/>
  <c r="Q245" i="3"/>
  <c r="L221" i="3"/>
  <c r="L222" i="3"/>
  <c r="L223" i="3"/>
  <c r="L224" i="3"/>
  <c r="L225" i="3"/>
  <c r="L226" i="3"/>
  <c r="L244" i="3"/>
  <c r="L245" i="3"/>
  <c r="P221" i="3"/>
  <c r="P222" i="3"/>
  <c r="P223" i="3"/>
  <c r="P224" i="3"/>
  <c r="P225" i="3"/>
  <c r="P226" i="3"/>
  <c r="P244" i="3"/>
  <c r="P245" i="3"/>
  <c r="N221" i="3"/>
  <c r="N222" i="3"/>
  <c r="N223" i="3"/>
  <c r="N224" i="3"/>
  <c r="N225" i="3"/>
  <c r="N226" i="3"/>
  <c r="N244" i="3"/>
  <c r="N245" i="3"/>
  <c r="R221" i="3"/>
  <c r="R222" i="3"/>
  <c r="R223" i="3"/>
  <c r="R224" i="3"/>
  <c r="R225" i="3"/>
  <c r="R226" i="3"/>
  <c r="R244" i="3"/>
  <c r="R245" i="3"/>
  <c r="O221" i="3"/>
  <c r="O222" i="3"/>
  <c r="O223" i="3"/>
  <c r="O224" i="3"/>
  <c r="O225" i="3"/>
  <c r="O226" i="3"/>
  <c r="O244" i="3"/>
  <c r="O245" i="3"/>
  <c r="I221" i="3"/>
  <c r="I222" i="3"/>
  <c r="I223" i="3"/>
  <c r="I224" i="3"/>
  <c r="I225" i="3"/>
  <c r="I226" i="3"/>
  <c r="X218" i="3"/>
  <c r="Z218" i="3"/>
  <c r="T203" i="3"/>
  <c r="V203" i="3"/>
  <c r="V204" i="3"/>
  <c r="E35" i="14"/>
  <c r="E112" i="14"/>
  <c r="P83" i="14"/>
  <c r="I244" i="3"/>
  <c r="I245" i="3"/>
  <c r="K22" i="14"/>
  <c r="G22" i="14"/>
  <c r="I22" i="14"/>
  <c r="Q22" i="14"/>
  <c r="P84" i="14"/>
  <c r="P85" i="14"/>
  <c r="N22" i="14"/>
  <c r="H244" i="3"/>
  <c r="H245" i="3"/>
  <c r="D22" i="14"/>
  <c r="O22" i="14"/>
  <c r="P22" i="14"/>
  <c r="M22" i="14"/>
  <c r="CZ271" i="3"/>
  <c r="CY271" i="3"/>
  <c r="CW271" i="3"/>
  <c r="DB271" i="3"/>
  <c r="CV271" i="3"/>
  <c r="CX271" i="3"/>
  <c r="DA271" i="3"/>
  <c r="C271" i="3"/>
  <c r="E271" i="3"/>
  <c r="G271" i="3"/>
  <c r="I271" i="3"/>
  <c r="K271" i="3"/>
  <c r="M271" i="3"/>
  <c r="O271" i="3"/>
  <c r="Q271" i="3"/>
  <c r="S271" i="3"/>
  <c r="U271" i="3"/>
  <c r="W271" i="3"/>
  <c r="Y271" i="3"/>
  <c r="AA271" i="3"/>
  <c r="AC271" i="3"/>
  <c r="AE271" i="3"/>
  <c r="AG271" i="3"/>
  <c r="AI271" i="3"/>
  <c r="AK271" i="3"/>
  <c r="AM271" i="3"/>
  <c r="AO271" i="3"/>
  <c r="AQ271" i="3"/>
  <c r="AS271" i="3"/>
  <c r="AU271" i="3"/>
  <c r="AW271" i="3"/>
  <c r="AY271" i="3"/>
  <c r="BA271" i="3"/>
  <c r="BC271" i="3"/>
  <c r="BE271" i="3"/>
  <c r="BG271" i="3"/>
  <c r="BI271" i="3"/>
  <c r="BK271" i="3"/>
  <c r="BM271" i="3"/>
  <c r="BO271" i="3"/>
  <c r="BQ271" i="3"/>
  <c r="BS271" i="3"/>
  <c r="BU271" i="3"/>
  <c r="BW271" i="3"/>
  <c r="BY271" i="3"/>
  <c r="CA271" i="3"/>
  <c r="CC271" i="3"/>
  <c r="CE271" i="3"/>
  <c r="CG271" i="3"/>
  <c r="CI271" i="3"/>
  <c r="B271" i="3"/>
  <c r="D271" i="3"/>
  <c r="F271" i="3"/>
  <c r="H271" i="3"/>
  <c r="J271" i="3"/>
  <c r="L271" i="3"/>
  <c r="N271" i="3"/>
  <c r="P271" i="3"/>
  <c r="R271" i="3"/>
  <c r="T271" i="3"/>
  <c r="V271" i="3"/>
  <c r="X271" i="3"/>
  <c r="Z271" i="3"/>
  <c r="AB271" i="3"/>
  <c r="AD271" i="3"/>
  <c r="AF271" i="3"/>
  <c r="AH271" i="3"/>
  <c r="AJ271" i="3"/>
  <c r="AL271" i="3"/>
  <c r="AN271" i="3"/>
  <c r="AP271" i="3"/>
  <c r="AR271" i="3"/>
  <c r="AT271" i="3"/>
  <c r="AV271" i="3"/>
  <c r="AX271" i="3"/>
  <c r="AZ271" i="3"/>
  <c r="BB271" i="3"/>
  <c r="BD271" i="3"/>
  <c r="BF271" i="3"/>
  <c r="BH271" i="3"/>
  <c r="BJ271" i="3"/>
  <c r="BL271" i="3"/>
  <c r="BN271" i="3"/>
  <c r="BP271" i="3"/>
  <c r="BR271" i="3"/>
  <c r="BT271" i="3"/>
  <c r="BV271" i="3"/>
  <c r="BX271" i="3"/>
  <c r="BZ271" i="3"/>
  <c r="CB271" i="3"/>
  <c r="CD271" i="3"/>
  <c r="CF271" i="3"/>
  <c r="CH271" i="3"/>
  <c r="CH273" i="3"/>
  <c r="CF273" i="3"/>
  <c r="CD273" i="3"/>
  <c r="CB273" i="3"/>
  <c r="BZ273" i="3"/>
  <c r="BX273" i="3"/>
  <c r="BV273" i="3"/>
  <c r="BT273" i="3"/>
  <c r="BR273" i="3"/>
  <c r="BP273" i="3"/>
  <c r="BN273" i="3"/>
  <c r="BL273" i="3"/>
  <c r="BJ273" i="3"/>
  <c r="BH273" i="3"/>
  <c r="BF273" i="3"/>
  <c r="BD273" i="3"/>
  <c r="BB273" i="3"/>
  <c r="AZ273" i="3"/>
  <c r="AX273" i="3"/>
  <c r="AV273" i="3"/>
  <c r="AT273" i="3"/>
  <c r="AR273" i="3"/>
  <c r="AP273" i="3"/>
  <c r="AN273" i="3"/>
  <c r="AL273" i="3"/>
  <c r="AJ273" i="3"/>
  <c r="AH273" i="3"/>
  <c r="AF273" i="3"/>
  <c r="AD273" i="3"/>
  <c r="AB273" i="3"/>
  <c r="Z273" i="3"/>
  <c r="X273" i="3"/>
  <c r="V273" i="3"/>
  <c r="T273" i="3"/>
  <c r="R273" i="3"/>
  <c r="P273" i="3"/>
  <c r="N273" i="3"/>
  <c r="L273" i="3"/>
  <c r="J273" i="3"/>
  <c r="H273" i="3"/>
  <c r="F273" i="3"/>
  <c r="D273" i="3"/>
  <c r="B273" i="3"/>
  <c r="CI273" i="3"/>
  <c r="CG273" i="3"/>
  <c r="CE273" i="3"/>
  <c r="CC273" i="3"/>
  <c r="CA273" i="3"/>
  <c r="BY273" i="3"/>
  <c r="BW273" i="3"/>
  <c r="BU273" i="3"/>
  <c r="BS273" i="3"/>
  <c r="BQ273" i="3"/>
  <c r="BO273" i="3"/>
  <c r="BM273" i="3"/>
  <c r="BK273" i="3"/>
  <c r="BI273" i="3"/>
  <c r="BG273" i="3"/>
  <c r="BE273" i="3"/>
  <c r="BC273" i="3"/>
  <c r="BA273" i="3"/>
  <c r="AY273" i="3"/>
  <c r="AW273" i="3"/>
  <c r="AU273" i="3"/>
  <c r="AS273" i="3"/>
  <c r="AQ273" i="3"/>
  <c r="AO273" i="3"/>
  <c r="AM273" i="3"/>
  <c r="AK273" i="3"/>
  <c r="AI273" i="3"/>
  <c r="AG273" i="3"/>
  <c r="AE273" i="3"/>
  <c r="AC273" i="3"/>
  <c r="AA273" i="3"/>
  <c r="Y273" i="3"/>
  <c r="W273" i="3"/>
  <c r="U273" i="3"/>
  <c r="S273" i="3"/>
  <c r="Q273" i="3"/>
  <c r="O273" i="3"/>
  <c r="M273" i="3"/>
  <c r="K273" i="3"/>
  <c r="I273" i="3"/>
  <c r="G273" i="3"/>
  <c r="E273" i="3"/>
  <c r="C273" i="3"/>
  <c r="DB273" i="3"/>
  <c r="CW273" i="3"/>
  <c r="CY273" i="3"/>
  <c r="CZ273" i="3"/>
  <c r="DA273" i="3"/>
  <c r="CX273" i="3"/>
  <c r="CV273" i="3"/>
  <c r="CY276" i="3"/>
  <c r="CW276" i="3"/>
  <c r="DA276" i="3"/>
  <c r="CZ276" i="3"/>
  <c r="CV276" i="3"/>
  <c r="CX276" i="3"/>
  <c r="DB276" i="3"/>
  <c r="D276" i="3"/>
  <c r="F276" i="3"/>
  <c r="H276" i="3"/>
  <c r="J276" i="3"/>
  <c r="L276" i="3"/>
  <c r="N276" i="3"/>
  <c r="P276" i="3"/>
  <c r="R276" i="3"/>
  <c r="T276" i="3"/>
  <c r="V276" i="3"/>
  <c r="X276" i="3"/>
  <c r="Z276" i="3"/>
  <c r="AB276" i="3"/>
  <c r="AD276" i="3"/>
  <c r="AF276" i="3"/>
  <c r="AH276" i="3"/>
  <c r="AJ276" i="3"/>
  <c r="AL276" i="3"/>
  <c r="AN276" i="3"/>
  <c r="AP276" i="3"/>
  <c r="AR276" i="3"/>
  <c r="AT276" i="3"/>
  <c r="AV276" i="3"/>
  <c r="AX276" i="3"/>
  <c r="AZ276" i="3"/>
  <c r="BB276" i="3"/>
  <c r="BD276" i="3"/>
  <c r="BF276" i="3"/>
  <c r="BH276" i="3"/>
  <c r="BJ276" i="3"/>
  <c r="BL276" i="3"/>
  <c r="BN276" i="3"/>
  <c r="BP276" i="3"/>
  <c r="BR276" i="3"/>
  <c r="BT276" i="3"/>
  <c r="BV276" i="3"/>
  <c r="BX276" i="3"/>
  <c r="BZ276" i="3"/>
  <c r="CB276" i="3"/>
  <c r="CD276" i="3"/>
  <c r="CF276" i="3"/>
  <c r="CH276" i="3"/>
  <c r="C276" i="3"/>
  <c r="E276" i="3"/>
  <c r="G276" i="3"/>
  <c r="I276" i="3"/>
  <c r="K276" i="3"/>
  <c r="M276" i="3"/>
  <c r="O276" i="3"/>
  <c r="Q276" i="3"/>
  <c r="S276" i="3"/>
  <c r="U276" i="3"/>
  <c r="W276" i="3"/>
  <c r="Y276" i="3"/>
  <c r="AA276" i="3"/>
  <c r="AC276" i="3"/>
  <c r="AE276" i="3"/>
  <c r="AG276" i="3"/>
  <c r="AI276" i="3"/>
  <c r="AK276" i="3"/>
  <c r="AM276" i="3"/>
  <c r="AO276" i="3"/>
  <c r="AQ276" i="3"/>
  <c r="AS276" i="3"/>
  <c r="AU276" i="3"/>
  <c r="AW276" i="3"/>
  <c r="AY276" i="3"/>
  <c r="BA276" i="3"/>
  <c r="BC276" i="3"/>
  <c r="BE276" i="3"/>
  <c r="BG276" i="3"/>
  <c r="BI276" i="3"/>
  <c r="BK276" i="3"/>
  <c r="BM276" i="3"/>
  <c r="BO276" i="3"/>
  <c r="BQ276" i="3"/>
  <c r="BS276" i="3"/>
  <c r="BU276" i="3"/>
  <c r="BW276" i="3"/>
  <c r="BY276" i="3"/>
  <c r="CA276" i="3"/>
  <c r="CC276" i="3"/>
  <c r="CE276" i="3"/>
  <c r="CG276" i="3"/>
  <c r="CI276" i="3"/>
  <c r="B276" i="3"/>
  <c r="CZ274" i="3"/>
  <c r="CV274" i="3"/>
  <c r="CX274" i="3"/>
  <c r="DB274" i="3"/>
  <c r="CY274" i="3"/>
  <c r="CW274" i="3"/>
  <c r="DA274" i="3"/>
  <c r="D274" i="3"/>
  <c r="F274" i="3"/>
  <c r="H274" i="3"/>
  <c r="J274" i="3"/>
  <c r="L274" i="3"/>
  <c r="N274" i="3"/>
  <c r="P274" i="3"/>
  <c r="R274" i="3"/>
  <c r="T274" i="3"/>
  <c r="V274" i="3"/>
  <c r="X274" i="3"/>
  <c r="Z274" i="3"/>
  <c r="AB274" i="3"/>
  <c r="AD274" i="3"/>
  <c r="AF274" i="3"/>
  <c r="AH274" i="3"/>
  <c r="AJ274" i="3"/>
  <c r="AL274" i="3"/>
  <c r="AN274" i="3"/>
  <c r="AP274" i="3"/>
  <c r="AR274" i="3"/>
  <c r="AT274" i="3"/>
  <c r="AV274" i="3"/>
  <c r="AX274" i="3"/>
  <c r="AZ274" i="3"/>
  <c r="BB274" i="3"/>
  <c r="BD274" i="3"/>
  <c r="BF274" i="3"/>
  <c r="BH274" i="3"/>
  <c r="BJ274" i="3"/>
  <c r="BL274" i="3"/>
  <c r="BN274" i="3"/>
  <c r="BP274" i="3"/>
  <c r="BR274" i="3"/>
  <c r="BT274" i="3"/>
  <c r="BV274" i="3"/>
  <c r="BX274" i="3"/>
  <c r="BZ274" i="3"/>
  <c r="CB274" i="3"/>
  <c r="CD274" i="3"/>
  <c r="CF274" i="3"/>
  <c r="CH274" i="3"/>
  <c r="C274" i="3"/>
  <c r="E274" i="3"/>
  <c r="G274" i="3"/>
  <c r="I274" i="3"/>
  <c r="K274" i="3"/>
  <c r="M274" i="3"/>
  <c r="O274" i="3"/>
  <c r="Q274" i="3"/>
  <c r="S274" i="3"/>
  <c r="U274" i="3"/>
  <c r="W274" i="3"/>
  <c r="Y274" i="3"/>
  <c r="AA274" i="3"/>
  <c r="AC274" i="3"/>
  <c r="AE274" i="3"/>
  <c r="AG274" i="3"/>
  <c r="AI274" i="3"/>
  <c r="AK274" i="3"/>
  <c r="AM274" i="3"/>
  <c r="AO274" i="3"/>
  <c r="AQ274" i="3"/>
  <c r="AS274" i="3"/>
  <c r="AU274" i="3"/>
  <c r="AW274" i="3"/>
  <c r="AY274" i="3"/>
  <c r="BA274" i="3"/>
  <c r="BC274" i="3"/>
  <c r="BE274" i="3"/>
  <c r="BG274" i="3"/>
  <c r="BI274" i="3"/>
  <c r="BK274" i="3"/>
  <c r="BM274" i="3"/>
  <c r="BO274" i="3"/>
  <c r="BQ274" i="3"/>
  <c r="BS274" i="3"/>
  <c r="BU274" i="3"/>
  <c r="BW274" i="3"/>
  <c r="BY274" i="3"/>
  <c r="CA274" i="3"/>
  <c r="CC274" i="3"/>
  <c r="CE274" i="3"/>
  <c r="CG274" i="3"/>
  <c r="CI274" i="3"/>
  <c r="B274" i="3"/>
  <c r="CZ272" i="3"/>
  <c r="CV272" i="3"/>
  <c r="CX272" i="3"/>
  <c r="DB272" i="3"/>
  <c r="CY272" i="3"/>
  <c r="CW272" i="3"/>
  <c r="DA272" i="3"/>
  <c r="D272" i="3"/>
  <c r="F272" i="3"/>
  <c r="H272" i="3"/>
  <c r="J272" i="3"/>
  <c r="L272" i="3"/>
  <c r="N272" i="3"/>
  <c r="P272" i="3"/>
  <c r="R272" i="3"/>
  <c r="T272" i="3"/>
  <c r="V272" i="3"/>
  <c r="X272" i="3"/>
  <c r="Z272" i="3"/>
  <c r="AB272" i="3"/>
  <c r="AD272" i="3"/>
  <c r="AF272" i="3"/>
  <c r="AH272" i="3"/>
  <c r="AJ272" i="3"/>
  <c r="AL272" i="3"/>
  <c r="AN272" i="3"/>
  <c r="AP272" i="3"/>
  <c r="AR272" i="3"/>
  <c r="AT272" i="3"/>
  <c r="AV272" i="3"/>
  <c r="AX272" i="3"/>
  <c r="AZ272" i="3"/>
  <c r="BB272" i="3"/>
  <c r="BD272" i="3"/>
  <c r="BF272" i="3"/>
  <c r="BH272" i="3"/>
  <c r="BJ272" i="3"/>
  <c r="BL272" i="3"/>
  <c r="BN272" i="3"/>
  <c r="BP272" i="3"/>
  <c r="BR272" i="3"/>
  <c r="BT272" i="3"/>
  <c r="BV272" i="3"/>
  <c r="BX272" i="3"/>
  <c r="BZ272" i="3"/>
  <c r="CB272" i="3"/>
  <c r="CD272" i="3"/>
  <c r="CF272" i="3"/>
  <c r="CH272" i="3"/>
  <c r="C272" i="3"/>
  <c r="E272" i="3"/>
  <c r="G272" i="3"/>
  <c r="I272" i="3"/>
  <c r="K272" i="3"/>
  <c r="M272" i="3"/>
  <c r="O272" i="3"/>
  <c r="Q272" i="3"/>
  <c r="S272" i="3"/>
  <c r="U272" i="3"/>
  <c r="W272" i="3"/>
  <c r="Y272" i="3"/>
  <c r="AA272" i="3"/>
  <c r="AC272" i="3"/>
  <c r="AE272" i="3"/>
  <c r="AG272" i="3"/>
  <c r="AI272" i="3"/>
  <c r="AK272" i="3"/>
  <c r="AM272" i="3"/>
  <c r="AO272" i="3"/>
  <c r="AQ272" i="3"/>
  <c r="AS272" i="3"/>
  <c r="AU272" i="3"/>
  <c r="AW272" i="3"/>
  <c r="AY272" i="3"/>
  <c r="BA272" i="3"/>
  <c r="BC272" i="3"/>
  <c r="BE272" i="3"/>
  <c r="BG272" i="3"/>
  <c r="BI272" i="3"/>
  <c r="BK272" i="3"/>
  <c r="BM272" i="3"/>
  <c r="BO272" i="3"/>
  <c r="BQ272" i="3"/>
  <c r="BS272" i="3"/>
  <c r="BU272" i="3"/>
  <c r="BW272" i="3"/>
  <c r="BY272" i="3"/>
  <c r="CA272" i="3"/>
  <c r="CC272" i="3"/>
  <c r="CE272" i="3"/>
  <c r="CG272" i="3"/>
  <c r="CI272" i="3"/>
  <c r="B272" i="3"/>
  <c r="CV275" i="3"/>
  <c r="CX275" i="3"/>
  <c r="DA275" i="3"/>
  <c r="CZ275" i="3"/>
  <c r="CY275" i="3"/>
  <c r="CW275" i="3"/>
  <c r="DB275" i="3"/>
  <c r="C275" i="3"/>
  <c r="E275" i="3"/>
  <c r="G275" i="3"/>
  <c r="I275" i="3"/>
  <c r="K275" i="3"/>
  <c r="M275" i="3"/>
  <c r="O275" i="3"/>
  <c r="Q275" i="3"/>
  <c r="S275" i="3"/>
  <c r="U275" i="3"/>
  <c r="W275" i="3"/>
  <c r="Y275" i="3"/>
  <c r="AA275" i="3"/>
  <c r="AC275" i="3"/>
  <c r="AE275" i="3"/>
  <c r="AG275" i="3"/>
  <c r="AI275" i="3"/>
  <c r="AK275" i="3"/>
  <c r="AM275" i="3"/>
  <c r="AO275" i="3"/>
  <c r="AQ275" i="3"/>
  <c r="AS275" i="3"/>
  <c r="AU275" i="3"/>
  <c r="AW275" i="3"/>
  <c r="AY275" i="3"/>
  <c r="BA275" i="3"/>
  <c r="BC275" i="3"/>
  <c r="BE275" i="3"/>
  <c r="BG275" i="3"/>
  <c r="BI275" i="3"/>
  <c r="BK275" i="3"/>
  <c r="BM275" i="3"/>
  <c r="BO275" i="3"/>
  <c r="BQ275" i="3"/>
  <c r="BS275" i="3"/>
  <c r="BU275" i="3"/>
  <c r="BW275" i="3"/>
  <c r="BY275" i="3"/>
  <c r="CA275" i="3"/>
  <c r="CC275" i="3"/>
  <c r="CE275" i="3"/>
  <c r="CG275" i="3"/>
  <c r="CI275" i="3"/>
  <c r="B275" i="3"/>
  <c r="D275" i="3"/>
  <c r="F275" i="3"/>
  <c r="H275" i="3"/>
  <c r="J275" i="3"/>
  <c r="L275" i="3"/>
  <c r="N275" i="3"/>
  <c r="P275" i="3"/>
  <c r="R275" i="3"/>
  <c r="T275" i="3"/>
  <c r="V275" i="3"/>
  <c r="X275" i="3"/>
  <c r="Z275" i="3"/>
  <c r="AB275" i="3"/>
  <c r="AD275" i="3"/>
  <c r="AF275" i="3"/>
  <c r="AH275" i="3"/>
  <c r="AJ275" i="3"/>
  <c r="AL275" i="3"/>
  <c r="AN275" i="3"/>
  <c r="AP275" i="3"/>
  <c r="AR275" i="3"/>
  <c r="AT275" i="3"/>
  <c r="AV275" i="3"/>
  <c r="AX275" i="3"/>
  <c r="AZ275" i="3"/>
  <c r="BB275" i="3"/>
  <c r="BD275" i="3"/>
  <c r="BF275" i="3"/>
  <c r="BH275" i="3"/>
  <c r="BJ275" i="3"/>
  <c r="BL275" i="3"/>
  <c r="BN275" i="3"/>
  <c r="BP275" i="3"/>
  <c r="BR275" i="3"/>
  <c r="BT275" i="3"/>
  <c r="BV275" i="3"/>
  <c r="BX275" i="3"/>
  <c r="BZ275" i="3"/>
  <c r="CB275" i="3"/>
  <c r="CD275" i="3"/>
  <c r="CF275" i="3"/>
  <c r="CH27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</author>
    <author>Phillip Nathaniel Pressley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Nishtala,1995</t>
        </r>
      </text>
    </comment>
    <comment ref="E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1-Way Baler
</t>
        </r>
      </text>
    </comment>
    <comment ref="C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E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1-Way Baler
</t>
        </r>
      </text>
    </comment>
    <comment ref="B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C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D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Default rates from Nishtala, 1995
</t>
        </r>
      </text>
    </comment>
    <comment ref="D3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Consider calling operational mass factor</t>
        </r>
      </text>
    </comment>
    <comment ref="P10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Number of laborers closely related to max throughput.  </t>
        </r>
      </text>
    </comment>
    <comment ref="I108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7.5 hp</t>
        </r>
      </text>
    </comment>
    <comment ref="F20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Amortized equipment capital costs</t>
        </r>
      </text>
    </comment>
    <comment ref="G20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The boxed values can include a secondary sort, depending on previous inputs.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 Combs</author>
    <author>Phillip Nathaniel Pressley</author>
  </authors>
  <commentList>
    <comment ref="C2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Rush Combs:</t>
        </r>
        <r>
          <rPr>
            <sz val="9"/>
            <color indexed="81"/>
            <rFont val="Tahoma"/>
            <family val="2"/>
          </rPr>
          <t xml:space="preserve">
industry data</t>
        </r>
      </text>
    </comment>
    <comment ref="A2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Rush Combs:
</t>
        </r>
        <r>
          <rPr>
            <sz val="9"/>
            <color indexed="81"/>
            <rFont val="Tahoma"/>
            <family val="2"/>
          </rPr>
          <t>lighting, etc. (all elc consumed excluding separation technologies on tipping floor)</t>
        </r>
      </text>
    </comment>
    <comment ref="C28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The constant is the ratio of exterior paved area to indoor floor area</t>
        </r>
      </text>
    </comment>
    <comment ref="C55" authorId="1" shapeId="0" xr:uid="{00000000-0006-0000-08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Average MRF based on EPA Facts and Figures 2011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Nathaniel Pressley</author>
    <author>Phillip</author>
  </authors>
  <commentList>
    <comment ref="C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E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G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I4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B10" authorId="1" shapeId="0" xr:uid="{00000000-0006-0000-0900-000005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C10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D10" authorId="1" shapeId="0" xr:uid="{00000000-0006-0000-0900-000007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E10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F10" authorId="1" shapeId="0" xr:uid="{00000000-0006-0000-0900-000009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G10" authorId="0" shapeId="0" xr:uid="{00000000-0006-0000-0900-00000A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I10" authorId="0" shapeId="0" xr:uid="{00000000-0006-0000-0900-00000B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 Combs</author>
  </authors>
  <commentList>
    <comment ref="C22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Rush Combs:</t>
        </r>
        <r>
          <rPr>
            <sz val="9"/>
            <color indexed="81"/>
            <rFont val="Tahoma"/>
            <family val="2"/>
          </rPr>
          <t xml:space="preserve">
industry data</t>
        </r>
      </text>
    </comment>
    <comment ref="A232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Rush Combs:
</t>
        </r>
        <r>
          <rPr>
            <sz val="9"/>
            <color indexed="81"/>
            <rFont val="Tahoma"/>
            <family val="2"/>
          </rPr>
          <t>lighting, etc. (all elc consumed excluding separation technologies on tipping floor)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<sst xmlns="http://schemas.openxmlformats.org/spreadsheetml/2006/main" count="994" uniqueCount="539">
  <si>
    <t>Electricity Consumption (kW)</t>
    <phoneticPr fontId="0" type="noConversion"/>
  </si>
  <si>
    <r>
      <t>Diesel Consumption (L/</t>
    </r>
    <r>
      <rPr>
        <sz val="10"/>
        <color indexed="8"/>
        <rFont val="Calibri"/>
        <family val="2"/>
      </rPr>
      <t>Mg</t>
    </r>
    <r>
      <rPr>
        <sz val="10"/>
        <color indexed="8"/>
        <rFont val="Calibri"/>
        <family val="2"/>
      </rPr>
      <t>)</t>
    </r>
  </si>
  <si>
    <t>Paid Hours in Shift</t>
  </si>
  <si>
    <t>hrs/shift</t>
  </si>
  <si>
    <t>Number of Shifts Per Workday</t>
  </si>
  <si>
    <t>shift/day</t>
  </si>
  <si>
    <t>Electricity Consumed in Offices</t>
  </si>
  <si>
    <t>Electricity Consumed on floor</t>
  </si>
  <si>
    <t>Days Operating Per Year</t>
  </si>
  <si>
    <t>days/year</t>
    <phoneticPr fontId="0" type="noConversion"/>
  </si>
  <si>
    <t>RDF</t>
  </si>
  <si>
    <t>Eddy Current Separator</t>
  </si>
  <si>
    <t>Equipment</t>
  </si>
  <si>
    <t>Yes</t>
  </si>
  <si>
    <t>kWh/Mg</t>
  </si>
  <si>
    <t>kWh/ Mg of Waste Category</t>
  </si>
  <si>
    <t>Diesel Equipment</t>
  </si>
  <si>
    <t>Propane Equipment</t>
  </si>
  <si>
    <t>Resource Consumption</t>
  </si>
  <si>
    <t>No</t>
  </si>
  <si>
    <t>Efficiency Matrix</t>
  </si>
  <si>
    <t>Material Removed</t>
  </si>
  <si>
    <t>Material Exiting Equipment</t>
  </si>
  <si>
    <t>kg/L</t>
  </si>
  <si>
    <t>kg/m3</t>
  </si>
  <si>
    <t>National Grid</t>
  </si>
  <si>
    <t>Regional Grid</t>
  </si>
  <si>
    <t>kg/kWh electricity</t>
  </si>
  <si>
    <t>Raw Materials</t>
  </si>
  <si>
    <t>Waterborne Emissions</t>
  </si>
  <si>
    <t>Conveyor</t>
  </si>
  <si>
    <t>Facility Operational Data</t>
  </si>
  <si>
    <t>Office Electricity Consumption (kWh/Mg)</t>
  </si>
  <si>
    <t>Operating Floor Electricity Consumption (kWh/Mg)</t>
  </si>
  <si>
    <t>Remaining</t>
  </si>
  <si>
    <t>Removed</t>
  </si>
  <si>
    <t>Indoor Floor Area Rate</t>
    <phoneticPr fontId="4" type="noConversion"/>
  </si>
  <si>
    <r>
      <t>m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/tpd</t>
    </r>
  </si>
  <si>
    <r>
      <t>% of total m</t>
    </r>
    <r>
      <rPr>
        <vertAlign val="superscript"/>
        <sz val="11"/>
        <color indexed="8"/>
        <rFont val="Calibri"/>
        <family val="2"/>
      </rPr>
      <t>2</t>
    </r>
  </si>
  <si>
    <r>
      <t>kWh/m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/day</t>
    </r>
  </si>
  <si>
    <t>Mass Flow Summary</t>
  </si>
  <si>
    <t>Mass Conserved?</t>
  </si>
  <si>
    <t xml:space="preserve">Atmospheric </t>
  </si>
  <si>
    <t>Waterborne</t>
  </si>
  <si>
    <t>Mass Used in Resource Calculations</t>
  </si>
  <si>
    <t>Total Throughput</t>
  </si>
  <si>
    <t xml:space="preserve"> --&gt;must pertain to removed mass</t>
  </si>
  <si>
    <t xml:space="preserve"> --&gt;must pertain to remaining mass</t>
  </si>
  <si>
    <t xml:space="preserve"> --&gt;must pertain to total mass</t>
  </si>
  <si>
    <t>Total Equipment Throughput</t>
  </si>
  <si>
    <t>1 hp =</t>
  </si>
  <si>
    <t>kW</t>
  </si>
  <si>
    <t>Percent of Max Throughput (%)</t>
  </si>
  <si>
    <t>Percent of Motor Rated Capacity Utilized (%)</t>
  </si>
  <si>
    <t>Diesel (L)/Mg of Waste Category</t>
  </si>
  <si>
    <t>-</t>
  </si>
  <si>
    <t>Drum Feeder</t>
  </si>
  <si>
    <t>Disc Screen 1</t>
  </si>
  <si>
    <t>Disc Screen 2</t>
  </si>
  <si>
    <t>Disc Screen 3</t>
  </si>
  <si>
    <t>1-Way Baler</t>
  </si>
  <si>
    <t>Glass Breaker Screen</t>
  </si>
  <si>
    <t>Air Knife</t>
  </si>
  <si>
    <t>Optical PET</t>
  </si>
  <si>
    <t>Optical HDPE</t>
  </si>
  <si>
    <t>Magnet</t>
  </si>
  <si>
    <t>2-Way Baler</t>
  </si>
  <si>
    <t>Transportation</t>
  </si>
  <si>
    <t>Glass Transportation Distance (km)</t>
  </si>
  <si>
    <t>Plastics Transportation Distance (km)</t>
  </si>
  <si>
    <t>Rolling Stock</t>
  </si>
  <si>
    <t>Optical Glass</t>
  </si>
  <si>
    <t>Glass</t>
  </si>
  <si>
    <t>Al</t>
  </si>
  <si>
    <t>Fe</t>
  </si>
  <si>
    <t>PET</t>
  </si>
  <si>
    <t>HDPE</t>
  </si>
  <si>
    <t>Film</t>
  </si>
  <si>
    <t>Vacuum</t>
  </si>
  <si>
    <t>Mass Input to First Conveyor</t>
  </si>
  <si>
    <t>Mass Balance Residual</t>
  </si>
  <si>
    <t>Manual Sort 1 (Negative)</t>
  </si>
  <si>
    <t>Manual Sort 2-DS2 (Negative)</t>
  </si>
  <si>
    <t>Manual Sort 2-DS3 (Negative)</t>
  </si>
  <si>
    <t>Manual Sort 3-G (Negative)</t>
  </si>
  <si>
    <t>Manual Sort 4-Al (Negative)</t>
  </si>
  <si>
    <t>Manual Sort 4-PET (Negative)</t>
  </si>
  <si>
    <t>Manual Sort 4-HDPE (Negative)</t>
  </si>
  <si>
    <t>Manual Sort 4-Fe (Negative)</t>
  </si>
  <si>
    <t>Manual Sort 5 (Positive)</t>
  </si>
  <si>
    <t>Trommel</t>
  </si>
  <si>
    <t>Manual Sort 1-C (Negative)</t>
  </si>
  <si>
    <t xml:space="preserve">Total  </t>
  </si>
  <si>
    <t>Total</t>
  </si>
  <si>
    <t>1 Mg=</t>
  </si>
  <si>
    <t>kg</t>
  </si>
  <si>
    <t>Labor Management Rate</t>
    <phoneticPr fontId="5" type="noConversion"/>
  </si>
  <si>
    <t>% of Labor</t>
    <phoneticPr fontId="5" type="noConversion"/>
  </si>
  <si>
    <t>Labor Pay Rate</t>
    <phoneticPr fontId="5" type="noConversion"/>
  </si>
  <si>
    <t>$/Sorter-hr</t>
    <phoneticPr fontId="5" type="noConversion"/>
  </si>
  <si>
    <t>Driver Pay Rate</t>
  </si>
  <si>
    <t>$/Driver-hr</t>
    <phoneticPr fontId="5" type="noConversion"/>
  </si>
  <si>
    <t>Fringe Rate</t>
  </si>
  <si>
    <t>% of Pay Rate</t>
    <phoneticPr fontId="5" type="noConversion"/>
  </si>
  <si>
    <t>$/kWh</t>
  </si>
  <si>
    <t>$/L</t>
  </si>
  <si>
    <t>Annual Interest Rate</t>
  </si>
  <si>
    <t>%</t>
  </si>
  <si>
    <t>Baler Data</t>
    <phoneticPr fontId="5" type="noConversion"/>
  </si>
  <si>
    <t>Dual-Ram</t>
    <phoneticPr fontId="5" type="noConversion"/>
  </si>
  <si>
    <t>Bale Width</t>
    <phoneticPr fontId="5" type="noConversion"/>
  </si>
  <si>
    <t>m</t>
    <phoneticPr fontId="5" type="noConversion"/>
  </si>
  <si>
    <t xml:space="preserve">Bale Length </t>
    <phoneticPr fontId="5" type="noConversion"/>
  </si>
  <si>
    <t>Bale Height</t>
    <phoneticPr fontId="5" type="noConversion"/>
  </si>
  <si>
    <t>Straps Per Bale</t>
    <phoneticPr fontId="5" type="noConversion"/>
  </si>
  <si>
    <t>N/A</t>
    <phoneticPr fontId="5" type="noConversion"/>
  </si>
  <si>
    <t>Wire Length Per Unit Mass</t>
    <phoneticPr fontId="5" type="noConversion"/>
  </si>
  <si>
    <t>m/kg</t>
    <phoneticPr fontId="5" type="noConversion"/>
  </si>
  <si>
    <t xml:space="preserve">Cost of Baling Wire </t>
  </si>
  <si>
    <t>$/kg</t>
    <phoneticPr fontId="5" type="noConversion"/>
  </si>
  <si>
    <t>Life of MRF Structure</t>
  </si>
  <si>
    <t>yrs</t>
  </si>
  <si>
    <t>Construction Cost Rate</t>
  </si>
  <si>
    <r>
      <t>$/m</t>
    </r>
    <r>
      <rPr>
        <vertAlign val="superscript"/>
        <sz val="11"/>
        <color indexed="8"/>
        <rFont val="Calibri"/>
        <family val="2"/>
      </rPr>
      <t>2</t>
    </r>
  </si>
  <si>
    <t>Engineering Rate</t>
  </si>
  <si>
    <t>% of const cost</t>
  </si>
  <si>
    <t>Land Cost</t>
  </si>
  <si>
    <t>Land Requirement Factor</t>
    <phoneticPr fontId="5" type="noConversion"/>
  </si>
  <si>
    <t>Land Requirement</t>
  </si>
  <si>
    <r>
      <t>m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/tpd</t>
    </r>
  </si>
  <si>
    <t>Capital Recovery Factor for Structure</t>
    <phoneticPr fontId="5" type="noConversion"/>
  </si>
  <si>
    <t>Investment Cost ($)</t>
  </si>
  <si>
    <t>Fixed Operations and Maintenance Cost ($/yr)</t>
  </si>
  <si>
    <t>Capital Recovery Factor</t>
  </si>
  <si>
    <t>Economic Lifetime (years)</t>
  </si>
  <si>
    <t xml:space="preserve">Number of Laborers Required </t>
  </si>
  <si>
    <t>Number of Drivers Required</t>
  </si>
  <si>
    <t>Laborers Required (Sorter*hours/Mg)</t>
  </si>
  <si>
    <t>Max Throughput (Mg/hr)</t>
  </si>
  <si>
    <t>Building cost</t>
  </si>
  <si>
    <t>Drivers Required (Sorter*hours/Mg)</t>
  </si>
  <si>
    <t>Average Cost of Ownership ($/Mg)</t>
  </si>
  <si>
    <t>Labor ($/Mg input)</t>
  </si>
  <si>
    <t>Drum Feeder (Containers)</t>
  </si>
  <si>
    <t>Ferrous</t>
  </si>
  <si>
    <t>Aluminous</t>
  </si>
  <si>
    <t>OCC</t>
  </si>
  <si>
    <t>Non-OCC Fiber</t>
  </si>
  <si>
    <t>Yes-Automatic</t>
  </si>
  <si>
    <t>Yes-Manual</t>
  </si>
  <si>
    <t>Picking Rate kg/(sorter*hr)</t>
  </si>
  <si>
    <t>Average Cost of Ownership (Equipment) ($/Mg input)</t>
  </si>
  <si>
    <t>$/m</t>
  </si>
  <si>
    <t>Single-Ram</t>
    <phoneticPr fontId="5" type="noConversion"/>
  </si>
  <si>
    <t>$/bale</t>
  </si>
  <si>
    <t>m wire/bale</t>
  </si>
  <si>
    <t>Material Recovered?</t>
  </si>
  <si>
    <t>Wire Cost ($/Mg input)</t>
  </si>
  <si>
    <t>Volume</t>
  </si>
  <si>
    <t>m^3</t>
  </si>
  <si>
    <t>Capital Costs (Building and Land) ($/Mg per year)</t>
  </si>
  <si>
    <t>Total O&amp;M Cost ($/Mg input)</t>
  </si>
  <si>
    <t>Manual-DS2</t>
  </si>
  <si>
    <t>Manual-DS3</t>
  </si>
  <si>
    <t>Is equipment present? (Default)</t>
  </si>
  <si>
    <t>Is equipment present? (Override)</t>
  </si>
  <si>
    <t>Manual-ECS</t>
  </si>
  <si>
    <t>Manual-Magnet</t>
  </si>
  <si>
    <t>Manual-Vacuum</t>
  </si>
  <si>
    <t>Manual-OSHDPE</t>
  </si>
  <si>
    <t>Manual-OSPET</t>
  </si>
  <si>
    <t>Manual-DS1</t>
  </si>
  <si>
    <t>Ferrous Separation</t>
  </si>
  <si>
    <t>OCC Separation</t>
  </si>
  <si>
    <t>Fiber Separation</t>
  </si>
  <si>
    <t>Film Separation</t>
  </si>
  <si>
    <t>HDPE Separation</t>
  </si>
  <si>
    <t>PET Separation</t>
  </si>
  <si>
    <t>Equipment Present In Model?</t>
  </si>
  <si>
    <t>Secondary Sort</t>
  </si>
  <si>
    <t>Paper</t>
  </si>
  <si>
    <t>Plastic</t>
  </si>
  <si>
    <t>Rush's Thesis</t>
  </si>
  <si>
    <t>Picking Rate (kg/(sorter*hr))</t>
  </si>
  <si>
    <t>Separation Efficiency</t>
  </si>
  <si>
    <t>additional hours (per Mg of wf I input)</t>
  </si>
  <si>
    <t>Mass Used for Revenue Calculations</t>
  </si>
  <si>
    <t>HDPE sold by type?</t>
  </si>
  <si>
    <t>Price ($/Mg)</t>
  </si>
  <si>
    <t>Net Cost</t>
  </si>
  <si>
    <t>**Need elec and diesel costs</t>
  </si>
  <si>
    <t>Controls Default Equipment for (and corresponding negative sorts:</t>
  </si>
  <si>
    <t>Total O&amp;M</t>
  </si>
  <si>
    <t>Capital Costs</t>
  </si>
  <si>
    <t>Total Costs</t>
  </si>
  <si>
    <t>E&amp;D Costs</t>
  </si>
  <si>
    <t>Diesel Cost</t>
  </si>
  <si>
    <t>Elec Cost</t>
  </si>
  <si>
    <t>1 ton =</t>
  </si>
  <si>
    <t>Bale Density (Mg/m^3)</t>
  </si>
  <si>
    <t>Isolate Material?</t>
  </si>
  <si>
    <t>=IF(Single.Stream!$D$124="Yes",Single.Stream!N140*N4,0)</t>
  </si>
  <si>
    <t>Wire Mass (kg/Mg input)</t>
  </si>
  <si>
    <t>Wire</t>
  </si>
  <si>
    <t>Disc Screens 2 &amp; 3, Manual Sorts 2-DS2 &amp; 2-DS3</t>
  </si>
  <si>
    <t>Eddy Current Separator, Manual Sort 4-Al</t>
  </si>
  <si>
    <t>Magnet, Manual Sort 4-Fe</t>
  </si>
  <si>
    <t>Optical HDPE, Manual Sort 4-HDPE</t>
  </si>
  <si>
    <t>Optical PET, Manual Sort 4-PET</t>
  </si>
  <si>
    <t>Air Knife,Glass Optical Sorter (also adjusted based on glass price), Manual Sort 3-G</t>
  </si>
  <si>
    <t xml:space="preserve">Fraction of Max Throughput </t>
  </si>
  <si>
    <t>Number of Laborers Required for Max Throughput</t>
  </si>
  <si>
    <t>1 acre =</t>
  </si>
  <si>
    <t>$/acre</t>
  </si>
  <si>
    <r>
      <t>1 ft</t>
    </r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indexed="8"/>
        <rFont val="Calibri"/>
        <family val="2"/>
      </rPr>
      <t>=</t>
    </r>
  </si>
  <si>
    <r>
      <t>m</t>
    </r>
    <r>
      <rPr>
        <vertAlign val="superscript"/>
        <sz val="11"/>
        <color indexed="8"/>
        <rFont val="Calibri"/>
        <family val="2"/>
      </rPr>
      <t>2</t>
    </r>
  </si>
  <si>
    <t>Wire Transportation Distance (km)</t>
  </si>
  <si>
    <t>Newsprint</t>
  </si>
  <si>
    <t>Office Paper</t>
  </si>
  <si>
    <t xml:space="preserve">Magazines </t>
  </si>
  <si>
    <t>3rd Class Mail</t>
  </si>
  <si>
    <t>Paper Other #1</t>
  </si>
  <si>
    <t>Paper Other #2</t>
  </si>
  <si>
    <t>Glass - Brown</t>
  </si>
  <si>
    <t>Glass - Green</t>
  </si>
  <si>
    <t>Glass - Clear</t>
  </si>
  <si>
    <t>HDPE - Translucent Containers</t>
  </si>
  <si>
    <t>HDPE - Pigmented Containers</t>
  </si>
  <si>
    <t>Unit Conversions</t>
  </si>
  <si>
    <t>Labor</t>
  </si>
  <si>
    <t>Electricity</t>
  </si>
  <si>
    <t>Building Cost</t>
  </si>
  <si>
    <r>
      <t>$/ft</t>
    </r>
    <r>
      <rPr>
        <vertAlign val="superscript"/>
        <sz val="11"/>
        <color indexed="8"/>
        <rFont val="Calibri"/>
        <family val="2"/>
      </rPr>
      <t>2</t>
    </r>
  </si>
  <si>
    <t>Dropdown Menu Options</t>
  </si>
  <si>
    <t>LCI Data</t>
  </si>
  <si>
    <t>Actual Pay Rate</t>
  </si>
  <si>
    <t>Effective Pay Rate</t>
  </si>
  <si>
    <t>Materials</t>
  </si>
  <si>
    <t>Single Stream</t>
  </si>
  <si>
    <t>Mixed Waste</t>
  </si>
  <si>
    <t>Dual Stream</t>
  </si>
  <si>
    <r>
      <t xml:space="preserve">Glass </t>
    </r>
    <r>
      <rPr>
        <sz val="11"/>
        <rFont val="Calibri"/>
        <family val="2"/>
        <scheme val="minor"/>
      </rPr>
      <t>(if no material isolated, optical sorter will be turned off)</t>
    </r>
  </si>
  <si>
    <t>Pre-Sorted</t>
  </si>
  <si>
    <t>Revenue ($/Mg)</t>
  </si>
  <si>
    <t>Airborne Emissions</t>
  </si>
  <si>
    <t>Resource Use</t>
  </si>
  <si>
    <t>Equipment Fuel Use</t>
  </si>
  <si>
    <t>Full Transportation</t>
  </si>
  <si>
    <t>Empty Transportation</t>
  </si>
  <si>
    <t>Mass Transfer</t>
  </si>
  <si>
    <t>Capital Cost</t>
  </si>
  <si>
    <t>Operating Cost</t>
  </si>
  <si>
    <t>Output  Coefficients</t>
  </si>
  <si>
    <t>CO2 - fossil</t>
  </si>
  <si>
    <t>CO2 - biomass</t>
  </si>
  <si>
    <t>CO2 - Stored</t>
  </si>
  <si>
    <t>Methane - Fossil</t>
  </si>
  <si>
    <t>Methane - Biogenic</t>
  </si>
  <si>
    <t>Nitrous Oxide</t>
  </si>
  <si>
    <t>Particulates (Total)</t>
  </si>
  <si>
    <t>PM10</t>
  </si>
  <si>
    <t>PM-2.5</t>
  </si>
  <si>
    <t>Nitrogen Oxides</t>
  </si>
  <si>
    <t>Hydrocarbons (non CH4)</t>
  </si>
  <si>
    <t>Sulfur Oxides</t>
  </si>
  <si>
    <t>Carbon Monoxide</t>
  </si>
  <si>
    <t>Ammonia</t>
  </si>
  <si>
    <t>Lead</t>
  </si>
  <si>
    <t>Hydrochloric acid</t>
  </si>
  <si>
    <t>Mercury</t>
  </si>
  <si>
    <t>Benzene</t>
  </si>
  <si>
    <t>Chloroform</t>
  </si>
  <si>
    <t>Carbon tetrachloride</t>
  </si>
  <si>
    <t>Ethylene dichloride</t>
  </si>
  <si>
    <t>Methylene chloride</t>
  </si>
  <si>
    <t>Trichloroethene</t>
  </si>
  <si>
    <t>Tetrachloroethene</t>
  </si>
  <si>
    <t>Vinyl chloride</t>
  </si>
  <si>
    <t>Toluene</t>
  </si>
  <si>
    <t>Xylenes</t>
  </si>
  <si>
    <t>Ethylbenzene</t>
  </si>
  <si>
    <t>Dioxins</t>
  </si>
  <si>
    <t>Furans</t>
  </si>
  <si>
    <t>Hydrogen Sulfide</t>
  </si>
  <si>
    <t>Airborne Emission 2</t>
  </si>
  <si>
    <t>Airborne Emission 3</t>
  </si>
  <si>
    <t>Airborne Emission 4</t>
  </si>
  <si>
    <t>Airborne Emission 5</t>
  </si>
  <si>
    <t>Airborne Emission 6</t>
  </si>
  <si>
    <t>Airborne Emission 7</t>
  </si>
  <si>
    <t>Airborne Emission 8</t>
  </si>
  <si>
    <t>Airborne Emission 9</t>
  </si>
  <si>
    <t>Airborne Emission 10</t>
  </si>
  <si>
    <t>Dissolved Solids</t>
  </si>
  <si>
    <t>Suspended Solids</t>
  </si>
  <si>
    <t>BOD</t>
  </si>
  <si>
    <t>COD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</si>
  <si>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</si>
  <si>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</si>
  <si>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</si>
  <si>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</si>
  <si>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</si>
  <si>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</si>
  <si>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</si>
  <si>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</si>
  <si>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</si>
  <si>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</si>
  <si>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</si>
  <si>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</si>
  <si>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Hydrocarbons unspecified</t>
  </si>
  <si>
    <t>Waterborne Emission 1</t>
  </si>
  <si>
    <t>Waterborne Emission 2</t>
  </si>
  <si>
    <t>Waterborne Emission 3</t>
  </si>
  <si>
    <t>Waterborne Emission 4</t>
  </si>
  <si>
    <t>Waterborne Emission 5</t>
  </si>
  <si>
    <t>Waterborne Emission 6</t>
  </si>
  <si>
    <t>Waterborne Emission 7</t>
  </si>
  <si>
    <t>Waterborne Emission 8</t>
  </si>
  <si>
    <t>Waterborne Emission 9</t>
  </si>
  <si>
    <t>Waterborne Emission 10</t>
  </si>
  <si>
    <t>Coal</t>
  </si>
  <si>
    <t>Natural gas</t>
  </si>
  <si>
    <t>Uranium</t>
  </si>
  <si>
    <t>Crude oil</t>
  </si>
  <si>
    <t>Energy Use (MJ)</t>
  </si>
  <si>
    <t>Coal (Mg)</t>
  </si>
  <si>
    <t>Natural Gas (m3)</t>
  </si>
  <si>
    <t>Residual Oil (L)</t>
  </si>
  <si>
    <t>Distillate Oil (L)</t>
  </si>
  <si>
    <t>Uranium (Mg)</t>
  </si>
  <si>
    <t>Wood (Mg)</t>
  </si>
  <si>
    <t>Other</t>
  </si>
  <si>
    <t>Gasoline (L)</t>
  </si>
  <si>
    <t>Diesel (L)</t>
  </si>
  <si>
    <t>LPG (L)</t>
  </si>
  <si>
    <t>Crude oil (L)</t>
  </si>
  <si>
    <t>Collection Truck Idling Time (min/Mg)</t>
  </si>
  <si>
    <t>Medium Duty/Collection Vehicle</t>
  </si>
  <si>
    <t>Rail</t>
  </si>
  <si>
    <t>Barge</t>
  </si>
  <si>
    <t>Ocean Freighter</t>
  </si>
  <si>
    <t>Electricity (kWh/Mg)</t>
  </si>
  <si>
    <t>Bottom ash</t>
  </si>
  <si>
    <t>Fly ash</t>
  </si>
  <si>
    <t>Recyclables</t>
  </si>
  <si>
    <t>Residual</t>
  </si>
  <si>
    <t>Output Coefficients</t>
  </si>
  <si>
    <t>Empty Return</t>
  </si>
  <si>
    <t>Economics</t>
  </si>
  <si>
    <r>
      <t>LPG Consumption (</t>
    </r>
    <r>
      <rPr>
        <sz val="10"/>
        <color indexed="8"/>
        <rFont val="Calibri"/>
        <family val="2"/>
      </rPr>
      <t>m</t>
    </r>
    <r>
      <rPr>
        <vertAlign val="superscript"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>/Mg)</t>
    </r>
  </si>
  <si>
    <t>LPG (m3)/Mg of Waste Category</t>
  </si>
  <si>
    <t>Empty Return Factor for Trucks</t>
  </si>
  <si>
    <t>Heavy-duty Truck</t>
  </si>
  <si>
    <t>Percent Office Floor Area</t>
  </si>
  <si>
    <t>Aluminum Separation</t>
  </si>
  <si>
    <t>kg wire/mg MSW</t>
  </si>
  <si>
    <t>kwh/mg MSW</t>
  </si>
  <si>
    <t>kWh/kg wire</t>
  </si>
  <si>
    <t>kWh/Mg MSW</t>
  </si>
  <si>
    <t>Total for input waste</t>
  </si>
  <si>
    <t>Total per Mg of input waste</t>
  </si>
  <si>
    <t>Adjusted Total</t>
  </si>
  <si>
    <t>Recyclable Input Mass</t>
  </si>
  <si>
    <t>Recovery Rate</t>
  </si>
  <si>
    <t>Single-Stream</t>
  </si>
  <si>
    <t>Mixed-Waste</t>
  </si>
  <si>
    <t>Dual-Stream</t>
  </si>
  <si>
    <t>Total Costs ($/Mg)</t>
  </si>
  <si>
    <t>GWP</t>
  </si>
  <si>
    <t>per unit</t>
  </si>
  <si>
    <t>elec</t>
  </si>
  <si>
    <t>diesel</t>
  </si>
  <si>
    <t>lpg</t>
  </si>
  <si>
    <t>wire</t>
  </si>
  <si>
    <t>GWP Factors</t>
  </si>
  <si>
    <t>Fuel and Electricity Cost</t>
  </si>
  <si>
    <t>Waste Fraction</t>
  </si>
  <si>
    <t>Electricity ($/kWh)</t>
  </si>
  <si>
    <t>Diesel Fuel ($/L)</t>
  </si>
  <si>
    <t>polycoat containers</t>
  </si>
  <si>
    <t>non-conforming paper,shredded paper, aseptic containers, phonebooks</t>
  </si>
  <si>
    <t>#3-7</t>
  </si>
  <si>
    <t>tin food cans</t>
  </si>
  <si>
    <t>non-conforming metals</t>
  </si>
  <si>
    <t>other glass</t>
  </si>
  <si>
    <t>food, green waste, and wood</t>
  </si>
  <si>
    <t>other non-recyclables</t>
  </si>
  <si>
    <t>House load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</si>
  <si>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</si>
  <si>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</si>
  <si>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</si>
  <si>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</si>
  <si>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</si>
  <si>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</t>
  </si>
  <si>
    <t>Wood Other</t>
  </si>
  <si>
    <t>Textiles</t>
  </si>
  <si>
    <t>Rubber/Leather</t>
  </si>
  <si>
    <t>Corr. Cardboard</t>
  </si>
  <si>
    <t>Folding Containers</t>
  </si>
  <si>
    <t xml:space="preserve">Paper Bags </t>
  </si>
  <si>
    <t>Mixed Paper</t>
  </si>
  <si>
    <t>Paper - Non-recyclable</t>
  </si>
  <si>
    <t>PET - Containers</t>
  </si>
  <si>
    <t>Plastic - Other # 1, Polypropylene</t>
  </si>
  <si>
    <t>Plastic - Other # 2</t>
  </si>
  <si>
    <t>Mixed Plastic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</si>
  <si>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</si>
  <si>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</si>
  <si>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</si>
  <si>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</si>
  <si>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</si>
  <si>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</si>
  <si>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</si>
  <si>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</si>
  <si>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</si>
  <si>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Mixed Glass</t>
  </si>
  <si>
    <t>Glass - Non-recyclable</t>
  </si>
  <si>
    <t>Misc. Organic</t>
  </si>
  <si>
    <t>Misc. Inorganic</t>
  </si>
  <si>
    <t>E-waste</t>
  </si>
  <si>
    <t>USEPA (2010)</t>
  </si>
  <si>
    <t>Table 1 Waste Composition</t>
  </si>
  <si>
    <t>MRF Type</t>
  </si>
  <si>
    <t>Table 4 Recovery Rates</t>
  </si>
  <si>
    <t>Gross GWP (kg CO2-e/Mg input)</t>
  </si>
  <si>
    <t>**distributed into glass type</t>
  </si>
  <si>
    <t>% Equip.</t>
  </si>
  <si>
    <t>% Labor</t>
  </si>
  <si>
    <t>% Wire</t>
  </si>
  <si>
    <t>% Fuel</t>
  </si>
  <si>
    <t>%Building</t>
  </si>
  <si>
    <t>Default</t>
  </si>
  <si>
    <t>Absolute Value</t>
  </si>
  <si>
    <t>% Change in Elect. Use</t>
  </si>
  <si>
    <t>Disc Screens</t>
  </si>
  <si>
    <t>Manual Sorts</t>
  </si>
  <si>
    <t>Balers</t>
  </si>
  <si>
    <t>Glass Optical Sorter/Air Knife</t>
  </si>
  <si>
    <t>Plastic Optical Sorters</t>
  </si>
  <si>
    <t>Eddy Current Separator/Magnet</t>
  </si>
  <si>
    <t>sums match?</t>
  </si>
  <si>
    <t>Current</t>
  </si>
  <si>
    <t>Oregon</t>
  </si>
  <si>
    <t>Seattle</t>
  </si>
  <si>
    <t>PA</t>
  </si>
  <si>
    <t>USEPA</t>
  </si>
  <si>
    <t>kWh</t>
  </si>
  <si>
    <t>Residual Rate</t>
  </si>
  <si>
    <t>Electricity Consumed (kWh/Mg)</t>
  </si>
  <si>
    <t>Residual Rate (%)</t>
  </si>
  <si>
    <t>Total Cost ($/Mg)</t>
  </si>
  <si>
    <t>GWP (kg CO2-e/Mg)</t>
  </si>
  <si>
    <t xml:space="preserve">Oregon </t>
  </si>
  <si>
    <t>Seattle (Cascadia 2010)</t>
  </si>
  <si>
    <t>PA (Beck 2005)</t>
  </si>
  <si>
    <t>glossy paper, phone books, mixed paper</t>
  </si>
  <si>
    <t>bleached, unbleached, gable top, asectic drink</t>
  </si>
  <si>
    <t>other scrap metal and aluminum</t>
  </si>
  <si>
    <t>Electricity (kg CO2-e)</t>
  </si>
  <si>
    <t>Diesel (kg CO2-e)</t>
  </si>
  <si>
    <t>Wire (kg CO2-e)</t>
  </si>
  <si>
    <t>kg/kg</t>
  </si>
  <si>
    <t>Beck (2005)</t>
  </si>
  <si>
    <t>Cascadia (2010)</t>
  </si>
  <si>
    <t>U.S. EPA (2010)</t>
  </si>
  <si>
    <t>Coefficients from Sensitivity</t>
  </si>
  <si>
    <t>Table A8</t>
  </si>
  <si>
    <t>Conveyors,Houseload, Vacuum, Drumfeeder</t>
  </si>
  <si>
    <r>
      <t>Wire Mass (kg/Mg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</si>
  <si>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LPG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</si>
  <si>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Electricity (kWh/ 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</si>
  <si>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Diesel (L/Mg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</si>
  <si>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t>Table 8</t>
  </si>
  <si>
    <t>GWP of Diesel equip.</t>
  </si>
  <si>
    <t>onp</t>
  </si>
  <si>
    <t>other fiber</t>
  </si>
  <si>
    <t>non-occ fiber containers</t>
  </si>
  <si>
    <t>glass</t>
  </si>
  <si>
    <t>fe</t>
  </si>
  <si>
    <t>al</t>
  </si>
  <si>
    <t>***Make note about location of separation efficiencies and default waste composition</t>
  </si>
  <si>
    <t>Aluminum</t>
  </si>
  <si>
    <t>Recovered Material</t>
  </si>
  <si>
    <t>Land preparation</t>
  </si>
  <si>
    <t>Grading cost per acre</t>
  </si>
  <si>
    <t>$/ha</t>
  </si>
  <si>
    <t>Paving cost</t>
  </si>
  <si>
    <t>Paving requirement</t>
  </si>
  <si>
    <t>ha/tpd</t>
  </si>
  <si>
    <t>Grading requirement</t>
  </si>
  <si>
    <t>Grading cost</t>
  </si>
  <si>
    <t>Land preparation cost</t>
  </si>
  <si>
    <t>$/tpd</t>
  </si>
  <si>
    <t>Total construction cost</t>
  </si>
  <si>
    <t>Land cost</t>
  </si>
  <si>
    <t>Total capital cost</t>
  </si>
  <si>
    <t>$/Mg/yr</t>
  </si>
  <si>
    <t>Scale</t>
  </si>
  <si>
    <t>Utility Connections</t>
  </si>
  <si>
    <t>Misc. 1</t>
  </si>
  <si>
    <t>Misc. 2</t>
  </si>
  <si>
    <t>Miscellaneous Costs</t>
  </si>
  <si>
    <t>Amortized over MRF lifetime</t>
  </si>
  <si>
    <t>Non-Amortized</t>
  </si>
  <si>
    <t>1 hectare =</t>
  </si>
  <si>
    <t>tpd</t>
  </si>
  <si>
    <t xml:space="preserve">Average MRF Size </t>
  </si>
  <si>
    <t>$</t>
  </si>
  <si>
    <t>Installation Cost ($)</t>
  </si>
  <si>
    <t>Installation Cost</t>
  </si>
  <si>
    <t>Fraction of Capital Cost</t>
  </si>
  <si>
    <t>Cost w/o Labor</t>
  </si>
  <si>
    <t>% Reduction (subtracted)</t>
  </si>
  <si>
    <t>Elect</t>
  </si>
  <si>
    <t>SS Default</t>
  </si>
  <si>
    <t>Copy</t>
  </si>
  <si>
    <t>Dif from Avg</t>
  </si>
  <si>
    <t>mw</t>
  </si>
  <si>
    <t>DS</t>
  </si>
  <si>
    <t>PS</t>
  </si>
  <si>
    <t>houseload</t>
  </si>
  <si>
    <t>***Note this table does not auto update</t>
  </si>
  <si>
    <t>MW</t>
  </si>
  <si>
    <t>Oregon(2011)</t>
  </si>
  <si>
    <t>Beck (2005)U.S. EPA (2010)</t>
  </si>
  <si>
    <t>ps</t>
  </si>
  <si>
    <t>Cascadia (2011)</t>
  </si>
  <si>
    <t>ODEQ (2011)</t>
  </si>
  <si>
    <t>Office Electricity</t>
  </si>
  <si>
    <t>Warehouse Lighting</t>
  </si>
  <si>
    <t>Total Residue + impurities in 'pure glass stream'</t>
  </si>
  <si>
    <t>Price ($/t)</t>
  </si>
  <si>
    <t>Revenue ($/t)</t>
  </si>
  <si>
    <t>% of plastic that falls into glass stream</t>
  </si>
  <si>
    <t>Input</t>
  </si>
  <si>
    <t>RESULTS</t>
  </si>
  <si>
    <t>Deisel (L/Mg)</t>
  </si>
  <si>
    <t>Baling Wire (kg/Mg)</t>
  </si>
  <si>
    <t>Revenue ($/Mg) from my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</si>
</sst>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"/>
    <numFmt numFmtId="165" formatCode="0.0"/>
    <numFmt numFmtId="166" formatCode="&quot;$&quot;#,##0.00"/>
    <numFmt numFmtId="167" formatCode="0.0%"/>
    <numFmt numFmtId="168" formatCode="0.0000000"/>
  </numFmts>
  <fonts count="2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vertAlign val="superscript"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6F573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/>
    <xf numFmtId="9" fontId="11" fillId="0" borderId="0" applyFont="0" applyFill="0" applyBorder="0" applyAlignment="0" applyProtection="0"/>
    <xf numFmtId="0" fontId="6" fillId="0" borderId="0"/>
  </cellStyleXfs>
  <cellXfs count="35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13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5" borderId="0" xfId="0" applyFill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12" fillId="0" borderId="0" xfId="0" applyFont="1" applyFill="1"/>
    <xf numFmtId="0" fontId="14" fillId="0" borderId="0" xfId="0" applyFont="1" applyFill="1" applyBorder="1"/>
    <xf numFmtId="0" fontId="14" fillId="0" borderId="0" xfId="0" applyFont="1" applyFill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wrapText="1"/>
    </xf>
    <xf numFmtId="0" fontId="2" fillId="0" borderId="0" xfId="0" applyFont="1" applyBorder="1"/>
    <xf numFmtId="0" fontId="0" fillId="3" borderId="0" xfId="0" applyFill="1"/>
    <xf numFmtId="0" fontId="13" fillId="0" borderId="0" xfId="0" applyFont="1" applyFill="1" applyBorder="1" applyAlignment="1">
      <alignment wrapText="1"/>
    </xf>
    <xf numFmtId="10" fontId="0" fillId="0" borderId="0" xfId="0" applyNumberFormat="1"/>
    <xf numFmtId="0" fontId="2" fillId="0" borderId="0" xfId="0" applyFont="1" applyBorder="1" applyAlignment="1"/>
    <xf numFmtId="0" fontId="0" fillId="0" borderId="0" xfId="0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 applyBorder="1"/>
    <xf numFmtId="164" fontId="0" fillId="0" borderId="1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13" fillId="0" borderId="0" xfId="0" applyNumberFormat="1" applyFont="1" applyFill="1" applyBorder="1"/>
    <xf numFmtId="164" fontId="0" fillId="0" borderId="1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64" fontId="2" fillId="0" borderId="0" xfId="0" applyNumberFormat="1" applyFont="1" applyBorder="1"/>
    <xf numFmtId="164" fontId="0" fillId="0" borderId="9" xfId="0" applyNumberFormat="1" applyBorder="1"/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164" fontId="0" fillId="0" borderId="0" xfId="0" applyNumberFormat="1" applyFill="1"/>
    <xf numFmtId="9" fontId="0" fillId="3" borderId="11" xfId="3" applyFont="1" applyFill="1" applyBorder="1"/>
    <xf numFmtId="9" fontId="0" fillId="3" borderId="2" xfId="3" applyFont="1" applyFill="1" applyBorder="1"/>
    <xf numFmtId="9" fontId="0" fillId="0" borderId="0" xfId="3" applyFont="1" applyFill="1" applyBorder="1"/>
    <xf numFmtId="165" fontId="0" fillId="3" borderId="0" xfId="0" applyNumberFormat="1" applyFill="1"/>
    <xf numFmtId="1" fontId="0" fillId="3" borderId="0" xfId="0" applyNumberFormat="1" applyFill="1"/>
    <xf numFmtId="165" fontId="0" fillId="0" borderId="0" xfId="0" applyNumberFormat="1"/>
    <xf numFmtId="0" fontId="0" fillId="3" borderId="0" xfId="0" applyFill="1" applyBorder="1"/>
    <xf numFmtId="11" fontId="0" fillId="0" borderId="0" xfId="0" applyNumberFormat="1" applyFill="1" applyBorder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13" fillId="0" borderId="11" xfId="0" applyNumberFormat="1" applyFont="1" applyFill="1" applyBorder="1"/>
    <xf numFmtId="164" fontId="13" fillId="0" borderId="13" xfId="0" applyNumberFormat="1" applyFont="1" applyFill="1" applyBorder="1"/>
    <xf numFmtId="0" fontId="6" fillId="0" borderId="0" xfId="2" applyFont="1" applyFill="1"/>
    <xf numFmtId="0" fontId="17" fillId="0" borderId="0" xfId="0" applyFont="1" applyFill="1" applyAlignment="1">
      <alignment textRotation="45"/>
    </xf>
    <xf numFmtId="0" fontId="18" fillId="0" borderId="0" xfId="0" applyFont="1" applyFill="1" applyAlignment="1">
      <alignment textRotation="45"/>
    </xf>
    <xf numFmtId="0" fontId="13" fillId="0" borderId="0" xfId="0" applyFont="1" applyFill="1" applyAlignment="1">
      <alignment textRotation="45"/>
    </xf>
    <xf numFmtId="0" fontId="7" fillId="0" borderId="0" xfId="0" applyFont="1" applyFill="1" applyAlignment="1"/>
    <xf numFmtId="0" fontId="7" fillId="0" borderId="0" xfId="0" applyFont="1" applyFill="1"/>
    <xf numFmtId="0" fontId="19" fillId="0" borderId="0" xfId="0" applyFont="1" applyFill="1"/>
    <xf numFmtId="9" fontId="0" fillId="3" borderId="12" xfId="3" applyFont="1" applyFill="1" applyBorder="1"/>
    <xf numFmtId="9" fontId="0" fillId="3" borderId="13" xfId="3" applyFont="1" applyFill="1" applyBorder="1"/>
    <xf numFmtId="9" fontId="0" fillId="3" borderId="10" xfId="3" applyFont="1" applyFill="1" applyBorder="1"/>
    <xf numFmtId="9" fontId="0" fillId="3" borderId="0" xfId="3" applyFont="1" applyFill="1" applyBorder="1"/>
    <xf numFmtId="9" fontId="0" fillId="3" borderId="1" xfId="3" applyFont="1" applyFill="1" applyBorder="1"/>
    <xf numFmtId="9" fontId="0" fillId="3" borderId="3" xfId="3" applyFont="1" applyFill="1" applyBorder="1"/>
    <xf numFmtId="9" fontId="0" fillId="3" borderId="9" xfId="3" applyFont="1" applyFill="1" applyBorder="1"/>
    <xf numFmtId="9" fontId="0" fillId="6" borderId="12" xfId="3" applyFont="1" applyFill="1" applyBorder="1"/>
    <xf numFmtId="9" fontId="0" fillId="6" borderId="2" xfId="3" applyFont="1" applyFill="1" applyBorder="1"/>
    <xf numFmtId="9" fontId="0" fillId="6" borderId="10" xfId="3" applyFont="1" applyFill="1" applyBorder="1"/>
    <xf numFmtId="9" fontId="0" fillId="6" borderId="11" xfId="3" applyFont="1" applyFill="1" applyBorder="1"/>
    <xf numFmtId="9" fontId="0" fillId="6" borderId="13" xfId="3" applyFont="1" applyFill="1" applyBorder="1"/>
    <xf numFmtId="11" fontId="0" fillId="0" borderId="0" xfId="0" applyNumberFormat="1"/>
    <xf numFmtId="164" fontId="0" fillId="0" borderId="0" xfId="0" applyNumberFormat="1" applyBorder="1" applyAlignment="1">
      <alignment wrapText="1"/>
    </xf>
    <xf numFmtId="0" fontId="2" fillId="0" borderId="0" xfId="0" applyFont="1" applyFill="1" applyBorder="1" applyAlignment="1">
      <alignment wrapText="1"/>
    </xf>
    <xf numFmtId="164" fontId="2" fillId="0" borderId="12" xfId="0" applyNumberFormat="1" applyFont="1" applyBorder="1" applyAlignment="1">
      <alignment wrapText="1"/>
    </xf>
    <xf numFmtId="164" fontId="2" fillId="0" borderId="6" xfId="0" applyNumberFormat="1" applyFont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4" fontId="2" fillId="0" borderId="12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164" fontId="16" fillId="0" borderId="0" xfId="0" applyNumberFormat="1" applyFont="1" applyBorder="1" applyAlignment="1">
      <alignment wrapText="1"/>
    </xf>
    <xf numFmtId="164" fontId="16" fillId="0" borderId="11" xfId="0" applyNumberFormat="1" applyFont="1" applyBorder="1" applyAlignment="1">
      <alignment wrapText="1"/>
    </xf>
    <xf numFmtId="164" fontId="16" fillId="0" borderId="3" xfId="0" applyNumberFormat="1" applyFont="1" applyBorder="1" applyAlignment="1">
      <alignment wrapText="1"/>
    </xf>
    <xf numFmtId="164" fontId="16" fillId="0" borderId="2" xfId="0" applyNumberFormat="1" applyFont="1" applyBorder="1" applyAlignment="1">
      <alignment wrapText="1"/>
    </xf>
    <xf numFmtId="164" fontId="16" fillId="0" borderId="0" xfId="0" applyNumberFormat="1" applyFont="1" applyFill="1" applyBorder="1" applyAlignment="1">
      <alignment wrapText="1"/>
    </xf>
    <xf numFmtId="164" fontId="0" fillId="0" borderId="0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2" fillId="0" borderId="0" xfId="0" applyFont="1" applyFill="1" applyAlignment="1">
      <alignment wrapText="1"/>
    </xf>
    <xf numFmtId="0" fontId="2" fillId="0" borderId="1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Border="1" applyAlignment="1"/>
    <xf numFmtId="0" fontId="0" fillId="0" borderId="11" xfId="0" applyFont="1" applyBorder="1" applyAlignment="1"/>
    <xf numFmtId="164" fontId="0" fillId="0" borderId="0" xfId="0" applyNumberFormat="1" applyFont="1" applyBorder="1" applyAlignment="1"/>
    <xf numFmtId="164" fontId="16" fillId="0" borderId="0" xfId="0" applyNumberFormat="1" applyFont="1" applyFill="1" applyBorder="1" applyAlignment="1"/>
    <xf numFmtId="164" fontId="16" fillId="0" borderId="2" xfId="0" applyNumberFormat="1" applyFont="1" applyBorder="1" applyAlignment="1"/>
    <xf numFmtId="164" fontId="16" fillId="0" borderId="0" xfId="0" applyNumberFormat="1" applyFont="1" applyBorder="1" applyAlignment="1"/>
    <xf numFmtId="164" fontId="16" fillId="0" borderId="3" xfId="0" applyNumberFormat="1" applyFont="1" applyBorder="1" applyAlignment="1"/>
    <xf numFmtId="164" fontId="16" fillId="0" borderId="11" xfId="0" applyNumberFormat="1" applyFont="1" applyBorder="1" applyAlignment="1"/>
    <xf numFmtId="0" fontId="0" fillId="0" borderId="0" xfId="0" applyFont="1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6" xfId="0" applyBorder="1" applyAlignment="1">
      <alignment wrapText="1"/>
    </xf>
    <xf numFmtId="0" fontId="0" fillId="5" borderId="0" xfId="0" applyFill="1" applyBorder="1"/>
    <xf numFmtId="9" fontId="7" fillId="4" borderId="0" xfId="1" applyNumberFormat="1" applyFont="1" applyFill="1"/>
    <xf numFmtId="10" fontId="7" fillId="4" borderId="0" xfId="1" applyNumberFormat="1" applyFont="1" applyFill="1"/>
    <xf numFmtId="0" fontId="7" fillId="4" borderId="0" xfId="1" applyFont="1" applyFill="1"/>
    <xf numFmtId="0" fontId="20" fillId="0" borderId="0" xfId="0" applyFont="1"/>
    <xf numFmtId="2" fontId="0" fillId="4" borderId="0" xfId="0" applyNumberFormat="1" applyFill="1"/>
    <xf numFmtId="8" fontId="7" fillId="4" borderId="0" xfId="1" applyNumberFormat="1" applyFont="1" applyFill="1"/>
    <xf numFmtId="40" fontId="0" fillId="0" borderId="0" xfId="0" applyNumberFormat="1"/>
    <xf numFmtId="0" fontId="0" fillId="0" borderId="0" xfId="0" quotePrefix="1"/>
    <xf numFmtId="0" fontId="13" fillId="0" borderId="14" xfId="0" applyFont="1" applyFill="1" applyBorder="1" applyAlignment="1">
      <alignment wrapText="1"/>
    </xf>
    <xf numFmtId="0" fontId="13" fillId="0" borderId="8" xfId="0" applyFont="1" applyFill="1" applyBorder="1" applyAlignment="1">
      <alignment wrapText="1"/>
    </xf>
    <xf numFmtId="0" fontId="13" fillId="0" borderId="7" xfId="0" applyFont="1" applyFill="1" applyBorder="1" applyAlignment="1">
      <alignment wrapText="1"/>
    </xf>
    <xf numFmtId="0" fontId="21" fillId="0" borderId="0" xfId="0" applyFont="1" applyFill="1" applyBorder="1"/>
    <xf numFmtId="165" fontId="0" fillId="0" borderId="0" xfId="0" applyNumberFormat="1" applyFill="1"/>
    <xf numFmtId="1" fontId="0" fillId="0" borderId="0" xfId="0" applyNumberFormat="1"/>
    <xf numFmtId="2" fontId="0" fillId="0" borderId="0" xfId="0" applyNumberFormat="1" applyFill="1"/>
    <xf numFmtId="0" fontId="0" fillId="3" borderId="0" xfId="0" applyFont="1" applyFill="1"/>
    <xf numFmtId="0" fontId="15" fillId="3" borderId="0" xfId="0" applyFont="1" applyFill="1"/>
    <xf numFmtId="0" fontId="6" fillId="5" borderId="0" xfId="2" applyNumberFormat="1" applyFont="1" applyFill="1"/>
    <xf numFmtId="0" fontId="0" fillId="5" borderId="0" xfId="0" applyNumberFormat="1" applyFill="1"/>
    <xf numFmtId="8" fontId="0" fillId="0" borderId="0" xfId="0" applyNumberFormat="1"/>
    <xf numFmtId="1" fontId="0" fillId="0" borderId="0" xfId="0" applyNumberFormat="1" applyFill="1"/>
    <xf numFmtId="8" fontId="2" fillId="0" borderId="0" xfId="0" applyNumberFormat="1" applyFont="1" applyFill="1"/>
    <xf numFmtId="0" fontId="1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6" fillId="0" borderId="4" xfId="2" applyFont="1" applyFill="1" applyBorder="1"/>
    <xf numFmtId="2" fontId="0" fillId="0" borderId="0" xfId="0" applyNumberFormat="1" applyBorder="1"/>
    <xf numFmtId="2" fontId="0" fillId="0" borderId="1" xfId="0" applyNumberFormat="1" applyBorder="1"/>
    <xf numFmtId="0" fontId="6" fillId="0" borderId="6" xfId="2" applyFont="1" applyFill="1" applyBorder="1"/>
    <xf numFmtId="0" fontId="7" fillId="0" borderId="4" xfId="0" applyFont="1" applyFill="1" applyBorder="1" applyAlignment="1"/>
    <xf numFmtId="0" fontId="0" fillId="0" borderId="0" xfId="0" applyFont="1" applyFill="1"/>
    <xf numFmtId="0" fontId="0" fillId="0" borderId="0" xfId="0" applyNumberFormat="1" applyFill="1"/>
    <xf numFmtId="165" fontId="13" fillId="0" borderId="0" xfId="0" applyNumberFormat="1" applyFont="1" applyFill="1" applyBorder="1"/>
    <xf numFmtId="2" fontId="13" fillId="0" borderId="0" xfId="0" applyNumberFormat="1" applyFont="1" applyFill="1"/>
    <xf numFmtId="0" fontId="13" fillId="0" borderId="0" xfId="0" applyFont="1" applyFill="1"/>
    <xf numFmtId="2" fontId="13" fillId="0" borderId="0" xfId="0" applyNumberFormat="1" applyFont="1"/>
    <xf numFmtId="0" fontId="13" fillId="0" borderId="0" xfId="0" applyFont="1"/>
    <xf numFmtId="0" fontId="23" fillId="0" borderId="0" xfId="0" applyFont="1" applyFill="1" applyBorder="1"/>
    <xf numFmtId="9" fontId="0" fillId="3" borderId="6" xfId="3" applyFont="1" applyFill="1" applyBorder="1"/>
    <xf numFmtId="9" fontId="0" fillId="3" borderId="5" xfId="3" applyFont="1" applyFill="1" applyBorder="1"/>
    <xf numFmtId="0" fontId="6" fillId="3" borderId="0" xfId="2" applyNumberFormat="1" applyFont="1" applyFill="1"/>
    <xf numFmtId="0" fontId="13" fillId="0" borderId="4" xfId="0" applyFont="1" applyFill="1" applyBorder="1" applyAlignment="1">
      <alignment wrapText="1"/>
    </xf>
    <xf numFmtId="0" fontId="13" fillId="0" borderId="12" xfId="0" applyFont="1" applyFill="1" applyBorder="1" applyAlignment="1">
      <alignment wrapText="1"/>
    </xf>
    <xf numFmtId="9" fontId="0" fillId="0" borderId="6" xfId="3" applyFont="1" applyFill="1" applyBorder="1"/>
    <xf numFmtId="9" fontId="0" fillId="0" borderId="12" xfId="3" applyFont="1" applyFill="1" applyBorder="1"/>
    <xf numFmtId="9" fontId="0" fillId="0" borderId="3" xfId="3" applyFont="1" applyFill="1" applyBorder="1"/>
    <xf numFmtId="9" fontId="0" fillId="0" borderId="11" xfId="3" applyFont="1" applyFill="1" applyBorder="1"/>
    <xf numFmtId="9" fontId="0" fillId="0" borderId="9" xfId="3" applyFont="1" applyFill="1" applyBorder="1"/>
    <xf numFmtId="9" fontId="0" fillId="0" borderId="13" xfId="3" applyFont="1" applyFill="1" applyBorder="1"/>
    <xf numFmtId="9" fontId="0" fillId="6" borderId="6" xfId="3" applyFont="1" applyFill="1" applyBorder="1"/>
    <xf numFmtId="9" fontId="0" fillId="6" borderId="3" xfId="3" applyFont="1" applyFill="1" applyBorder="1"/>
    <xf numFmtId="9" fontId="0" fillId="6" borderId="9" xfId="3" applyFont="1" applyFill="1" applyBorder="1"/>
    <xf numFmtId="164" fontId="2" fillId="0" borderId="0" xfId="0" applyNumberFormat="1" applyFont="1" applyFill="1" applyBorder="1"/>
    <xf numFmtId="0" fontId="7" fillId="0" borderId="0" xfId="0" applyFont="1" applyFill="1" applyAlignment="1">
      <alignment wrapText="1"/>
    </xf>
    <xf numFmtId="1" fontId="13" fillId="0" borderId="0" xfId="0" applyNumberFormat="1" applyFont="1" applyFill="1"/>
    <xf numFmtId="8" fontId="14" fillId="0" borderId="0" xfId="0" applyNumberFormat="1" applyFont="1" applyFill="1"/>
    <xf numFmtId="2" fontId="0" fillId="0" borderId="0" xfId="0" applyNumberFormat="1" applyFill="1" applyAlignment="1">
      <alignment wrapText="1"/>
    </xf>
    <xf numFmtId="2" fontId="0" fillId="0" borderId="3" xfId="0" applyNumberFormat="1" applyFill="1" applyBorder="1"/>
    <xf numFmtId="2" fontId="0" fillId="0" borderId="9" xfId="0" applyNumberFormat="1" applyFill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2" fillId="0" borderId="18" xfId="0" applyNumberFormat="1" applyFont="1" applyBorder="1"/>
    <xf numFmtId="164" fontId="2" fillId="0" borderId="15" xfId="0" applyNumberFormat="1" applyFont="1" applyBorder="1"/>
    <xf numFmtId="2" fontId="0" fillId="0" borderId="15" xfId="0" applyNumberFormat="1" applyFill="1" applyBorder="1"/>
    <xf numFmtId="2" fontId="0" fillId="0" borderId="16" xfId="0" applyNumberFormat="1" applyFill="1" applyBorder="1"/>
    <xf numFmtId="2" fontId="0" fillId="0" borderId="18" xfId="0" applyNumberForma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2" xfId="0" applyBorder="1"/>
    <xf numFmtId="0" fontId="0" fillId="0" borderId="23" xfId="0" applyBorder="1"/>
    <xf numFmtId="165" fontId="0" fillId="0" borderId="0" xfId="0" applyNumberFormat="1" applyBorder="1"/>
    <xf numFmtId="9" fontId="13" fillId="0" borderId="0" xfId="3" applyFont="1" applyFill="1" applyBorder="1"/>
    <xf numFmtId="0" fontId="13" fillId="0" borderId="23" xfId="0" applyFont="1" applyFill="1" applyBorder="1"/>
    <xf numFmtId="9" fontId="0" fillId="0" borderId="0" xfId="3" applyFont="1" applyBorder="1"/>
    <xf numFmtId="0" fontId="0" fillId="0" borderId="22" xfId="0" applyFill="1" applyBorder="1"/>
    <xf numFmtId="1" fontId="0" fillId="3" borderId="0" xfId="0" applyNumberFormat="1" applyFill="1" applyBorder="1"/>
    <xf numFmtId="0" fontId="0" fillId="0" borderId="20" xfId="0" applyBorder="1" applyAlignment="1"/>
    <xf numFmtId="0" fontId="0" fillId="0" borderId="21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0" xfId="0" applyFont="1" applyAlignment="1">
      <alignment wrapText="1"/>
    </xf>
    <xf numFmtId="1" fontId="0" fillId="3" borderId="0" xfId="0" applyNumberFormat="1" applyFont="1" applyFill="1"/>
    <xf numFmtId="165" fontId="0" fillId="0" borderId="0" xfId="0" applyNumberFormat="1" applyFont="1"/>
    <xf numFmtId="165" fontId="0" fillId="0" borderId="0" xfId="0" applyNumberFormat="1" applyFont="1" applyFill="1"/>
    <xf numFmtId="0" fontId="0" fillId="0" borderId="0" xfId="0" applyNumberFormat="1" applyFont="1" applyFill="1"/>
    <xf numFmtId="0" fontId="0" fillId="0" borderId="0" xfId="0" applyFont="1"/>
    <xf numFmtId="1" fontId="0" fillId="0" borderId="0" xfId="0" applyNumberFormat="1" applyFont="1"/>
    <xf numFmtId="0" fontId="13" fillId="3" borderId="0" xfId="2" applyNumberFormat="1" applyFont="1" applyFill="1"/>
    <xf numFmtId="0" fontId="0" fillId="6" borderId="0" xfId="0" applyFill="1" applyBorder="1" applyAlignment="1">
      <alignment wrapText="1"/>
    </xf>
    <xf numFmtId="2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/>
    </xf>
    <xf numFmtId="0" fontId="7" fillId="4" borderId="0" xfId="1" applyFont="1" applyFill="1" applyBorder="1"/>
    <xf numFmtId="1" fontId="7" fillId="4" borderId="0" xfId="1" applyNumberFormat="1" applyFont="1" applyFill="1" applyBorder="1"/>
    <xf numFmtId="10" fontId="7" fillId="4" borderId="0" xfId="1" applyNumberFormat="1" applyFont="1" applyFill="1" applyBorder="1"/>
    <xf numFmtId="164" fontId="7" fillId="0" borderId="0" xfId="1" applyNumberFormat="1" applyFont="1" applyFill="1" applyBorder="1"/>
    <xf numFmtId="9" fontId="19" fillId="0" borderId="0" xfId="1" applyNumberFormat="1" applyFont="1" applyFill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6" fontId="7" fillId="4" borderId="0" xfId="1" applyNumberFormat="1" applyFont="1" applyFill="1" applyAlignment="1">
      <alignment horizontal="right"/>
    </xf>
    <xf numFmtId="0" fontId="0" fillId="3" borderId="22" xfId="0" applyFill="1" applyBorder="1"/>
    <xf numFmtId="0" fontId="0" fillId="0" borderId="23" xfId="0" applyFill="1" applyBorder="1"/>
    <xf numFmtId="0" fontId="0" fillId="0" borderId="26" xfId="0" applyFill="1" applyBorder="1"/>
    <xf numFmtId="0" fontId="0" fillId="0" borderId="22" xfId="0" applyBorder="1" applyAlignment="1"/>
    <xf numFmtId="0" fontId="0" fillId="0" borderId="23" xfId="0" applyBorder="1" applyAlignment="1"/>
    <xf numFmtId="0" fontId="0" fillId="3" borderId="22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6" xfId="0" applyFill="1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25" xfId="0" applyFill="1" applyBorder="1" applyAlignment="1"/>
    <xf numFmtId="0" fontId="0" fillId="0" borderId="16" xfId="0" applyBorder="1"/>
    <xf numFmtId="0" fontId="0" fillId="0" borderId="17" xfId="0" applyBorder="1"/>
    <xf numFmtId="164" fontId="0" fillId="0" borderId="3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6" fillId="0" borderId="0" xfId="2" applyFont="1" applyFill="1" applyBorder="1"/>
    <xf numFmtId="2" fontId="2" fillId="0" borderId="0" xfId="0" applyNumberFormat="1" applyFont="1" applyBorder="1"/>
    <xf numFmtId="2" fontId="22" fillId="0" borderId="0" xfId="2" applyNumberFormat="1" applyFont="1" applyFill="1" applyBorder="1"/>
    <xf numFmtId="0" fontId="7" fillId="0" borderId="4" xfId="0" applyFont="1" applyFill="1" applyBorder="1"/>
    <xf numFmtId="0" fontId="6" fillId="0" borderId="3" xfId="2" applyFont="1" applyFill="1" applyBorder="1" applyAlignment="1">
      <alignment wrapText="1"/>
    </xf>
    <xf numFmtId="2" fontId="2" fillId="0" borderId="1" xfId="0" applyNumberFormat="1" applyFont="1" applyBorder="1"/>
    <xf numFmtId="2" fontId="0" fillId="0" borderId="0" xfId="0" applyNumberFormat="1" applyFill="1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" fontId="0" fillId="6" borderId="0" xfId="0" applyNumberFormat="1" applyFill="1" applyBorder="1" applyAlignment="1">
      <alignment wrapText="1"/>
    </xf>
    <xf numFmtId="164" fontId="16" fillId="0" borderId="11" xfId="0" applyNumberFormat="1" applyFont="1" applyFill="1" applyBorder="1" applyAlignment="1"/>
    <xf numFmtId="164" fontId="0" fillId="0" borderId="11" xfId="0" applyNumberFormat="1" applyFont="1" applyBorder="1" applyAlignment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11" fontId="13" fillId="0" borderId="6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11" fontId="13" fillId="0" borderId="4" xfId="0" applyNumberFormat="1" applyFont="1" applyBorder="1" applyAlignment="1">
      <alignment horizontal="left"/>
    </xf>
    <xf numFmtId="11" fontId="13" fillId="0" borderId="5" xfId="0" applyNumberFormat="1" applyFont="1" applyBorder="1" applyAlignment="1">
      <alignment horizontal="left"/>
    </xf>
    <xf numFmtId="11" fontId="13" fillId="0" borderId="12" xfId="0" applyNumberFormat="1" applyFont="1" applyBorder="1" applyAlignment="1">
      <alignment horizontal="left"/>
    </xf>
    <xf numFmtId="2" fontId="13" fillId="0" borderId="6" xfId="0" applyNumberFormat="1" applyFont="1" applyBorder="1" applyAlignment="1">
      <alignment horizontal="left"/>
    </xf>
    <xf numFmtId="2" fontId="13" fillId="0" borderId="4" xfId="0" applyNumberFormat="1" applyFont="1" applyBorder="1" applyAlignment="1">
      <alignment horizontal="left"/>
    </xf>
    <xf numFmtId="2" fontId="13" fillId="0" borderId="5" xfId="0" applyNumberFormat="1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0" xfId="2" applyFont="1" applyFill="1"/>
    <xf numFmtId="1" fontId="0" fillId="0" borderId="0" xfId="0" applyNumberFormat="1" applyFill="1" applyBorder="1"/>
    <xf numFmtId="1" fontId="0" fillId="3" borderId="0" xfId="0" applyNumberFormat="1" applyFill="1" applyBorder="1" applyAlignment="1">
      <alignment wrapText="1"/>
    </xf>
    <xf numFmtId="0" fontId="0" fillId="3" borderId="23" xfId="0" applyFill="1" applyBorder="1"/>
    <xf numFmtId="0" fontId="0" fillId="3" borderId="23" xfId="0" applyFill="1" applyBorder="1" applyAlignment="1">
      <alignment wrapText="1"/>
    </xf>
    <xf numFmtId="0" fontId="0" fillId="3" borderId="24" xfId="0" applyFill="1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3" borderId="17" xfId="0" applyFill="1" applyBorder="1"/>
    <xf numFmtId="0" fontId="0" fillId="3" borderId="17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3" fillId="0" borderId="17" xfId="0" applyFont="1" applyFill="1" applyBorder="1"/>
    <xf numFmtId="0" fontId="0" fillId="3" borderId="18" xfId="0" applyFill="1" applyBorder="1"/>
    <xf numFmtId="0" fontId="0" fillId="0" borderId="21" xfId="0" applyBorder="1"/>
    <xf numFmtId="0" fontId="0" fillId="3" borderId="26" xfId="0" applyFill="1" applyBorder="1"/>
    <xf numFmtId="0" fontId="0" fillId="0" borderId="17" xfId="0" applyFill="1" applyBorder="1" applyAlignment="1"/>
    <xf numFmtId="10" fontId="0" fillId="0" borderId="0" xfId="3" applyNumberFormat="1" applyFont="1" applyAlignment="1"/>
    <xf numFmtId="167" fontId="0" fillId="0" borderId="0" xfId="3" applyNumberFormat="1" applyFont="1"/>
    <xf numFmtId="167" fontId="0" fillId="0" borderId="0" xfId="3" applyNumberFormat="1" applyFont="1" applyFill="1"/>
    <xf numFmtId="9" fontId="0" fillId="0" borderId="0" xfId="3" applyFont="1"/>
    <xf numFmtId="0" fontId="0" fillId="3" borderId="0" xfId="0" applyFill="1" applyAlignment="1">
      <alignment wrapText="1"/>
    </xf>
    <xf numFmtId="2" fontId="0" fillId="3" borderId="0" xfId="0" applyNumberFormat="1" applyFill="1"/>
    <xf numFmtId="0" fontId="2" fillId="0" borderId="14" xfId="0" applyFont="1" applyBorder="1"/>
    <xf numFmtId="0" fontId="0" fillId="0" borderId="14" xfId="0" applyBorder="1"/>
    <xf numFmtId="165" fontId="0" fillId="0" borderId="14" xfId="0" applyNumberFormat="1" applyBorder="1"/>
    <xf numFmtId="9" fontId="0" fillId="0" borderId="14" xfId="3" applyFont="1" applyBorder="1"/>
    <xf numFmtId="9" fontId="0" fillId="0" borderId="14" xfId="0" applyNumberFormat="1" applyBorder="1"/>
    <xf numFmtId="0" fontId="2" fillId="0" borderId="14" xfId="0" applyFont="1" applyBorder="1" applyAlignment="1">
      <alignment wrapText="1"/>
    </xf>
    <xf numFmtId="2" fontId="0" fillId="0" borderId="14" xfId="0" applyNumberFormat="1" applyBorder="1"/>
    <xf numFmtId="0" fontId="0" fillId="0" borderId="14" xfId="0" applyFill="1" applyBorder="1"/>
    <xf numFmtId="9" fontId="0" fillId="0" borderId="14" xfId="3" applyFont="1" applyFill="1" applyBorder="1"/>
    <xf numFmtId="168" fontId="0" fillId="0" borderId="14" xfId="0" applyNumberFormat="1" applyBorder="1"/>
    <xf numFmtId="0" fontId="0" fillId="0" borderId="19" xfId="0" applyBorder="1"/>
    <xf numFmtId="0" fontId="0" fillId="0" borderId="20" xfId="0" applyBorder="1"/>
    <xf numFmtId="167" fontId="0" fillId="0" borderId="20" xfId="3" applyNumberFormat="1" applyFont="1" applyBorder="1"/>
    <xf numFmtId="167" fontId="0" fillId="0" borderId="0" xfId="0" applyNumberFormat="1" applyBorder="1"/>
    <xf numFmtId="10" fontId="0" fillId="0" borderId="0" xfId="3" applyNumberFormat="1" applyFont="1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 applyAlignment="1">
      <alignment wrapText="1"/>
    </xf>
    <xf numFmtId="168" fontId="0" fillId="0" borderId="0" xfId="0" applyNumberFormat="1" applyBorder="1"/>
    <xf numFmtId="167" fontId="0" fillId="0" borderId="0" xfId="3" applyNumberFormat="1" applyFont="1" applyBorder="1"/>
    <xf numFmtId="0" fontId="0" fillId="0" borderId="0" xfId="0" applyFont="1" applyBorder="1"/>
    <xf numFmtId="167" fontId="0" fillId="0" borderId="25" xfId="3" applyNumberFormat="1" applyFont="1" applyBorder="1"/>
    <xf numFmtId="9" fontId="0" fillId="0" borderId="0" xfId="0" applyNumberFormat="1"/>
    <xf numFmtId="16" fontId="0" fillId="0" borderId="23" xfId="0" applyNumberFormat="1" applyBorder="1"/>
    <xf numFmtId="165" fontId="0" fillId="0" borderId="13" xfId="0" applyNumberFormat="1" applyBorder="1"/>
    <xf numFmtId="0" fontId="25" fillId="0" borderId="26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9" fontId="25" fillId="0" borderId="0" xfId="3" applyFont="1" applyBorder="1" applyAlignment="1">
      <alignment horizontal="center" vertical="center"/>
    </xf>
    <xf numFmtId="0" fontId="0" fillId="0" borderId="3" xfId="0" applyFill="1" applyBorder="1"/>
    <xf numFmtId="0" fontId="7" fillId="0" borderId="0" xfId="1" applyFont="1" applyFill="1" applyBorder="1"/>
    <xf numFmtId="10" fontId="7" fillId="0" borderId="0" xfId="1" applyNumberFormat="1" applyFont="1" applyFill="1"/>
    <xf numFmtId="9" fontId="7" fillId="0" borderId="0" xfId="1" applyNumberFormat="1" applyFont="1" applyFill="1"/>
    <xf numFmtId="166" fontId="7" fillId="0" borderId="0" xfId="1" applyNumberFormat="1" applyFont="1" applyFill="1" applyAlignment="1">
      <alignment horizontal="right"/>
    </xf>
    <xf numFmtId="0" fontId="2" fillId="0" borderId="0" xfId="0" applyFont="1" applyFill="1"/>
    <xf numFmtId="1" fontId="7" fillId="0" borderId="0" xfId="1" applyNumberFormat="1" applyFont="1" applyFill="1" applyBorder="1"/>
    <xf numFmtId="10" fontId="7" fillId="0" borderId="0" xfId="1" applyNumberFormat="1" applyFont="1" applyFill="1" applyBorder="1"/>
    <xf numFmtId="0" fontId="7" fillId="0" borderId="0" xfId="1" applyFont="1" applyFill="1"/>
    <xf numFmtId="1" fontId="7" fillId="4" borderId="0" xfId="1" applyNumberFormat="1" applyFont="1" applyFill="1"/>
    <xf numFmtId="0" fontId="2" fillId="0" borderId="0" xfId="0" applyFont="1" applyBorder="1" applyAlignment="1">
      <alignment horizontal="left" wrapText="1"/>
    </xf>
    <xf numFmtId="0" fontId="0" fillId="0" borderId="28" xfId="0" applyBorder="1"/>
    <xf numFmtId="0" fontId="0" fillId="0" borderId="29" xfId="0" applyBorder="1"/>
    <xf numFmtId="2" fontId="7" fillId="4" borderId="30" xfId="1" applyNumberFormat="1" applyFont="1" applyFill="1" applyBorder="1"/>
    <xf numFmtId="1" fontId="0" fillId="0" borderId="30" xfId="0" applyNumberFormat="1" applyBorder="1"/>
    <xf numFmtId="1" fontId="0" fillId="0" borderId="0" xfId="0" applyNumberFormat="1" applyBorder="1"/>
    <xf numFmtId="1" fontId="0" fillId="0" borderId="20" xfId="0" applyNumberFormat="1" applyBorder="1"/>
    <xf numFmtId="2" fontId="0" fillId="0" borderId="23" xfId="0" applyNumberFormat="1" applyBorder="1"/>
    <xf numFmtId="1" fontId="0" fillId="0" borderId="25" xfId="0" applyNumberFormat="1" applyBorder="1"/>
    <xf numFmtId="2" fontId="0" fillId="0" borderId="26" xfId="0" applyNumberFormat="1" applyBorder="1"/>
    <xf numFmtId="0" fontId="0" fillId="0" borderId="0" xfId="0" applyFill="1" applyAlignment="1">
      <alignment wrapText="1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165" fontId="2" fillId="0" borderId="8" xfId="0" applyNumberFormat="1" applyFont="1" applyBorder="1" applyAlignment="1">
      <alignment horizontal="center"/>
    </xf>
    <xf numFmtId="2" fontId="0" fillId="7" borderId="0" xfId="0" applyNumberFormat="1" applyFill="1"/>
    <xf numFmtId="164" fontId="0" fillId="7" borderId="0" xfId="0" applyNumberFormat="1" applyFill="1"/>
    <xf numFmtId="0" fontId="2" fillId="8" borderId="0" xfId="0" applyFont="1" applyFill="1" applyAlignment="1">
      <alignment wrapText="1"/>
    </xf>
    <xf numFmtId="164" fontId="2" fillId="8" borderId="0" xfId="0" applyNumberFormat="1" applyFont="1" applyFill="1"/>
    <xf numFmtId="9" fontId="0" fillId="0" borderId="0" xfId="3" applyNumberFormat="1" applyFont="1"/>
    <xf numFmtId="164" fontId="0" fillId="5" borderId="0" xfId="0" applyNumberFormat="1" applyFill="1"/>
    <xf numFmtId="9" fontId="0" fillId="3" borderId="0" xfId="3" applyFont="1" applyFill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20" xfId="0" applyFont="1" applyBorder="1" applyAlignment="1">
      <alignment horizontal="center"/>
    </xf>
  </cellXfs>
  <cellStyles count="5">
    <cellStyle name="Good" xfId="1" builtinId="26"/>
    <cellStyle name="Normal" xfId="0" builtinId="0"/>
    <cellStyle name="Normal 2" xfId="4" xr:uid="{00000000-0005-0000-0000-000002000000}"/>
    <cellStyle name="Normal_MRF" xfId="2" xr:uid="{00000000-0005-0000-0000-000003000000}"/>
    <cellStyle name="Percent" xfId="3" builtinId="5"/>
  </cellStyles>
  <dxfs count="0"/>
  <tableStyles count="0" defaultTableStyle="TableStyleMedium2" defaultPivotStyle="PivotStyleLight16"/>
  <colors>
    <mruColors>
      <color rgb="FF76F5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'Tables and Figures'!$A$125:$A$133</c:f>
              <c:strCache>
                <c:ptCount val="9"/>
                <c:pt idx="0">
                  <c:v>Glass Breaker Screen</c:v>
                </c:pt>
                <c:pt idx="1">
                  <c:v>Disc Screen 2</c:v>
                </c:pt>
                <c:pt idx="2">
                  <c:v>Disc Screen 3</c:v>
                </c:pt>
                <c:pt idx="3">
                  <c:v>Disc Screen 1</c:v>
                </c:pt>
                <c:pt idx="4">
                  <c:v>Optical PET</c:v>
                </c:pt>
                <c:pt idx="5">
                  <c:v>Optical Glass</c:v>
                </c:pt>
                <c:pt idx="6">
                  <c:v>Optical HDPE</c:v>
                </c:pt>
                <c:pt idx="7">
                  <c:v>Eddy Current Separator</c:v>
                </c:pt>
                <c:pt idx="8">
                  <c:v>Magnet</c:v>
                </c:pt>
              </c:strCache>
            </c:strRef>
          </c:cat>
          <c:val>
            <c:numRef>
              <c:f>'Tables and Figures'!$C$125:$C$133</c:f>
              <c:numCache>
                <c:formatCode>0.0%</c:formatCode>
                <c:ptCount val="9"/>
                <c:pt idx="0">
                  <c:v>-3.5915529969159976E-2</c:v>
                </c:pt>
                <c:pt idx="1">
                  <c:v>3.4705695720208429E-2</c:v>
                </c:pt>
                <c:pt idx="2">
                  <c:v>2.2308421861397931E-2</c:v>
                </c:pt>
                <c:pt idx="3">
                  <c:v>4.8118235292605206E-3</c:v>
                </c:pt>
                <c:pt idx="4">
                  <c:v>2.8344978102418108E-3</c:v>
                </c:pt>
                <c:pt idx="5">
                  <c:v>-1.1574276016461612E-3</c:v>
                </c:pt>
                <c:pt idx="6">
                  <c:v>3.8218821617255202E-4</c:v>
                </c:pt>
                <c:pt idx="7">
                  <c:v>-3.6020943803454625E-4</c:v>
                </c:pt>
                <c:pt idx="8">
                  <c:v>-3.5206433902999854E-4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7-4B44-9FCC-6FA19AD68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29376"/>
        <c:axId val="157831168"/>
      </c:barChart>
      <c:catAx>
        <c:axId val="1578293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157831168"/>
        <c:crosses val="autoZero"/>
        <c:auto val="1"/>
        <c:lblAlgn val="ctr"/>
        <c:lblOffset val="100"/>
        <c:noMultiLvlLbl val="0"/>
      </c:catAx>
      <c:valAx>
        <c:axId val="157831168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 in Electricity (% of Default Electricity)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7829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'Tables and Figures'!$K$94</c:f>
              <c:strCache>
                <c:ptCount val="1"/>
                <c:pt idx="0">
                  <c:v>Conveyors,Houseload, Vacuum, Drumfeeder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Figures'!$L$94:$O$94</c:f>
              <c:numCache>
                <c:formatCode>0.00</c:formatCode>
                <c:ptCount val="4"/>
                <c:pt idx="0">
                  <c:v>2.0237408493374804</c:v>
                </c:pt>
                <c:pt idx="1">
                  <c:v>1.9570126943373416</c:v>
                </c:pt>
                <c:pt idx="2">
                  <c:v>2.0780961813089234</c:v>
                </c:pt>
                <c:pt idx="3">
                  <c:v>1.9504966387039351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5-449D-AF95-5B34C28928E5}"/>
            </c:ext>
          </c:extLst>
        </c:ser>
        <c:ser>
          <c:idx val="0"/>
          <c:order val="1"/>
          <c:tx>
            <c:strRef>
              <c:f>'Tables and Figures'!$K$87</c:f>
              <c:strCache>
                <c:ptCount val="1"/>
                <c:pt idx="0">
                  <c:v>Disc Screens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>
                  <a:lumMod val="85000"/>
                </a:schemeClr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Figures'!$L$87:$O$87</c:f>
              <c:numCache>
                <c:formatCode>0.00</c:formatCode>
                <c:ptCount val="4"/>
                <c:pt idx="0">
                  <c:v>0.58073053313643541</c:v>
                </c:pt>
                <c:pt idx="1">
                  <c:v>0.47174345463296935</c:v>
                </c:pt>
                <c:pt idx="2">
                  <c:v>0.68175903785113112</c:v>
                </c:pt>
                <c:pt idx="3">
                  <c:v>0.48374205744917292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5-449D-AF95-5B34C28928E5}"/>
            </c:ext>
          </c:extLst>
        </c:ser>
        <c:ser>
          <c:idx val="1"/>
          <c:order val="2"/>
          <c:tx>
            <c:strRef>
              <c:f>'Tables and Figures'!$K$88</c:f>
              <c:strCache>
                <c:ptCount val="1"/>
                <c:pt idx="0">
                  <c:v>Manual Sorts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Figures'!$L$88:$O$88</c:f>
              <c:numCache>
                <c:formatCode>0.00</c:formatCode>
                <c:ptCount val="4"/>
                <c:pt idx="0">
                  <c:v>0.10961419404963772</c:v>
                </c:pt>
                <c:pt idx="1">
                  <c:v>0.10909269760742642</c:v>
                </c:pt>
                <c:pt idx="2">
                  <c:v>0.11682719489349197</c:v>
                </c:pt>
                <c:pt idx="3">
                  <c:v>9.8253933118869666E-2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65-449D-AF95-5B34C28928E5}"/>
            </c:ext>
          </c:extLst>
        </c:ser>
        <c:ser>
          <c:idx val="2"/>
          <c:order val="3"/>
          <c:tx>
            <c:strRef>
              <c:f>'Tables and Figures'!$K$89</c:f>
              <c:strCache>
                <c:ptCount val="1"/>
                <c:pt idx="0">
                  <c:v>Balers</c:v>
                </c:pt>
              </c:strCache>
            </c:strRef>
          </c:tx>
          <c:spPr>
            <a:pattFill prst="ltHorz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Figures'!$L$89:$O$89</c:f>
              <c:numCache>
                <c:formatCode>0.00</c:formatCode>
                <c:ptCount val="4"/>
                <c:pt idx="0">
                  <c:v>0.47789262302232893</c:v>
                </c:pt>
                <c:pt idx="1">
                  <c:v>0.59902874700814934</c:v>
                </c:pt>
                <c:pt idx="2">
                  <c:v>0.54865119089094261</c:v>
                </c:pt>
                <c:pt idx="3">
                  <c:v>0.59504711685827005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65-449D-AF95-5B34C28928E5}"/>
            </c:ext>
          </c:extLst>
        </c:ser>
        <c:ser>
          <c:idx val="3"/>
          <c:order val="4"/>
          <c:tx>
            <c:strRef>
              <c:f>'Tables and Figures'!$K$90</c:f>
              <c:strCache>
                <c:ptCount val="1"/>
                <c:pt idx="0">
                  <c:v>Glass Breaker Screen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Figures'!$L$90:$O$90</c:f>
              <c:numCache>
                <c:formatCode>0.00</c:formatCode>
                <c:ptCount val="4"/>
                <c:pt idx="0">
                  <c:v>0.63665367764599545</c:v>
                </c:pt>
                <c:pt idx="1">
                  <c:v>0.34226542292417217</c:v>
                </c:pt>
                <c:pt idx="2">
                  <c:v>0.82042041144926736</c:v>
                </c:pt>
                <c:pt idx="3">
                  <c:v>0.53117657388232753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65-449D-AF95-5B34C28928E5}"/>
            </c:ext>
          </c:extLst>
        </c:ser>
        <c:ser>
          <c:idx val="4"/>
          <c:order val="5"/>
          <c:tx>
            <c:strRef>
              <c:f>'Tables and Figures'!$K$91</c:f>
              <c:strCache>
                <c:ptCount val="1"/>
                <c:pt idx="0">
                  <c:v>Glass Optical Sorter/Air Knife</c:v>
                </c:pt>
              </c:strCache>
            </c:strRef>
          </c:tx>
          <c:spPr>
            <a:pattFill prst="pct10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Figures'!$L$91:$O$91</c:f>
              <c:numCache>
                <c:formatCode>0.00</c:formatCode>
                <c:ptCount val="4"/>
                <c:pt idx="0">
                  <c:v>1.711078900277591</c:v>
                </c:pt>
                <c:pt idx="1">
                  <c:v>0.1331929842119024</c:v>
                </c:pt>
                <c:pt idx="2">
                  <c:v>2.0625618660936751</c:v>
                </c:pt>
                <c:pt idx="3">
                  <c:v>1.23491565994047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65-449D-AF95-5B34C28928E5}"/>
            </c:ext>
          </c:extLst>
        </c:ser>
        <c:ser>
          <c:idx val="5"/>
          <c:order val="6"/>
          <c:tx>
            <c:strRef>
              <c:f>'Tables and Figures'!$K$92</c:f>
              <c:strCache>
                <c:ptCount val="1"/>
                <c:pt idx="0">
                  <c:v>Plastic Optical Sorters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Figures'!$L$92:$O$92</c:f>
              <c:numCache>
                <c:formatCode>0.00</c:formatCode>
                <c:ptCount val="4"/>
                <c:pt idx="0">
                  <c:v>0.42741735140645748</c:v>
                </c:pt>
                <c:pt idx="1">
                  <c:v>0.44847316520038455</c:v>
                </c:pt>
                <c:pt idx="2">
                  <c:v>0.54277500632637787</c:v>
                </c:pt>
                <c:pt idx="3">
                  <c:v>0.37216610420935642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65-449D-AF95-5B34C28928E5}"/>
            </c:ext>
          </c:extLst>
        </c:ser>
        <c:ser>
          <c:idx val="6"/>
          <c:order val="7"/>
          <c:tx>
            <c:strRef>
              <c:f>'Tables and Figures'!$K$93</c:f>
              <c:strCache>
                <c:ptCount val="1"/>
                <c:pt idx="0">
                  <c:v>Eddy Current Separator/Magnet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Figures'!$L$93:$O$93</c:f>
              <c:numCache>
                <c:formatCode>0.00</c:formatCode>
                <c:ptCount val="4"/>
                <c:pt idx="0">
                  <c:v>0.18745345090919222</c:v>
                </c:pt>
                <c:pt idx="1">
                  <c:v>0.17757493850443312</c:v>
                </c:pt>
                <c:pt idx="2">
                  <c:v>0.12874210059499921</c:v>
                </c:pt>
                <c:pt idx="3">
                  <c:v>0.11314424842790856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65-449D-AF95-5B34C2892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037568"/>
        <c:axId val="165039104"/>
      </c:barChart>
      <c:catAx>
        <c:axId val="16503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039104"/>
        <c:crosses val="autoZero"/>
        <c:auto val="1"/>
        <c:lblAlgn val="ctr"/>
        <c:lblOffset val="100"/>
        <c:noMultiLvlLbl val="0"/>
      </c:catAx>
      <c:valAx>
        <c:axId val="165039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Electricity Consumption (kWh/Mg)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5037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181955380577485"/>
          <c:y val="6.6949183435403889E-2"/>
          <c:w val="0.31151377952755938"/>
          <c:h val="0.93305078917051454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'Tables and Figures'!$M$117:$P$117</c:f>
              <c:numCache>
                <c:formatCode>General</c:formatCode>
                <c:ptCount val="4"/>
                <c:pt idx="0">
                  <c:v>6.07</c:v>
                </c:pt>
                <c:pt idx="1">
                  <c:v>4.1500000000000004</c:v>
                </c:pt>
                <c:pt idx="2">
                  <c:v>6.89</c:v>
                </c:pt>
                <c:pt idx="3">
                  <c:v>5.29</c:v>
                </c:pt>
              </c:numCache>
            </c:numRef>
          </c:xVal>
          <c:yVal>
            <c:numRef>
              <c:f>'Tables and Figures'!$M$118:$P$118</c:f>
              <c:numCache>
                <c:formatCode>General</c:formatCode>
                <c:ptCount val="4"/>
                <c:pt idx="0">
                  <c:v>7.2</c:v>
                </c:pt>
                <c:pt idx="1">
                  <c:v>5.8</c:v>
                </c:pt>
                <c:pt idx="2">
                  <c:v>8</c:v>
                </c:pt>
                <c:pt idx="3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04-4695-8175-7CD855F56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6992"/>
        <c:axId val="165078528"/>
      </c:scatterChart>
      <c:valAx>
        <c:axId val="1650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078528"/>
        <c:crosses val="autoZero"/>
        <c:crossBetween val="midCat"/>
      </c:valAx>
      <c:valAx>
        <c:axId val="1650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076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'Tables and Figures'!$K$97</c:f>
              <c:strCache>
                <c:ptCount val="1"/>
                <c:pt idx="0">
                  <c:v>Office Electricity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Figures'!$L$97:$O$97</c:f>
              <c:numCache>
                <c:formatCode>General</c:formatCode>
                <c:ptCount val="4"/>
                <c:pt idx="0">
                  <c:v>0.49746205228777451</c:v>
                </c:pt>
                <c:pt idx="1">
                  <c:v>0.49746205228777451</c:v>
                </c:pt>
                <c:pt idx="2">
                  <c:v>0.49746205228777451</c:v>
                </c:pt>
                <c:pt idx="3">
                  <c:v>0.49746205228777451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6-40F4-957D-A37747F34C18}"/>
            </c:ext>
          </c:extLst>
        </c:ser>
        <c:ser>
          <c:idx val="8"/>
          <c:order val="1"/>
          <c:tx>
            <c:strRef>
              <c:f>'Tables and Figures'!$K$98</c:f>
              <c:strCache>
                <c:ptCount val="1"/>
                <c:pt idx="0">
                  <c:v>Warehouse Lighting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Figures'!$L$98:$O$98</c:f>
              <c:numCache>
                <c:formatCode>General</c:formatCode>
                <c:ptCount val="4"/>
                <c:pt idx="0">
                  <c:v>0.47369889390565789</c:v>
                </c:pt>
                <c:pt idx="1">
                  <c:v>0.47369889390565789</c:v>
                </c:pt>
                <c:pt idx="2">
                  <c:v>0.47369889390565789</c:v>
                </c:pt>
                <c:pt idx="3">
                  <c:v>0.47369889390565789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6-40F4-957D-A37747F34C18}"/>
            </c:ext>
          </c:extLst>
        </c:ser>
        <c:ser>
          <c:idx val="9"/>
          <c:order val="2"/>
          <c:tx>
            <c:strRef>
              <c:f>'Tables and Figures'!$K$99</c:f>
              <c:strCache>
                <c:ptCount val="1"/>
                <c:pt idx="0">
                  <c:v>Other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Figures'!$L$99:$O$99</c:f>
              <c:numCache>
                <c:formatCode>0.00</c:formatCode>
                <c:ptCount val="4"/>
                <c:pt idx="0">
                  <c:v>1.0525799031440479</c:v>
                </c:pt>
                <c:pt idx="1">
                  <c:v>0.98585174814390908</c:v>
                </c:pt>
                <c:pt idx="2">
                  <c:v>1.1069352351154909</c:v>
                </c:pt>
                <c:pt idx="3">
                  <c:v>0.97933569251050279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6-40F4-957D-A37747F34C18}"/>
            </c:ext>
          </c:extLst>
        </c:ser>
        <c:ser>
          <c:idx val="0"/>
          <c:order val="3"/>
          <c:tx>
            <c:strRef>
              <c:f>'Tables and Figures'!$K$87</c:f>
              <c:strCache>
                <c:ptCount val="1"/>
                <c:pt idx="0">
                  <c:v>Disc Screens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>
                  <a:lumMod val="85000"/>
                </a:schemeClr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Figures'!$L$87:$O$87</c:f>
              <c:numCache>
                <c:formatCode>0.00</c:formatCode>
                <c:ptCount val="4"/>
                <c:pt idx="0">
                  <c:v>0.58073053313643541</c:v>
                </c:pt>
                <c:pt idx="1">
                  <c:v>0.47174345463296935</c:v>
                </c:pt>
                <c:pt idx="2">
                  <c:v>0.68175903785113112</c:v>
                </c:pt>
                <c:pt idx="3">
                  <c:v>0.48374205744917292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F6-40F4-957D-A37747F34C18}"/>
            </c:ext>
          </c:extLst>
        </c:ser>
        <c:ser>
          <c:idx val="1"/>
          <c:order val="4"/>
          <c:tx>
            <c:strRef>
              <c:f>'Tables and Figures'!$K$88</c:f>
              <c:strCache>
                <c:ptCount val="1"/>
                <c:pt idx="0">
                  <c:v>Manual Sorts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Figures'!$L$88:$O$88</c:f>
              <c:numCache>
                <c:formatCode>0.00</c:formatCode>
                <c:ptCount val="4"/>
                <c:pt idx="0">
                  <c:v>0.10961419404963772</c:v>
                </c:pt>
                <c:pt idx="1">
                  <c:v>0.10909269760742642</c:v>
                </c:pt>
                <c:pt idx="2">
                  <c:v>0.11682719489349197</c:v>
                </c:pt>
                <c:pt idx="3">
                  <c:v>9.8253933118869666E-2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F6-40F4-957D-A37747F34C18}"/>
            </c:ext>
          </c:extLst>
        </c:ser>
        <c:ser>
          <c:idx val="2"/>
          <c:order val="5"/>
          <c:tx>
            <c:strRef>
              <c:f>'Tables and Figures'!$K$89</c:f>
              <c:strCache>
                <c:ptCount val="1"/>
                <c:pt idx="0">
                  <c:v>Balers</c:v>
                </c:pt>
              </c:strCache>
            </c:strRef>
          </c:tx>
          <c:spPr>
            <a:pattFill prst="ltHorz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Figures'!$L$89:$O$89</c:f>
              <c:numCache>
                <c:formatCode>0.00</c:formatCode>
                <c:ptCount val="4"/>
                <c:pt idx="0">
                  <c:v>0.47789262302232893</c:v>
                </c:pt>
                <c:pt idx="1">
                  <c:v>0.59902874700814934</c:v>
                </c:pt>
                <c:pt idx="2">
                  <c:v>0.54865119089094261</c:v>
                </c:pt>
                <c:pt idx="3">
                  <c:v>0.59504711685827005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F6-40F4-957D-A37747F34C18}"/>
            </c:ext>
          </c:extLst>
        </c:ser>
        <c:ser>
          <c:idx val="3"/>
          <c:order val="6"/>
          <c:tx>
            <c:strRef>
              <c:f>'Tables and Figures'!$K$90</c:f>
              <c:strCache>
                <c:ptCount val="1"/>
                <c:pt idx="0">
                  <c:v>Glass Breaker Screen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Figures'!$L$90:$O$90</c:f>
              <c:numCache>
                <c:formatCode>0.00</c:formatCode>
                <c:ptCount val="4"/>
                <c:pt idx="0">
                  <c:v>0.63665367764599545</c:v>
                </c:pt>
                <c:pt idx="1">
                  <c:v>0.34226542292417217</c:v>
                </c:pt>
                <c:pt idx="2">
                  <c:v>0.82042041144926736</c:v>
                </c:pt>
                <c:pt idx="3">
                  <c:v>0.53117657388232753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F6-40F4-957D-A37747F34C18}"/>
            </c:ext>
          </c:extLst>
        </c:ser>
        <c:ser>
          <c:idx val="4"/>
          <c:order val="7"/>
          <c:tx>
            <c:strRef>
              <c:f>'Tables and Figures'!$K$91</c:f>
              <c:strCache>
                <c:ptCount val="1"/>
                <c:pt idx="0">
                  <c:v>Glass Optical Sorter/Air Knife</c:v>
                </c:pt>
              </c:strCache>
            </c:strRef>
          </c:tx>
          <c:spPr>
            <a:pattFill prst="pct10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Figures'!$L$91:$O$91</c:f>
              <c:numCache>
                <c:formatCode>0.00</c:formatCode>
                <c:ptCount val="4"/>
                <c:pt idx="0">
                  <c:v>1.711078900277591</c:v>
                </c:pt>
                <c:pt idx="1">
                  <c:v>0.1331929842119024</c:v>
                </c:pt>
                <c:pt idx="2">
                  <c:v>2.0625618660936751</c:v>
                </c:pt>
                <c:pt idx="3">
                  <c:v>1.23491565994047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F6-40F4-957D-A37747F34C18}"/>
            </c:ext>
          </c:extLst>
        </c:ser>
        <c:ser>
          <c:idx val="5"/>
          <c:order val="8"/>
          <c:tx>
            <c:strRef>
              <c:f>'Tables and Figures'!$K$92</c:f>
              <c:strCache>
                <c:ptCount val="1"/>
                <c:pt idx="0">
                  <c:v>Plastic Optical Sorters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Figures'!$L$92:$O$92</c:f>
              <c:numCache>
                <c:formatCode>0.00</c:formatCode>
                <c:ptCount val="4"/>
                <c:pt idx="0">
                  <c:v>0.42741735140645748</c:v>
                </c:pt>
                <c:pt idx="1">
                  <c:v>0.44847316520038455</c:v>
                </c:pt>
                <c:pt idx="2">
                  <c:v>0.54277500632637787</c:v>
                </c:pt>
                <c:pt idx="3">
                  <c:v>0.37216610420935642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F6-40F4-957D-A37747F34C18}"/>
            </c:ext>
          </c:extLst>
        </c:ser>
        <c:ser>
          <c:idx val="6"/>
          <c:order val="9"/>
          <c:tx>
            <c:strRef>
              <c:f>'Tables and Figures'!$K$93</c:f>
              <c:strCache>
                <c:ptCount val="1"/>
                <c:pt idx="0">
                  <c:v>Eddy Current Separator/Magnet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Figures'!$L$93:$O$93</c:f>
              <c:numCache>
                <c:formatCode>0.00</c:formatCode>
                <c:ptCount val="4"/>
                <c:pt idx="0">
                  <c:v>0.18745345090919222</c:v>
                </c:pt>
                <c:pt idx="1">
                  <c:v>0.17757493850443312</c:v>
                </c:pt>
                <c:pt idx="2">
                  <c:v>0.12874210059499921</c:v>
                </c:pt>
                <c:pt idx="3">
                  <c:v>0.11314424842790856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F6-40F4-957D-A37747F34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86464"/>
        <c:axId val="177488256"/>
      </c:barChart>
      <c:catAx>
        <c:axId val="17748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88256"/>
        <c:crosses val="autoZero"/>
        <c:auto val="1"/>
        <c:lblAlgn val="ctr"/>
        <c:lblOffset val="100"/>
        <c:noMultiLvlLbl val="0"/>
      </c:catAx>
      <c:valAx>
        <c:axId val="177488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Electricity Consumption (kWh/Mg)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486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835538015423291"/>
          <c:y val="1.559124866861108E-2"/>
          <c:w val="0.29713686818405338"/>
          <c:h val="0.93305073462805721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122</xdr:row>
      <xdr:rowOff>138112</xdr:rowOff>
    </xdr:from>
    <xdr:to>
      <xdr:col>8</xdr:col>
      <xdr:colOff>390525</xdr:colOff>
      <xdr:row>137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100</xdr:row>
      <xdr:rowOff>80962</xdr:rowOff>
    </xdr:from>
    <xdr:to>
      <xdr:col>14</xdr:col>
      <xdr:colOff>342899</xdr:colOff>
      <xdr:row>114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104775</xdr:colOff>
      <xdr:row>118</xdr:row>
      <xdr:rowOff>100012</xdr:rowOff>
    </xdr:from>
    <xdr:to>
      <xdr:col>19</xdr:col>
      <xdr:colOff>409575</xdr:colOff>
      <xdr:row>132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276225</xdr:colOff>
      <xdr:row>96</xdr:row>
      <xdr:rowOff>161925</xdr:rowOff>
    </xdr:from>
    <xdr:to>
      <xdr:col>21</xdr:col>
      <xdr:colOff>504824</xdr:colOff>
      <xdr:row>110</xdr:row>
      <xdr:rowOff>700088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meGrad2021\AppData\Local\Microsoft\Windows\INetCache\Content.Outlook\PYLRZL5B\SWMCommon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Inputs"/>
      <sheetName val="CDM"/>
      <sheetName val="Economics"/>
      <sheetName val="Electricity"/>
      <sheetName val="Fuel Data"/>
      <sheetName val="Impact Factors"/>
      <sheetName val="Material Properties"/>
      <sheetName val="MRF Inputs"/>
      <sheetName val="Projections"/>
      <sheetName val="Soil Amendment"/>
      <sheetName val="Trans&amp;Equip"/>
      <sheetName val="Units &amp; Conversion"/>
      <sheetName val="WWT"/>
      <sheetName val="Change Log"/>
      <sheetName val="SWMCommonData"/>
    </sheetNames>
    <definedNames>
      <definedName name="dsleq_ef" refersTo="='Trans&amp;Equip'!$AB$9:$AB$94"/>
      <definedName name="n_tot" refersTo="='Electricity'!$S$282:$S$367"/>
      <definedName name="offElec" refersTo="='MRF Inputs'!$D$2"/>
      <definedName name="r_tot" refersTo="='Electricity'!$T$282:$T$367"/>
      <definedName name="wasteStreams" refersTo="='Material Properties'!$B$6:$B$50"/>
      <definedName name="whElec" refersTo="='MRF Inputs'!$D$3"/>
    </definedNames>
    <sheetDataSet>
      <sheetData sheetId="0"/>
      <sheetData sheetId="1"/>
      <sheetData sheetId="2"/>
      <sheetData sheetId="3">
        <row r="282">
          <cell r="S282">
            <v>0.71128322855099291</v>
          </cell>
          <cell r="T282">
            <v>0.8591946260178378</v>
          </cell>
        </row>
        <row r="283">
          <cell r="S283">
            <v>9.2783474165967182E-3</v>
          </cell>
          <cell r="T283">
            <v>8.2591432323743266E-4</v>
          </cell>
        </row>
        <row r="284">
          <cell r="S284">
            <v>9.0936005598849642E-7</v>
          </cell>
          <cell r="T284">
            <v>1.0749266857708663E-6</v>
          </cell>
        </row>
        <row r="285">
          <cell r="S285">
            <v>1.6517244020527891E-3</v>
          </cell>
          <cell r="T285">
            <v>2.6516342803667085E-3</v>
          </cell>
        </row>
        <row r="286">
          <cell r="S286">
            <v>5.6293717751668821E-7</v>
          </cell>
          <cell r="T286">
            <v>0</v>
          </cell>
        </row>
        <row r="287">
          <cell r="S287">
            <v>9.7454394955616652E-5</v>
          </cell>
          <cell r="T287">
            <v>7.4167092409603065E-5</v>
          </cell>
        </row>
        <row r="288">
          <cell r="S288">
            <v>5.0529173815081407E-4</v>
          </cell>
          <cell r="T288">
            <v>3.2206818590680851E-4</v>
          </cell>
        </row>
        <row r="289">
          <cell r="S289">
            <v>3.8575473417015878E-4</v>
          </cell>
          <cell r="T289">
            <v>2.2854016866244957E-4</v>
          </cell>
        </row>
        <row r="290">
          <cell r="S290">
            <v>0</v>
          </cell>
          <cell r="T290">
            <v>0</v>
          </cell>
        </row>
        <row r="291">
          <cell r="S291">
            <v>1.613690420838181E-3</v>
          </cell>
          <cell r="T291">
            <v>1.4788816087540951E-3</v>
          </cell>
        </row>
        <row r="292">
          <cell r="S292">
            <v>8.7039364160298953E-5</v>
          </cell>
          <cell r="T292">
            <v>1.5014482006081592E-4</v>
          </cell>
        </row>
        <row r="293">
          <cell r="S293">
            <v>5.1498422911580768E-3</v>
          </cell>
          <cell r="T293">
            <v>5.5877457807073259E-3</v>
          </cell>
        </row>
        <row r="294">
          <cell r="S294">
            <v>8.9557097242118637E-4</v>
          </cell>
          <cell r="T294">
            <v>1.4677036931031659E-3</v>
          </cell>
        </row>
        <row r="295">
          <cell r="S295">
            <v>7.8776112987307119E-7</v>
          </cell>
          <cell r="T295">
            <v>1.6689919122765646E-6</v>
          </cell>
        </row>
        <row r="296">
          <cell r="S296">
            <v>3.3424117159620565E-7</v>
          </cell>
          <cell r="T296">
            <v>1.8360900895666735E-7</v>
          </cell>
        </row>
        <row r="297">
          <cell r="S297">
            <v>6.6686988670423096E-5</v>
          </cell>
          <cell r="T297">
            <v>4.3612802477406284E-5</v>
          </cell>
        </row>
        <row r="298">
          <cell r="S298">
            <v>3.0356645840459601E-7</v>
          </cell>
          <cell r="T298">
            <v>2.8132997481791683E-7</v>
          </cell>
        </row>
        <row r="299">
          <cell r="S299">
            <v>1.4106221909244476E-5</v>
          </cell>
          <cell r="T299">
            <v>1.7919337812360932E-5</v>
          </cell>
        </row>
        <row r="300">
          <cell r="S300">
            <v>7.3626322066834503E-9</v>
          </cell>
          <cell r="T300">
            <v>5.0805368264897748E-9</v>
          </cell>
        </row>
        <row r="301">
          <cell r="S301">
            <v>1.9270336343503093E-10</v>
          </cell>
          <cell r="T301">
            <v>1.9133068840126075E-10</v>
          </cell>
        </row>
        <row r="302">
          <cell r="S302">
            <v>1.6228340202419673E-8</v>
          </cell>
          <cell r="T302">
            <v>1.6727020575789643E-8</v>
          </cell>
        </row>
        <row r="303">
          <cell r="S303">
            <v>3.8149892086613049E-8</v>
          </cell>
          <cell r="T303">
            <v>5.4378099297373654E-8</v>
          </cell>
        </row>
        <row r="304">
          <cell r="S304">
            <v>1.8319991829292289E-9</v>
          </cell>
          <cell r="T304">
            <v>9.3918081745786986E-10</v>
          </cell>
        </row>
        <row r="305">
          <cell r="S305">
            <v>4.0456916421054664E-9</v>
          </cell>
          <cell r="T305">
            <v>2.6179983896906666E-9</v>
          </cell>
        </row>
        <row r="306">
          <cell r="S306">
            <v>0</v>
          </cell>
          <cell r="T306">
            <v>0</v>
          </cell>
        </row>
        <row r="307">
          <cell r="S307">
            <v>8.2411140618376959E-6</v>
          </cell>
          <cell r="T307">
            <v>2.0686013179806508E-5</v>
          </cell>
        </row>
        <row r="308">
          <cell r="S308">
            <v>4.7990461204560744E-6</v>
          </cell>
          <cell r="T308">
            <v>1.2063963388715404E-5</v>
          </cell>
        </row>
        <row r="309">
          <cell r="S309">
            <v>6.4442793827230399E-7</v>
          </cell>
          <cell r="T309">
            <v>1.6037981715146922E-6</v>
          </cell>
        </row>
        <row r="310">
          <cell r="S310">
            <v>7.2820785401267278E-12</v>
          </cell>
          <cell r="T310">
            <v>7.2277129095050033E-12</v>
          </cell>
        </row>
        <row r="311">
          <cell r="S311">
            <v>0</v>
          </cell>
          <cell r="T311">
            <v>0</v>
          </cell>
        </row>
        <row r="312">
          <cell r="S312">
            <v>0</v>
          </cell>
          <cell r="T312">
            <v>0</v>
          </cell>
        </row>
        <row r="313">
          <cell r="S313">
            <v>0</v>
          </cell>
          <cell r="T313">
            <v>0</v>
          </cell>
        </row>
        <row r="314">
          <cell r="S314">
            <v>0</v>
          </cell>
          <cell r="T314">
            <v>0</v>
          </cell>
        </row>
        <row r="315">
          <cell r="S315">
            <v>0</v>
          </cell>
          <cell r="T315">
            <v>0</v>
          </cell>
        </row>
        <row r="316">
          <cell r="S316">
            <v>0</v>
          </cell>
          <cell r="T316">
            <v>0</v>
          </cell>
        </row>
        <row r="317">
          <cell r="S317">
            <v>0</v>
          </cell>
          <cell r="T317">
            <v>0</v>
          </cell>
        </row>
        <row r="318">
          <cell r="S318">
            <v>0</v>
          </cell>
          <cell r="T318">
            <v>0</v>
          </cell>
        </row>
        <row r="319">
          <cell r="S319">
            <v>0</v>
          </cell>
          <cell r="T319">
            <v>0</v>
          </cell>
        </row>
        <row r="320">
          <cell r="S320">
            <v>0</v>
          </cell>
          <cell r="T320">
            <v>0</v>
          </cell>
        </row>
        <row r="321">
          <cell r="S321">
            <v>0</v>
          </cell>
          <cell r="T321">
            <v>0</v>
          </cell>
        </row>
        <row r="322">
          <cell r="S322">
            <v>1.3317351422089625E-2</v>
          </cell>
          <cell r="T322">
            <v>3.7645262867423868E-2</v>
          </cell>
        </row>
        <row r="323">
          <cell r="S323">
            <v>4.0745422686101225E-4</v>
          </cell>
          <cell r="T323">
            <v>1.0971020904517656E-3</v>
          </cell>
        </row>
        <row r="324">
          <cell r="S324">
            <v>1.3545705854473965E-4</v>
          </cell>
          <cell r="T324">
            <v>2.1664364213275805E-4</v>
          </cell>
        </row>
        <row r="325">
          <cell r="S325">
            <v>0</v>
          </cell>
          <cell r="T325">
            <v>0</v>
          </cell>
        </row>
        <row r="326">
          <cell r="S326">
            <v>0</v>
          </cell>
          <cell r="T326">
            <v>0</v>
          </cell>
        </row>
        <row r="327">
          <cell r="S327">
            <v>8.568005086867267E-5</v>
          </cell>
          <cell r="T327">
            <v>1.213019692154284E-4</v>
          </cell>
        </row>
        <row r="328">
          <cell r="S328">
            <v>4.6637308641229079E-6</v>
          </cell>
          <cell r="T328">
            <v>1.3444792379340346E-5</v>
          </cell>
        </row>
        <row r="329">
          <cell r="S329">
            <v>3.7051576893136483E-7</v>
          </cell>
          <cell r="T329">
            <v>3.8821589207678363E-7</v>
          </cell>
        </row>
        <row r="330">
          <cell r="S330">
            <v>3.0092815841015421E-8</v>
          </cell>
          <cell r="T330">
            <v>4.3739230756217151E-8</v>
          </cell>
        </row>
        <row r="331">
          <cell r="S331">
            <v>1.0540313774743085E-7</v>
          </cell>
          <cell r="T331">
            <v>2.2601989213822552E-7</v>
          </cell>
        </row>
        <row r="332">
          <cell r="S332">
            <v>5.4965182045484025E-10</v>
          </cell>
          <cell r="T332">
            <v>6.736144541390727E-10</v>
          </cell>
        </row>
        <row r="333">
          <cell r="S333">
            <v>0</v>
          </cell>
          <cell r="T333">
            <v>0</v>
          </cell>
        </row>
        <row r="334">
          <cell r="S334">
            <v>4.5778732002257289E-7</v>
          </cell>
          <cell r="T334">
            <v>3.3595163533853905E-7</v>
          </cell>
        </row>
        <row r="335">
          <cell r="S335">
            <v>2.6389093911723834E-7</v>
          </cell>
          <cell r="T335">
            <v>9.0069367199419309E-7</v>
          </cell>
        </row>
        <row r="336">
          <cell r="S336">
            <v>1.5462976193601959E-7</v>
          </cell>
          <cell r="T336">
            <v>3.6367220588751025E-7</v>
          </cell>
        </row>
        <row r="337">
          <cell r="S337">
            <v>8.7071049443520017E-7</v>
          </cell>
          <cell r="T337">
            <v>1.2441926962117712E-6</v>
          </cell>
        </row>
        <row r="338">
          <cell r="S338">
            <v>1.3709945890618032E-4</v>
          </cell>
          <cell r="T338">
            <v>4.5908076205489987E-4</v>
          </cell>
        </row>
        <row r="339">
          <cell r="S339">
            <v>6.2650301910096876E-7</v>
          </cell>
          <cell r="T339">
            <v>1.771467382035145E-6</v>
          </cell>
        </row>
        <row r="340">
          <cell r="S340">
            <v>0</v>
          </cell>
          <cell r="T340">
            <v>0</v>
          </cell>
        </row>
        <row r="341">
          <cell r="S341">
            <v>5.0134539353779349E-7</v>
          </cell>
          <cell r="T341">
            <v>1.4172582850935746E-6</v>
          </cell>
        </row>
        <row r="342">
          <cell r="S342">
            <v>0</v>
          </cell>
          <cell r="T342">
            <v>0</v>
          </cell>
        </row>
        <row r="343">
          <cell r="S343">
            <v>0</v>
          </cell>
          <cell r="T343">
            <v>0</v>
          </cell>
        </row>
        <row r="344">
          <cell r="S344">
            <v>0</v>
          </cell>
          <cell r="T344">
            <v>0</v>
          </cell>
        </row>
        <row r="345">
          <cell r="S345">
            <v>0</v>
          </cell>
          <cell r="T345">
            <v>0</v>
          </cell>
        </row>
        <row r="346">
          <cell r="S346">
            <v>0</v>
          </cell>
          <cell r="T346">
            <v>0</v>
          </cell>
        </row>
        <row r="347">
          <cell r="S347">
            <v>0</v>
          </cell>
          <cell r="T347">
            <v>0</v>
          </cell>
        </row>
        <row r="348">
          <cell r="S348">
            <v>0</v>
          </cell>
          <cell r="T348">
            <v>0</v>
          </cell>
        </row>
        <row r="349">
          <cell r="S349">
            <v>4.7365889014245111E-7</v>
          </cell>
          <cell r="T349">
            <v>1.3389910329594184E-6</v>
          </cell>
        </row>
        <row r="350">
          <cell r="S350">
            <v>2.5180246280325458E-7</v>
          </cell>
          <cell r="T350">
            <v>7.1157725101595223E-7</v>
          </cell>
        </row>
        <row r="351">
          <cell r="S351">
            <v>2.8201545887513807E-8</v>
          </cell>
          <cell r="T351">
            <v>7.9723230883765066E-8</v>
          </cell>
        </row>
        <row r="352">
          <cell r="S352">
            <v>6.0116151757383919E-8</v>
          </cell>
          <cell r="T352">
            <v>1.6978967219330995E-7</v>
          </cell>
        </row>
        <row r="353">
          <cell r="S353">
            <v>0</v>
          </cell>
          <cell r="T353">
            <v>0</v>
          </cell>
        </row>
        <row r="354">
          <cell r="S354">
            <v>0</v>
          </cell>
          <cell r="T354">
            <v>0</v>
          </cell>
        </row>
        <row r="355">
          <cell r="S355">
            <v>0</v>
          </cell>
          <cell r="T355">
            <v>0</v>
          </cell>
        </row>
        <row r="356">
          <cell r="S356">
            <v>0</v>
          </cell>
          <cell r="T356">
            <v>0</v>
          </cell>
        </row>
        <row r="357">
          <cell r="S357">
            <v>0</v>
          </cell>
          <cell r="T357">
            <v>0</v>
          </cell>
        </row>
        <row r="358">
          <cell r="S358">
            <v>0</v>
          </cell>
          <cell r="T358">
            <v>0</v>
          </cell>
        </row>
        <row r="359">
          <cell r="S359">
            <v>0</v>
          </cell>
          <cell r="T359">
            <v>0</v>
          </cell>
        </row>
        <row r="360">
          <cell r="S360">
            <v>0</v>
          </cell>
          <cell r="T360">
            <v>0</v>
          </cell>
        </row>
        <row r="361">
          <cell r="S361">
            <v>0</v>
          </cell>
          <cell r="T361">
            <v>0</v>
          </cell>
        </row>
        <row r="362">
          <cell r="S362">
            <v>0</v>
          </cell>
          <cell r="T362">
            <v>0</v>
          </cell>
        </row>
        <row r="363">
          <cell r="S363">
            <v>5.8674251737605196</v>
          </cell>
          <cell r="T363">
            <v>3.1768143529943429</v>
          </cell>
        </row>
        <row r="364">
          <cell r="S364">
            <v>2.5794352189891137</v>
          </cell>
          <cell r="T364">
            <v>6.4565133745905552</v>
          </cell>
        </row>
        <row r="365">
          <cell r="S365">
            <v>2.2998067383537886</v>
          </cell>
          <cell r="T365">
            <v>1.6930311529249205</v>
          </cell>
        </row>
        <row r="366">
          <cell r="S366">
            <v>0.44476893516639621</v>
          </cell>
          <cell r="T366">
            <v>0.29018569404045103</v>
          </cell>
        </row>
        <row r="367">
          <cell r="S367">
            <v>11.224667532840071</v>
          </cell>
          <cell r="T367">
            <v>11.649442430596107</v>
          </cell>
        </row>
      </sheetData>
      <sheetData sheetId="4"/>
      <sheetData sheetId="5"/>
      <sheetData sheetId="6">
        <row r="6">
          <cell r="B6" t="str">
            <v>Yard Trimmings, Leaves</v>
          </cell>
        </row>
        <row r="7">
          <cell r="B7" t="str">
            <v>Yard Trimmings, Grass</v>
          </cell>
        </row>
        <row r="8">
          <cell r="B8" t="str">
            <v>Yard Trimmings, Branches</v>
          </cell>
        </row>
        <row r="9">
          <cell r="B9" t="str">
            <v>Food Waste - Vegetable</v>
          </cell>
        </row>
        <row r="10">
          <cell r="B10" t="str">
            <v>Food Waste - Non-Vegetable</v>
          </cell>
        </row>
        <row r="11">
          <cell r="B11" t="str">
            <v>Wood</v>
          </cell>
        </row>
        <row r="12">
          <cell r="B12" t="str">
            <v>Wood Other</v>
          </cell>
        </row>
        <row r="13">
          <cell r="B13" t="str">
            <v>Textiles</v>
          </cell>
        </row>
        <row r="14">
          <cell r="B14" t="str">
            <v>Rubber/Leather</v>
          </cell>
        </row>
        <row r="15">
          <cell r="B15" t="str">
            <v>Newsprint</v>
          </cell>
        </row>
        <row r="16">
          <cell r="B16" t="str">
            <v>Corr. Cardboard</v>
          </cell>
        </row>
        <row r="17">
          <cell r="B17" t="str">
            <v>Office Paper</v>
          </cell>
        </row>
        <row r="18">
          <cell r="B18" t="str">
            <v xml:space="preserve">Magazines </v>
          </cell>
        </row>
        <row r="19">
          <cell r="B19" t="str">
            <v>3rd Class Mail</v>
          </cell>
        </row>
        <row r="20">
          <cell r="B20" t="str">
            <v>Folding Containers</v>
          </cell>
        </row>
        <row r="21">
          <cell r="B21" t="str">
            <v xml:space="preserve">Paper Bags </v>
          </cell>
        </row>
        <row r="22">
          <cell r="B22" t="str">
            <v>Mixed Paper</v>
          </cell>
        </row>
        <row r="23">
          <cell r="B23" t="str">
            <v>Paper - Non-recyclable</v>
          </cell>
        </row>
        <row r="24">
          <cell r="B24" t="str">
            <v>HDPE - Translucent Containers</v>
          </cell>
        </row>
        <row r="25">
          <cell r="B25" t="str">
            <v>HDPE - Pigmented Containers</v>
          </cell>
        </row>
        <row r="26">
          <cell r="B26" t="str">
            <v>PET - Containers</v>
          </cell>
        </row>
        <row r="27">
          <cell r="B27" t="str">
            <v>Plastic - Other # 1, Polypropylene</v>
          </cell>
        </row>
        <row r="28">
          <cell r="B28" t="str">
            <v>Plastic - Other # 2</v>
          </cell>
        </row>
        <row r="29">
          <cell r="B29" t="str">
            <v>Mixed Plastic</v>
          </cell>
        </row>
        <row r="30">
          <cell r="B30" t="str">
            <v>Plastic Film</v>
          </cell>
        </row>
        <row r="31">
          <cell r="B31" t="str">
            <v xml:space="preserve">Plastic - Non-Recyclable </v>
          </cell>
        </row>
        <row r="32">
          <cell r="B32" t="str">
            <v>Ferrous Cans</v>
          </cell>
        </row>
        <row r="33">
          <cell r="B33" t="str">
            <v>Ferrous Metal - Other</v>
          </cell>
        </row>
        <row r="34">
          <cell r="B34" t="str">
            <v>Aluminum Cans</v>
          </cell>
        </row>
        <row r="35">
          <cell r="B35" t="str">
            <v>Aluminum - Foil</v>
          </cell>
        </row>
        <row r="36">
          <cell r="B36" t="str">
            <v>Aluminum - Other</v>
          </cell>
        </row>
        <row r="37">
          <cell r="B37" t="str">
            <v xml:space="preserve">Ferrous - Non-recyclable </v>
          </cell>
        </row>
        <row r="38">
          <cell r="B38" t="str">
            <v xml:space="preserve">Al - Non-recyclable </v>
          </cell>
        </row>
        <row r="39">
          <cell r="B39" t="str">
            <v>Glass - Brown</v>
          </cell>
        </row>
        <row r="40">
          <cell r="B40" t="str">
            <v>Glass - Green</v>
          </cell>
        </row>
        <row r="41">
          <cell r="B41" t="str">
            <v>Glass - Clear</v>
          </cell>
        </row>
        <row r="42">
          <cell r="B42" t="str">
            <v>Mixed Glass</v>
          </cell>
        </row>
        <row r="43">
          <cell r="B43" t="str">
            <v>Glass - Non-recyclable</v>
          </cell>
        </row>
        <row r="44">
          <cell r="B44" t="str">
            <v>Misc. Organic</v>
          </cell>
        </row>
        <row r="45">
          <cell r="B45" t="str">
            <v>Misc. Inorganic</v>
          </cell>
        </row>
        <row r="46">
          <cell r="B46" t="str">
            <v>E-waste</v>
          </cell>
        </row>
        <row r="47">
          <cell r="B47" t="str">
            <v>Aerobic Organic Residual</v>
          </cell>
        </row>
        <row r="48">
          <cell r="B48" t="str">
            <v>Anaerobic Organic Residual</v>
          </cell>
        </row>
        <row r="49">
          <cell r="B49" t="str">
            <v>Bottom Ash</v>
          </cell>
        </row>
        <row r="50">
          <cell r="B50" t="str">
            <v>Fly Ash</v>
          </cell>
        </row>
      </sheetData>
      <sheetData sheetId="7">
        <row r="2">
          <cell r="D2">
            <v>0.51019655838506572</v>
          </cell>
        </row>
        <row r="3">
          <cell r="D3">
            <v>2.0242712004364689E-2</v>
          </cell>
        </row>
      </sheetData>
      <sheetData sheetId="8"/>
      <sheetData sheetId="9"/>
      <sheetData sheetId="10">
        <row r="9">
          <cell r="AB9">
            <v>3.0913802273204758</v>
          </cell>
        </row>
        <row r="10">
          <cell r="AB10">
            <v>2.7372239374785015E-3</v>
          </cell>
        </row>
        <row r="11">
          <cell r="AB11">
            <v>0</v>
          </cell>
        </row>
        <row r="12">
          <cell r="AB12">
            <v>4.3200339561599724E-3</v>
          </cell>
        </row>
        <row r="13">
          <cell r="AB13">
            <v>0</v>
          </cell>
        </row>
        <row r="14">
          <cell r="AB14">
            <v>7.5056777656821162E-5</v>
          </cell>
        </row>
        <row r="15">
          <cell r="AB15">
            <v>4.1480629514915966E-3</v>
          </cell>
        </row>
        <row r="16">
          <cell r="AB16">
            <v>1.72725007789618E-3</v>
          </cell>
        </row>
        <row r="17">
          <cell r="AB17">
            <v>0</v>
          </cell>
        </row>
        <row r="18">
          <cell r="AB18">
            <v>5.581444632870268E-2</v>
          </cell>
        </row>
        <row r="19">
          <cell r="AB19">
            <v>1.4707712456056535E-3</v>
          </cell>
        </row>
        <row r="20">
          <cell r="AB20">
            <v>2.2732400050266086E-3</v>
          </cell>
        </row>
        <row r="21">
          <cell r="AB21">
            <v>2.6689476603453721E-2</v>
          </cell>
        </row>
        <row r="22">
          <cell r="AB22">
            <v>1.9328842131689122E-5</v>
          </cell>
        </row>
        <row r="23">
          <cell r="AB23">
            <v>1.6158012589516848E-8</v>
          </cell>
        </row>
        <row r="24">
          <cell r="AB24">
            <v>3.0300280951994021E-5</v>
          </cell>
        </row>
        <row r="25">
          <cell r="AB25">
            <v>2.6570992677113928E-9</v>
          </cell>
        </row>
        <row r="26">
          <cell r="AB26">
            <v>1.9560556952100232E-5</v>
          </cell>
        </row>
        <row r="27">
          <cell r="AB27">
            <v>7.2506131788610365E-13</v>
          </cell>
        </row>
        <row r="28">
          <cell r="AB28">
            <v>6.4239179060419506E-10</v>
          </cell>
        </row>
        <row r="29">
          <cell r="AB29">
            <v>4.9156699517701941E-13</v>
          </cell>
        </row>
        <row r="30">
          <cell r="AB30">
            <v>2.780965877469039E-8</v>
          </cell>
        </row>
        <row r="31">
          <cell r="AB31">
            <v>0</v>
          </cell>
        </row>
        <row r="32">
          <cell r="AB32">
            <v>0</v>
          </cell>
        </row>
        <row r="33">
          <cell r="AB33">
            <v>0</v>
          </cell>
        </row>
        <row r="34">
          <cell r="AB34">
            <v>1.2901282050675898E-5</v>
          </cell>
        </row>
        <row r="35">
          <cell r="AB35">
            <v>8.2999320619952113E-6</v>
          </cell>
        </row>
        <row r="36">
          <cell r="AB36">
            <v>4.7188941068085763E-7</v>
          </cell>
        </row>
        <row r="37">
          <cell r="AB37">
            <v>2.3615059853795303E-11</v>
          </cell>
        </row>
        <row r="38">
          <cell r="AB38">
            <v>0</v>
          </cell>
        </row>
        <row r="39">
          <cell r="AB39">
            <v>0</v>
          </cell>
        </row>
        <row r="40">
          <cell r="AB40">
            <v>0</v>
          </cell>
        </row>
        <row r="41">
          <cell r="AB41">
            <v>0</v>
          </cell>
        </row>
        <row r="42">
          <cell r="AB42">
            <v>0</v>
          </cell>
        </row>
        <row r="43">
          <cell r="AB43">
            <v>0</v>
          </cell>
        </row>
        <row r="44">
          <cell r="AB44">
            <v>0</v>
          </cell>
        </row>
        <row r="45">
          <cell r="AB45">
            <v>0</v>
          </cell>
        </row>
        <row r="46">
          <cell r="AB46">
            <v>0</v>
          </cell>
        </row>
        <row r="47">
          <cell r="AB47">
            <v>0</v>
          </cell>
        </row>
        <row r="48">
          <cell r="AB48">
            <v>0</v>
          </cell>
        </row>
        <row r="49">
          <cell r="AB49">
            <v>0.15871121741057345</v>
          </cell>
        </row>
        <row r="50">
          <cell r="AB50">
            <v>9.4381332350018995E-3</v>
          </cell>
        </row>
        <row r="51">
          <cell r="AB51">
            <v>9.0007537396582902E-5</v>
          </cell>
        </row>
        <row r="52">
          <cell r="AB52">
            <v>0</v>
          </cell>
        </row>
        <row r="53">
          <cell r="AB53">
            <v>0</v>
          </cell>
        </row>
        <row r="54">
          <cell r="AB54">
            <v>6.1218841329812158E-4</v>
          </cell>
        </row>
        <row r="55">
          <cell r="AB55">
            <v>6.4972178796407652E-5</v>
          </cell>
        </row>
        <row r="56">
          <cell r="AB56">
            <v>1.0038433672451323E-6</v>
          </cell>
        </row>
        <row r="57">
          <cell r="AB57">
            <v>1.4415884221196149E-7</v>
          </cell>
        </row>
        <row r="58">
          <cell r="AB58">
            <v>9.7604754439187126E-7</v>
          </cell>
        </row>
        <row r="59">
          <cell r="AB59">
            <v>3.3629531579509436E-9</v>
          </cell>
        </row>
        <row r="60">
          <cell r="AB60">
            <v>0</v>
          </cell>
        </row>
        <row r="61">
          <cell r="AB61">
            <v>4.2497522731332939E-8</v>
          </cell>
        </row>
        <row r="62">
          <cell r="AB62">
            <v>8.7033463946463019E-6</v>
          </cell>
        </row>
        <row r="63">
          <cell r="AB63">
            <v>2.0478384136730147E-6</v>
          </cell>
        </row>
        <row r="64">
          <cell r="AB64">
            <v>7.0831632028101365E-6</v>
          </cell>
        </row>
        <row r="65">
          <cell r="AB65">
            <v>4.2034762962894091E-3</v>
          </cell>
        </row>
        <row r="66">
          <cell r="AB66">
            <v>7.4836461811430905E-6</v>
          </cell>
        </row>
        <row r="67">
          <cell r="AB67">
            <v>0</v>
          </cell>
        </row>
        <row r="68">
          <cell r="AB68">
            <v>5.9771331612338389E-6</v>
          </cell>
        </row>
        <row r="69">
          <cell r="AB69">
            <v>0</v>
          </cell>
        </row>
        <row r="70">
          <cell r="AB70">
            <v>0</v>
          </cell>
        </row>
        <row r="71">
          <cell r="AB71">
            <v>0</v>
          </cell>
        </row>
        <row r="72">
          <cell r="AB72">
            <v>0</v>
          </cell>
        </row>
        <row r="73">
          <cell r="AB73">
            <v>0</v>
          </cell>
        </row>
        <row r="74">
          <cell r="AB74">
            <v>0</v>
          </cell>
        </row>
        <row r="75">
          <cell r="AB75">
            <v>0</v>
          </cell>
        </row>
        <row r="76">
          <cell r="AB76">
            <v>5.6470495109281166E-6</v>
          </cell>
        </row>
        <row r="77">
          <cell r="AB77">
            <v>2.9932118222677203E-6</v>
          </cell>
        </row>
        <row r="78">
          <cell r="AB78">
            <v>3.3622408282805826E-7</v>
          </cell>
        </row>
        <row r="79">
          <cell r="AB79">
            <v>7.1120984899118218E-7</v>
          </cell>
        </row>
        <row r="80">
          <cell r="AB80">
            <v>0</v>
          </cell>
        </row>
        <row r="81">
          <cell r="AB81">
            <v>0</v>
          </cell>
        </row>
        <row r="82">
          <cell r="AB82">
            <v>0</v>
          </cell>
        </row>
        <row r="83">
          <cell r="AB83">
            <v>0</v>
          </cell>
        </row>
        <row r="84">
          <cell r="AB84">
            <v>0</v>
          </cell>
        </row>
        <row r="85">
          <cell r="AB85">
            <v>0</v>
          </cell>
        </row>
        <row r="86">
          <cell r="AB86">
            <v>0</v>
          </cell>
        </row>
        <row r="87">
          <cell r="AB87">
            <v>0</v>
          </cell>
        </row>
        <row r="88">
          <cell r="AB88">
            <v>0</v>
          </cell>
        </row>
        <row r="89">
          <cell r="AB89">
            <v>0</v>
          </cell>
        </row>
        <row r="90">
          <cell r="AB90">
            <v>1.1013870680808722</v>
          </cell>
        </row>
        <row r="91">
          <cell r="AB91">
            <v>2.1354742062834275</v>
          </cell>
        </row>
        <row r="92">
          <cell r="AB92">
            <v>0.28349313210891125</v>
          </cell>
        </row>
        <row r="93">
          <cell r="AB93">
            <v>21.173938117885751</v>
          </cell>
        </row>
        <row r="94">
          <cell r="AB94">
            <v>41.904242389941842</v>
          </cell>
        </row>
      </sheetData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191C-D844-4963-9B0E-4A67B4CC0D03}">
  <dimension ref="A1:H43"/>
  <sheetViews>
    <sheetView tabSelected="1" workbookViewId="0">
      <selection activeCell="A16" sqref="A16"/>
    </sheetView>
  </sheetViews>
  <sheetFormatPr defaultRowHeight="14.5" x14ac:dyDescent="0.35"/>
  <cols>
    <col min="1" max="1" width="42" bestFit="1" customWidth="1"/>
    <col min="7" max="7" width="29.54296875" bestFit="1" customWidth="1"/>
  </cols>
  <sheetData>
    <row r="1" spans="1:8" x14ac:dyDescent="0.35">
      <c r="A1" t="s">
        <v>533</v>
      </c>
      <c r="B1" s="348">
        <v>0.05</v>
      </c>
      <c r="G1" t="s">
        <v>534</v>
      </c>
      <c r="H1" s="296" t="s">
        <v>420</v>
      </c>
    </row>
    <row r="2" spans="1:8" x14ac:dyDescent="0.35">
      <c r="G2" t="s">
        <v>388</v>
      </c>
      <c r="H2" s="215">
        <v>9.9999999999999995E-7</v>
      </c>
    </row>
    <row r="3" spans="1:8" x14ac:dyDescent="0.35">
      <c r="G3" t="s">
        <v>389</v>
      </c>
      <c r="H3" s="215">
        <v>9.9999999999999995E-7</v>
      </c>
    </row>
    <row r="4" spans="1:8" x14ac:dyDescent="0.35">
      <c r="A4" s="15" t="s">
        <v>535</v>
      </c>
      <c r="G4" t="s">
        <v>390</v>
      </c>
      <c r="H4" s="215">
        <v>9.9999999999999995E-7</v>
      </c>
    </row>
    <row r="5" spans="1:8" x14ac:dyDescent="0.35">
      <c r="A5" t="s">
        <v>341</v>
      </c>
      <c r="B5" s="32">
        <f>Single.Stream!B245</f>
        <v>4.1922360692781524</v>
      </c>
      <c r="G5" t="s">
        <v>391</v>
      </c>
      <c r="H5" s="215">
        <v>9.9999999999999995E-7</v>
      </c>
    </row>
    <row r="6" spans="1:8" x14ac:dyDescent="0.35">
      <c r="A6" t="s">
        <v>536</v>
      </c>
      <c r="B6" s="32">
        <f>Single.Stream!C245</f>
        <v>0.70000000000000051</v>
      </c>
      <c r="G6" t="s">
        <v>392</v>
      </c>
      <c r="H6" s="215">
        <v>9.9999999999999995E-7</v>
      </c>
    </row>
    <row r="7" spans="1:8" x14ac:dyDescent="0.35">
      <c r="A7" t="s">
        <v>537</v>
      </c>
      <c r="B7" s="32">
        <f>Single.Stream!E245</f>
        <v>0.93066578928668631</v>
      </c>
      <c r="G7" t="s">
        <v>393</v>
      </c>
      <c r="H7" s="215">
        <v>9.9999999999999995E-7</v>
      </c>
    </row>
    <row r="8" spans="1:8" x14ac:dyDescent="0.35">
      <c r="A8" t="s">
        <v>530</v>
      </c>
      <c r="B8">
        <f>'SS Material Flow'!B226</f>
        <v>2.1464841796000012</v>
      </c>
      <c r="G8" t="s">
        <v>394</v>
      </c>
      <c r="H8" s="215">
        <v>9.9999999999999995E-7</v>
      </c>
    </row>
    <row r="9" spans="1:8" x14ac:dyDescent="0.35">
      <c r="A9" t="s">
        <v>538</v>
      </c>
      <c r="B9">
        <f>'SS Material Flow'!J279</f>
        <v>228.16718243669001</v>
      </c>
      <c r="G9" t="s">
        <v>395</v>
      </c>
      <c r="H9" s="215">
        <v>9.9999999999999995E-7</v>
      </c>
    </row>
    <row r="10" spans="1:8" x14ac:dyDescent="0.35">
      <c r="G10" t="s">
        <v>396</v>
      </c>
      <c r="H10" s="215">
        <v>9.9999999999999995E-7</v>
      </c>
    </row>
    <row r="11" spans="1:8" x14ac:dyDescent="0.35">
      <c r="G11" t="s">
        <v>217</v>
      </c>
      <c r="H11" s="215">
        <v>13.5</v>
      </c>
    </row>
    <row r="12" spans="1:8" x14ac:dyDescent="0.35">
      <c r="G12" t="s">
        <v>397</v>
      </c>
      <c r="H12" s="215">
        <v>39.799999999999997</v>
      </c>
    </row>
    <row r="13" spans="1:8" x14ac:dyDescent="0.35">
      <c r="G13" t="s">
        <v>218</v>
      </c>
      <c r="H13" s="215">
        <v>7.2</v>
      </c>
    </row>
    <row r="14" spans="1:8" x14ac:dyDescent="0.35">
      <c r="G14" t="s">
        <v>219</v>
      </c>
      <c r="H14" s="215">
        <v>2.2000000000000002</v>
      </c>
    </row>
    <row r="15" spans="1:8" x14ac:dyDescent="0.35">
      <c r="G15" t="s">
        <v>220</v>
      </c>
      <c r="H15" s="215">
        <v>5.9</v>
      </c>
    </row>
    <row r="16" spans="1:8" x14ac:dyDescent="0.35">
      <c r="G16" t="s">
        <v>398</v>
      </c>
      <c r="H16" s="215">
        <v>9.9999999999999995E-7</v>
      </c>
    </row>
    <row r="17" spans="7:8" x14ac:dyDescent="0.35">
      <c r="G17" t="s">
        <v>399</v>
      </c>
      <c r="H17" s="215">
        <v>9.9999999999999995E-7</v>
      </c>
    </row>
    <row r="18" spans="7:8" x14ac:dyDescent="0.35">
      <c r="G18" t="s">
        <v>400</v>
      </c>
      <c r="H18" s="215">
        <v>9.9999999999999995E-7</v>
      </c>
    </row>
    <row r="19" spans="7:8" x14ac:dyDescent="0.35">
      <c r="G19" t="s">
        <v>401</v>
      </c>
      <c r="H19" s="215">
        <v>9.9999999999999995E-7</v>
      </c>
    </row>
    <row r="20" spans="7:8" x14ac:dyDescent="0.35">
      <c r="G20" t="s">
        <v>226</v>
      </c>
      <c r="H20" s="215">
        <v>1.1000000000000001</v>
      </c>
    </row>
    <row r="21" spans="7:8" x14ac:dyDescent="0.35">
      <c r="G21" t="s">
        <v>227</v>
      </c>
      <c r="H21" s="215">
        <v>2</v>
      </c>
    </row>
    <row r="22" spans="7:8" x14ac:dyDescent="0.35">
      <c r="G22" t="s">
        <v>402</v>
      </c>
      <c r="H22" s="215">
        <v>3.7</v>
      </c>
    </row>
    <row r="23" spans="7:8" x14ac:dyDescent="0.35">
      <c r="G23" t="s">
        <v>403</v>
      </c>
      <c r="H23" s="215">
        <v>9.9999999999999995E-7</v>
      </c>
    </row>
    <row r="24" spans="7:8" x14ac:dyDescent="0.35">
      <c r="G24" t="s">
        <v>404</v>
      </c>
      <c r="H24" s="215">
        <v>9.9999999999999995E-7</v>
      </c>
    </row>
    <row r="25" spans="7:8" x14ac:dyDescent="0.35">
      <c r="G25" t="s">
        <v>405</v>
      </c>
      <c r="H25" s="215">
        <v>9.9999999999999995E-7</v>
      </c>
    </row>
    <row r="26" spans="7:8" x14ac:dyDescent="0.35">
      <c r="G26" t="s">
        <v>406</v>
      </c>
      <c r="H26" s="215">
        <v>5.4</v>
      </c>
    </row>
    <row r="27" spans="7:8" x14ac:dyDescent="0.35">
      <c r="G27" t="s">
        <v>407</v>
      </c>
      <c r="H27" s="215">
        <v>9.9999999999999995E-7</v>
      </c>
    </row>
    <row r="28" spans="7:8" x14ac:dyDescent="0.35">
      <c r="G28" t="s">
        <v>408</v>
      </c>
      <c r="H28" s="215">
        <v>3.2</v>
      </c>
    </row>
    <row r="29" spans="7:8" x14ac:dyDescent="0.35">
      <c r="G29" t="s">
        <v>409</v>
      </c>
      <c r="H29" s="215">
        <v>0.6</v>
      </c>
    </row>
    <row r="30" spans="7:8" x14ac:dyDescent="0.35">
      <c r="G30" t="s">
        <v>410</v>
      </c>
      <c r="H30" s="215">
        <v>2</v>
      </c>
    </row>
    <row r="31" spans="7:8" x14ac:dyDescent="0.35">
      <c r="G31" t="s">
        <v>411</v>
      </c>
      <c r="H31" s="215">
        <v>0.6</v>
      </c>
    </row>
    <row r="32" spans="7:8" x14ac:dyDescent="0.35">
      <c r="G32" t="s">
        <v>412</v>
      </c>
      <c r="H32" s="215">
        <v>9.9999999999999995E-7</v>
      </c>
    </row>
    <row r="33" spans="7:8" x14ac:dyDescent="0.35">
      <c r="G33" t="s">
        <v>413</v>
      </c>
      <c r="H33" s="215">
        <v>9.9999999999999995E-7</v>
      </c>
    </row>
    <row r="34" spans="7:8" x14ac:dyDescent="0.35">
      <c r="G34" t="s">
        <v>414</v>
      </c>
      <c r="H34" s="215">
        <v>9.9999999999999995E-7</v>
      </c>
    </row>
    <row r="35" spans="7:8" x14ac:dyDescent="0.35">
      <c r="G35" t="s">
        <v>223</v>
      </c>
      <c r="H35" s="215">
        <v>7.5</v>
      </c>
    </row>
    <row r="36" spans="7:8" x14ac:dyDescent="0.35">
      <c r="G36" t="s">
        <v>224</v>
      </c>
      <c r="H36" s="215">
        <v>3.2</v>
      </c>
    </row>
    <row r="37" spans="7:8" x14ac:dyDescent="0.35">
      <c r="G37" t="s">
        <v>225</v>
      </c>
      <c r="H37" s="215">
        <v>2.1</v>
      </c>
    </row>
    <row r="38" spans="7:8" x14ac:dyDescent="0.35">
      <c r="G38" t="s">
        <v>415</v>
      </c>
      <c r="H38" s="215">
        <v>9.9999999999999995E-7</v>
      </c>
    </row>
    <row r="39" spans="7:8" x14ac:dyDescent="0.35">
      <c r="G39" t="s">
        <v>416</v>
      </c>
      <c r="H39" s="215">
        <v>9.9999999999999995E-7</v>
      </c>
    </row>
    <row r="40" spans="7:8" x14ac:dyDescent="0.35">
      <c r="G40" t="s">
        <v>417</v>
      </c>
      <c r="H40" s="215">
        <v>9.9999999999999995E-7</v>
      </c>
    </row>
    <row r="41" spans="7:8" x14ac:dyDescent="0.35">
      <c r="G41" t="s">
        <v>418</v>
      </c>
      <c r="H41" s="215">
        <v>9.9999999999999995E-7</v>
      </c>
    </row>
    <row r="42" spans="7:8" x14ac:dyDescent="0.35">
      <c r="G42" t="s">
        <v>419</v>
      </c>
      <c r="H42" s="215">
        <v>9.9999999999999995E-7</v>
      </c>
    </row>
    <row r="43" spans="7:8" x14ac:dyDescent="0.35">
      <c r="H43">
        <f>SUM(H2:H42)</f>
        <v>100.00002499999995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4"/>
  <sheetViews>
    <sheetView topLeftCell="A16" workbookViewId="0">
      <pane xSplit="1" topLeftCell="B1" activePane="topRight" state="frozen"/>
      <selection activeCell="A61" sqref="A61"/>
      <selection pane="topRight" activeCell="K154" sqref="K154:K159"/>
    </sheetView>
  </sheetViews>
  <sheetFormatPr defaultRowHeight="14.5" x14ac:dyDescent="0.35"/>
  <cols>
    <col min="1" max="1" width="33.81640625" bestFit="1" customWidth="1"/>
    <col min="2" max="2" width="16" customWidth="1"/>
    <col min="3" max="3" width="17.453125" customWidth="1"/>
    <col min="4" max="4" width="18.81640625" customWidth="1"/>
    <col min="5" max="5" width="19.54296875" bestFit="1" customWidth="1"/>
    <col min="6" max="6" width="18.81640625" bestFit="1" customWidth="1"/>
    <col min="7" max="7" width="22.453125" customWidth="1"/>
    <col min="8" max="8" width="18.453125" bestFit="1" customWidth="1"/>
    <col min="9" max="9" width="19.26953125" bestFit="1" customWidth="1"/>
    <col min="10" max="10" width="14.26953125" bestFit="1" customWidth="1"/>
    <col min="11" max="11" width="22.26953125" bestFit="1" customWidth="1"/>
    <col min="12" max="12" width="23.1796875" bestFit="1" customWidth="1"/>
    <col min="13" max="13" width="17.7265625" bestFit="1" customWidth="1"/>
    <col min="14" max="14" width="17.26953125" bestFit="1" customWidth="1"/>
    <col min="15" max="15" width="15.1796875" customWidth="1"/>
    <col min="16" max="16" width="16.26953125" customWidth="1"/>
    <col min="17" max="17" width="17.1796875" bestFit="1" customWidth="1"/>
    <col min="18" max="18" width="19.1796875" customWidth="1"/>
    <col min="19" max="19" width="15" bestFit="1" customWidth="1"/>
    <col min="20" max="20" width="16.1796875" customWidth="1"/>
    <col min="21" max="21" width="20" bestFit="1" customWidth="1"/>
    <col min="22" max="22" width="19" bestFit="1" customWidth="1"/>
    <col min="23" max="23" width="19.1796875" bestFit="1" customWidth="1"/>
    <col min="24" max="24" width="15.81640625" bestFit="1" customWidth="1"/>
    <col min="25" max="25" width="18.26953125" bestFit="1" customWidth="1"/>
    <col min="26" max="26" width="13.81640625" bestFit="1" customWidth="1"/>
    <col min="27" max="27" width="12.453125" bestFit="1" customWidth="1"/>
    <col min="28" max="28" width="11.54296875" bestFit="1" customWidth="1"/>
    <col min="29" max="29" width="13.7265625" bestFit="1" customWidth="1"/>
    <col min="30" max="30" width="11.54296875" bestFit="1" customWidth="1"/>
    <col min="31" max="31" width="12.453125" bestFit="1" customWidth="1"/>
    <col min="32" max="40" width="20.1796875" bestFit="1" customWidth="1"/>
    <col min="41" max="41" width="21.1796875" bestFit="1" customWidth="1"/>
    <col min="42" max="42" width="23.26953125" bestFit="1" customWidth="1"/>
    <col min="43" max="82" width="11.54296875" bestFit="1" customWidth="1"/>
    <col min="83" max="84" width="12.54296875" bestFit="1" customWidth="1"/>
    <col min="85" max="85" width="15.1796875" bestFit="1" customWidth="1"/>
    <col min="86" max="87" width="13.7265625" bestFit="1" customWidth="1"/>
    <col min="115" max="115" width="10.453125" bestFit="1" customWidth="1"/>
  </cols>
  <sheetData>
    <row r="1" spans="1:13" ht="29" x14ac:dyDescent="0.35">
      <c r="A1" s="9"/>
      <c r="B1" s="30" t="str">
        <f>'MRF Data-For Common'!B2</f>
        <v>Material Recovered?</v>
      </c>
      <c r="C1" s="114" t="str">
        <f>'MRF Data-For Common'!C2</f>
        <v>Price ($/Mg)</v>
      </c>
      <c r="D1" s="30" t="s">
        <v>150</v>
      </c>
      <c r="E1" s="30" t="s">
        <v>199</v>
      </c>
      <c r="F1" s="349" t="s">
        <v>191</v>
      </c>
      <c r="G1" s="349"/>
      <c r="H1" s="9"/>
    </row>
    <row r="2" spans="1:13" x14ac:dyDescent="0.35">
      <c r="A2" s="9" t="str">
        <f>'MRF Data-For Common'!A3</f>
        <v>OCC</v>
      </c>
      <c r="B2" s="114" t="str">
        <f>'MRF Data-For Common'!B3</f>
        <v>Yes-Automatic</v>
      </c>
      <c r="C2" s="114">
        <v>200</v>
      </c>
      <c r="D2" s="192">
        <f>0.25*Common!$B$4</f>
        <v>226.75736961451247</v>
      </c>
      <c r="E2" s="55">
        <v>1.0589999999999999</v>
      </c>
      <c r="F2" s="9" t="s">
        <v>57</v>
      </c>
      <c r="G2" s="9"/>
      <c r="H2" s="9"/>
    </row>
    <row r="3" spans="1:13" x14ac:dyDescent="0.35">
      <c r="A3" s="9" t="str">
        <f>'MRF Data-For Common'!A4</f>
        <v>Non-OCC Fiber</v>
      </c>
      <c r="B3" s="114" t="str">
        <f>'MRF Data-For Common'!B4</f>
        <v>Yes-Automatic</v>
      </c>
      <c r="C3" s="114">
        <v>80</v>
      </c>
      <c r="D3" s="192">
        <f>0.25*Common!$B$4</f>
        <v>226.75736961451247</v>
      </c>
      <c r="E3" s="55">
        <v>1.1299999999999999</v>
      </c>
      <c r="F3" s="9" t="s">
        <v>204</v>
      </c>
      <c r="G3" s="9"/>
      <c r="H3" s="9"/>
    </row>
    <row r="4" spans="1:13" x14ac:dyDescent="0.35">
      <c r="A4" s="9" t="str">
        <f>'MRF Data-For Common'!A5</f>
        <v>Aluminous</v>
      </c>
      <c r="B4" s="114" t="str">
        <f>'MRF Data-For Common'!B5</f>
        <v>Yes-Automatic</v>
      </c>
      <c r="C4" s="114">
        <v>1750</v>
      </c>
      <c r="D4" s="266">
        <f>0.01*Common!$B$4</f>
        <v>9.0702947845804989</v>
      </c>
      <c r="E4" s="55">
        <v>0.38400000000000001</v>
      </c>
      <c r="F4" s="9" t="s">
        <v>205</v>
      </c>
      <c r="G4" s="9"/>
      <c r="H4" s="9"/>
    </row>
    <row r="5" spans="1:13" x14ac:dyDescent="0.35">
      <c r="A5" s="9" t="str">
        <f>'MRF Data-For Common'!A6</f>
        <v>Ferrous</v>
      </c>
      <c r="B5" s="114" t="str">
        <f>'MRF Data-For Common'!B6</f>
        <v>Yes-Automatic</v>
      </c>
      <c r="C5" s="114">
        <v>200</v>
      </c>
      <c r="D5" s="266">
        <f>0.01*Common!$B$4</f>
        <v>9.0702947845804989</v>
      </c>
      <c r="E5" s="55">
        <v>0.65600000000000003</v>
      </c>
      <c r="F5" s="9" t="s">
        <v>206</v>
      </c>
      <c r="G5" s="9"/>
      <c r="H5" s="9"/>
    </row>
    <row r="6" spans="1:13" x14ac:dyDescent="0.35">
      <c r="A6" s="9" t="str">
        <f>'MRF Data-For Common'!A7</f>
        <v>Film</v>
      </c>
      <c r="B6" s="114" t="str">
        <f>'MRF Data-For Common'!B7</f>
        <v>Yes-Automatic</v>
      </c>
      <c r="C6" s="114">
        <v>650</v>
      </c>
      <c r="D6" s="266">
        <f>0.01*Common!$B$4</f>
        <v>9.0702947845804989</v>
      </c>
      <c r="E6" s="55">
        <v>0.41599999999999998</v>
      </c>
      <c r="F6" s="9" t="s">
        <v>78</v>
      </c>
      <c r="G6" s="9"/>
      <c r="H6" s="9"/>
    </row>
    <row r="7" spans="1:13" x14ac:dyDescent="0.35">
      <c r="A7" s="9" t="str">
        <f>'MRF Data-For Common'!A8</f>
        <v>HDPE</v>
      </c>
      <c r="B7" s="114" t="str">
        <f>'MRF Data-For Common'!B8</f>
        <v>Yes-Automatic</v>
      </c>
      <c r="C7" s="114">
        <v>900</v>
      </c>
      <c r="D7" s="192">
        <f>0.04*Common!B4</f>
        <v>36.281179138321995</v>
      </c>
      <c r="E7" s="55">
        <v>0.41599999999999998</v>
      </c>
      <c r="F7" s="9" t="s">
        <v>207</v>
      </c>
      <c r="G7" s="9"/>
      <c r="H7" s="9"/>
    </row>
    <row r="8" spans="1:13" x14ac:dyDescent="0.35">
      <c r="A8" s="9" t="str">
        <f>'MRF Data-For Common'!A9</f>
        <v>PET</v>
      </c>
      <c r="B8" s="114" t="str">
        <f>'MRF Data-For Common'!B9</f>
        <v>Yes-Automatic</v>
      </c>
      <c r="C8" s="114">
        <v>400</v>
      </c>
      <c r="D8" s="192">
        <f>0.025*Common!B4</f>
        <v>22.67573696145125</v>
      </c>
      <c r="E8" s="55">
        <v>0.41599999999999998</v>
      </c>
      <c r="F8" s="9" t="s">
        <v>208</v>
      </c>
      <c r="G8" s="9"/>
      <c r="H8" s="9"/>
    </row>
    <row r="9" spans="1:13" s="16" customFormat="1" ht="15" customHeight="1" x14ac:dyDescent="0.35">
      <c r="A9" s="9" t="str">
        <f>'MRF Data-For Common'!A10</f>
        <v>Glass</v>
      </c>
      <c r="B9" s="114" t="str">
        <f>'MRF Data-For Common'!B10</f>
        <v>Yes</v>
      </c>
      <c r="C9" s="114">
        <v>10</v>
      </c>
      <c r="D9" s="241"/>
      <c r="E9" s="205"/>
      <c r="F9" s="114" t="s">
        <v>209</v>
      </c>
      <c r="G9" s="30"/>
      <c r="H9" s="30"/>
    </row>
    <row r="10" spans="1:13" x14ac:dyDescent="0.35">
      <c r="A10" s="9"/>
      <c r="B10" s="114"/>
      <c r="C10" s="114"/>
      <c r="D10" s="9"/>
      <c r="E10" s="9"/>
      <c r="F10" s="9"/>
      <c r="G10" s="9"/>
      <c r="H10" s="9"/>
      <c r="I10" s="12"/>
    </row>
    <row r="11" spans="1:13" x14ac:dyDescent="0.35">
      <c r="A11" s="25" t="str">
        <f>'MRF Data-For Common'!A12</f>
        <v>Secondary Sort</v>
      </c>
      <c r="B11" s="114"/>
      <c r="C11" s="114"/>
      <c r="D11" s="9"/>
      <c r="E11" s="9"/>
      <c r="F11" s="9"/>
      <c r="G11" s="9"/>
      <c r="H11" s="9"/>
    </row>
    <row r="12" spans="1:13" ht="29" x14ac:dyDescent="0.35">
      <c r="A12" s="25" t="str">
        <f>'MRF Data-For Common'!A13</f>
        <v>Paper</v>
      </c>
      <c r="B12" s="30" t="str">
        <f>'MRF Data-For Common'!B13</f>
        <v>Isolate Material?</v>
      </c>
      <c r="C12" s="114" t="str">
        <f>'MRF Data-For Common'!C13</f>
        <v>Price ($/Mg)</v>
      </c>
      <c r="D12" s="30" t="s">
        <v>183</v>
      </c>
      <c r="E12" s="9" t="s">
        <v>184</v>
      </c>
      <c r="F12" s="9" t="s">
        <v>185</v>
      </c>
      <c r="G12" s="9"/>
      <c r="H12" s="9"/>
    </row>
    <row r="13" spans="1:13" x14ac:dyDescent="0.35">
      <c r="A13" s="9" t="str">
        <f>'MRF Data-For Common'!A14</f>
        <v>Newsprint</v>
      </c>
      <c r="B13" s="114" t="str">
        <f>'MRF Data-For Common'!B14</f>
        <v>No</v>
      </c>
      <c r="C13" s="114">
        <f>'MRF Data-For Common'!C14</f>
        <v>55</v>
      </c>
      <c r="D13" s="192">
        <f>0.25*Common!$B$4</f>
        <v>226.75736961451247</v>
      </c>
      <c r="E13" s="71">
        <v>0.95</v>
      </c>
      <c r="F13" s="187">
        <f>IF(B13="Yes",'SS Material Flow'!D193*E13/(D13/Common!$B$2*'SS Material Flow'!B102),0)</f>
        <v>0</v>
      </c>
      <c r="G13" s="9"/>
      <c r="H13" s="9"/>
    </row>
    <row r="14" spans="1:13" x14ac:dyDescent="0.35">
      <c r="A14" s="9" t="str">
        <f>'MRF Data-For Common'!A15</f>
        <v>Office Paper</v>
      </c>
      <c r="B14" s="114" t="str">
        <f>'MRF Data-For Common'!B15</f>
        <v>No</v>
      </c>
      <c r="C14" s="114">
        <f>'MRF Data-For Common'!C15</f>
        <v>50</v>
      </c>
      <c r="D14" s="192">
        <f>0.25*Common!$B$4</f>
        <v>226.75736961451247</v>
      </c>
      <c r="E14" s="71">
        <v>0.95</v>
      </c>
      <c r="F14" s="187">
        <f>IF(B14="Yes",'SS Material Flow'!D195*Single.Stream!E14/(Single.Stream!D14/Common!$B$2*'SS Material Flow'!B104),0)</f>
        <v>0</v>
      </c>
      <c r="G14" s="9"/>
      <c r="H14" s="9"/>
    </row>
    <row r="15" spans="1:13" x14ac:dyDescent="0.35">
      <c r="A15" s="9" t="str">
        <f>'MRF Data-For Common'!A16</f>
        <v xml:space="preserve">Magazines </v>
      </c>
      <c r="B15" s="114" t="str">
        <f>'MRF Data-For Common'!B16</f>
        <v>No</v>
      </c>
      <c r="C15" s="114">
        <f>'MRF Data-For Common'!C16</f>
        <v>50</v>
      </c>
      <c r="D15" s="192">
        <f>0.25*Common!$B$4</f>
        <v>226.75736961451247</v>
      </c>
      <c r="E15" s="71">
        <v>0.95</v>
      </c>
      <c r="F15" s="187">
        <f>IF(B15="Yes",'SS Material Flow'!D196*Single.Stream!E15/(Single.Stream!D15/Common!$B$2*'SS Material Flow'!B105),0)</f>
        <v>0</v>
      </c>
      <c r="G15" s="9"/>
      <c r="H15" s="9"/>
      <c r="J15" s="139"/>
      <c r="L15" s="137"/>
      <c r="M15" s="137"/>
    </row>
    <row r="16" spans="1:13" x14ac:dyDescent="0.35">
      <c r="A16" s="9" t="str">
        <f>'MRF Data-For Common'!A17</f>
        <v>3rd Class Mail</v>
      </c>
      <c r="B16" s="114" t="str">
        <f>'MRF Data-For Common'!B17</f>
        <v>No</v>
      </c>
      <c r="C16" s="114">
        <f>'MRF Data-For Common'!C17</f>
        <v>50</v>
      </c>
      <c r="D16" s="192">
        <f>0.25*Common!$B$4</f>
        <v>226.75736961451247</v>
      </c>
      <c r="E16" s="71">
        <v>0.95</v>
      </c>
      <c r="F16" s="187">
        <f>IF(B16="Yes",'SS Material Flow'!D197*Single.Stream!E16/(Single.Stream!D16/Common!$B$2*'SS Material Flow'!B106),0)</f>
        <v>0</v>
      </c>
      <c r="G16" s="9"/>
      <c r="H16" s="9"/>
      <c r="J16" s="139"/>
      <c r="L16" s="137"/>
      <c r="M16" s="137"/>
    </row>
    <row r="17" spans="1:19" x14ac:dyDescent="0.35">
      <c r="A17" s="9" t="str">
        <f>'MRF Data-For Common'!A18</f>
        <v>Paper Other #1</v>
      </c>
      <c r="B17" s="114" t="str">
        <f>'MRF Data-For Common'!B18</f>
        <v>No</v>
      </c>
      <c r="C17" s="114">
        <f>'MRF Data-For Common'!C18</f>
        <v>50</v>
      </c>
      <c r="D17" s="192">
        <f>0.25*Common!$B$4</f>
        <v>226.75736961451247</v>
      </c>
      <c r="E17" s="71">
        <v>0.95</v>
      </c>
      <c r="F17" s="187">
        <f>IF(B17="Yes",'SS Material Flow'!D198*Single.Stream!E17/(Single.Stream!D17/Common!$B$2*'SS Material Flow'!B107),0)</f>
        <v>0</v>
      </c>
      <c r="G17" s="9"/>
      <c r="H17" s="9"/>
      <c r="J17" s="139"/>
      <c r="L17" s="137"/>
      <c r="M17" s="137"/>
    </row>
    <row r="18" spans="1:19" x14ac:dyDescent="0.35">
      <c r="A18" s="9" t="str">
        <f>'MRF Data-For Common'!A19</f>
        <v>Paper Other #2</v>
      </c>
      <c r="B18" s="114" t="str">
        <f>'MRF Data-For Common'!B19</f>
        <v>No</v>
      </c>
      <c r="C18" s="114">
        <f>'MRF Data-For Common'!C19</f>
        <v>50</v>
      </c>
      <c r="D18" s="192">
        <f>0.25*Common!$B$4</f>
        <v>226.75736961451247</v>
      </c>
      <c r="E18" s="71">
        <v>0.95</v>
      </c>
      <c r="F18" s="187">
        <f>IF(B18="Yes",'SS Material Flow'!D199*Single.Stream!E18/(Single.Stream!D18/Common!$B$2*'SS Material Flow'!B108),0)</f>
        <v>0</v>
      </c>
      <c r="G18" s="9"/>
      <c r="H18" s="9"/>
      <c r="L18" s="137"/>
      <c r="M18" s="137"/>
    </row>
    <row r="19" spans="1:19" s="150" customFormat="1" x14ac:dyDescent="0.35">
      <c r="A19" s="9"/>
      <c r="B19" s="114"/>
      <c r="C19" s="114"/>
      <c r="D19" s="11"/>
      <c r="E19" s="188"/>
      <c r="F19" s="148"/>
      <c r="G19" s="11"/>
      <c r="H19" s="11"/>
      <c r="J19" s="169"/>
      <c r="L19" s="170"/>
      <c r="M19" s="170"/>
    </row>
    <row r="20" spans="1:19" s="150" customFormat="1" x14ac:dyDescent="0.35">
      <c r="A20" s="25" t="str">
        <f>'MRF Data-For Common'!A21</f>
        <v>Glass (if no material isolated, optical sorter will be turned off)</v>
      </c>
      <c r="B20" s="114"/>
      <c r="C20" s="114"/>
      <c r="D20" s="11"/>
      <c r="E20" s="190"/>
      <c r="F20" s="148"/>
      <c r="G20" s="11"/>
      <c r="H20" s="11"/>
      <c r="J20" s="67"/>
    </row>
    <row r="21" spans="1:19" x14ac:dyDescent="0.35">
      <c r="A21" s="9" t="str">
        <f>'MRF Data-For Common'!A22</f>
        <v>Glass - Brown</v>
      </c>
      <c r="B21" s="114" t="str">
        <f>'MRF Data-For Common'!B22</f>
        <v>Yes</v>
      </c>
      <c r="C21" s="114">
        <f>'MRF Data-For Common'!C22</f>
        <v>20</v>
      </c>
      <c r="D21" s="265"/>
      <c r="E21" s="51"/>
      <c r="F21" s="187"/>
      <c r="G21" s="9"/>
      <c r="H21" s="9"/>
      <c r="J21" s="120"/>
      <c r="K21" s="2"/>
      <c r="L21" s="138"/>
      <c r="M21" s="138"/>
    </row>
    <row r="22" spans="1:19" x14ac:dyDescent="0.35">
      <c r="A22" s="9" t="str">
        <f>'MRF Data-For Common'!A23</f>
        <v>Glass - Green</v>
      </c>
      <c r="B22" s="114" t="str">
        <f>'MRF Data-For Common'!B23</f>
        <v>Yes</v>
      </c>
      <c r="C22" s="114">
        <f>'MRF Data-For Common'!C23</f>
        <v>1</v>
      </c>
      <c r="D22" s="265"/>
      <c r="E22" s="51"/>
      <c r="F22" s="187"/>
      <c r="G22" s="9"/>
      <c r="H22" s="9"/>
      <c r="J22" s="120"/>
      <c r="K22" s="2"/>
      <c r="L22" s="138"/>
      <c r="M22" s="138"/>
    </row>
    <row r="23" spans="1:19" x14ac:dyDescent="0.35">
      <c r="A23" s="9" t="str">
        <f>'MRF Data-For Common'!A24</f>
        <v>Glass - Clear</v>
      </c>
      <c r="B23" s="114" t="str">
        <f>'MRF Data-For Common'!B24</f>
        <v>Yes</v>
      </c>
      <c r="C23" s="114">
        <f>'MRF Data-For Common'!C24</f>
        <v>28</v>
      </c>
      <c r="D23" s="265"/>
      <c r="E23" s="51"/>
      <c r="F23" s="187"/>
      <c r="G23" s="9"/>
      <c r="H23" s="9"/>
      <c r="J23" s="120"/>
      <c r="K23" s="2"/>
      <c r="L23" s="138"/>
      <c r="M23" s="138"/>
    </row>
    <row r="24" spans="1:19" x14ac:dyDescent="0.35">
      <c r="A24" s="9"/>
      <c r="B24" s="114"/>
      <c r="C24" s="114"/>
      <c r="D24" s="13"/>
      <c r="E24" s="190"/>
      <c r="F24" s="9"/>
      <c r="G24" s="9"/>
      <c r="H24" s="9"/>
    </row>
    <row r="25" spans="1:19" x14ac:dyDescent="0.35">
      <c r="A25" s="25" t="str">
        <f>'MRF Data-For Common'!A26</f>
        <v>Plastic</v>
      </c>
      <c r="B25" s="114"/>
      <c r="C25" s="114"/>
      <c r="D25" s="13"/>
      <c r="E25" s="51"/>
      <c r="F25" s="13"/>
      <c r="G25" s="9"/>
      <c r="H25" s="9"/>
    </row>
    <row r="26" spans="1:19" x14ac:dyDescent="0.35">
      <c r="A26" s="9" t="str">
        <f>'MRF Data-For Common'!A27</f>
        <v>HDPE sold by type?</v>
      </c>
      <c r="B26" s="114" t="str">
        <f>'MRF Data-For Common'!B27</f>
        <v>No</v>
      </c>
      <c r="C26" s="114"/>
      <c r="D26" s="13"/>
      <c r="E26" s="51"/>
      <c r="F26" s="13"/>
      <c r="G26" s="9"/>
      <c r="H26" s="9"/>
    </row>
    <row r="27" spans="1:19" x14ac:dyDescent="0.35">
      <c r="A27" s="9"/>
      <c r="B27" s="114" t="str">
        <f>'MRF Data-For Common'!B28</f>
        <v>Price ($/Mg)</v>
      </c>
      <c r="C27" s="114"/>
      <c r="D27" s="13"/>
      <c r="E27" s="51"/>
      <c r="F27" s="13"/>
      <c r="G27" s="9"/>
      <c r="H27" s="9"/>
    </row>
    <row r="28" spans="1:19" x14ac:dyDescent="0.35">
      <c r="A28" s="9" t="str">
        <f>'MRF Data-For Common'!A29</f>
        <v>HDPE - Translucent Containers</v>
      </c>
      <c r="B28" s="114">
        <f>'MRF Data-For Common'!B29</f>
        <v>330</v>
      </c>
      <c r="C28" s="114"/>
      <c r="D28" s="13"/>
      <c r="E28" s="51"/>
      <c r="F28" s="13"/>
      <c r="G28" s="9"/>
      <c r="H28" s="9"/>
    </row>
    <row r="29" spans="1:19" x14ac:dyDescent="0.35">
      <c r="A29" s="9" t="str">
        <f>'MRF Data-For Common'!A30</f>
        <v>HDPE - Pigmented Containers</v>
      </c>
      <c r="B29" s="114">
        <f>'MRF Data-For Common'!B30</f>
        <v>330</v>
      </c>
      <c r="C29" s="114"/>
      <c r="D29" s="13"/>
      <c r="E29" s="51"/>
      <c r="F29" s="13"/>
      <c r="G29" s="9"/>
      <c r="H29" s="9"/>
    </row>
    <row r="30" spans="1:19" x14ac:dyDescent="0.35">
      <c r="A30" s="9"/>
      <c r="B30" s="114"/>
      <c r="C30" s="114"/>
      <c r="D30" s="13"/>
      <c r="E30" s="51"/>
      <c r="F30" s="13"/>
      <c r="G30" s="9"/>
      <c r="H30" s="9"/>
    </row>
    <row r="31" spans="1:19" x14ac:dyDescent="0.35">
      <c r="A31" t="s">
        <v>509</v>
      </c>
      <c r="B31" t="s">
        <v>510</v>
      </c>
      <c r="C31" s="26">
        <v>0.1</v>
      </c>
    </row>
    <row r="32" spans="1:19" s="12" customFormat="1" ht="43.5" x14ac:dyDescent="0.35">
      <c r="A32" s="153" t="s">
        <v>354</v>
      </c>
      <c r="B32" s="16" t="s">
        <v>44</v>
      </c>
      <c r="C32" s="16" t="s">
        <v>138</v>
      </c>
      <c r="D32" s="16" t="s">
        <v>210</v>
      </c>
      <c r="E32" s="16" t="s">
        <v>53</v>
      </c>
      <c r="F32" s="16" t="s">
        <v>0</v>
      </c>
      <c r="G32" s="16" t="s">
        <v>14</v>
      </c>
      <c r="H32" s="16" t="s">
        <v>1</v>
      </c>
      <c r="I32" s="16" t="s">
        <v>349</v>
      </c>
      <c r="J32" s="16" t="s">
        <v>131</v>
      </c>
      <c r="K32" s="336" t="s">
        <v>508</v>
      </c>
      <c r="L32" s="16" t="s">
        <v>132</v>
      </c>
      <c r="M32" s="197" t="s">
        <v>135</v>
      </c>
      <c r="N32" s="16" t="s">
        <v>136</v>
      </c>
      <c r="O32" s="16" t="s">
        <v>134</v>
      </c>
      <c r="P32" s="16" t="s">
        <v>133</v>
      </c>
      <c r="Q32" s="16" t="s">
        <v>141</v>
      </c>
      <c r="R32" s="172" t="s">
        <v>137</v>
      </c>
      <c r="S32" s="172" t="s">
        <v>140</v>
      </c>
    </row>
    <row r="33" spans="1:19" ht="15" thickBot="1" x14ac:dyDescent="0.4">
      <c r="A33" s="128" t="s">
        <v>11</v>
      </c>
      <c r="B33" t="s">
        <v>35</v>
      </c>
      <c r="C33" s="26">
        <v>12</v>
      </c>
      <c r="D33" s="26">
        <v>0.85</v>
      </c>
      <c r="E33" s="26">
        <v>0.5</v>
      </c>
      <c r="F33" s="26">
        <v>9</v>
      </c>
      <c r="G33" s="129">
        <f t="shared" ref="G33:G34" si="0">F33*E33/(C33*D33)</f>
        <v>0.44117647058823534</v>
      </c>
      <c r="H33" s="26">
        <v>0</v>
      </c>
      <c r="I33" s="26">
        <v>0</v>
      </c>
      <c r="J33" s="26">
        <v>131000</v>
      </c>
      <c r="K33">
        <f>J33*$C$31</f>
        <v>13100</v>
      </c>
      <c r="L33" s="26">
        <v>5100</v>
      </c>
      <c r="M33" s="198">
        <v>0</v>
      </c>
      <c r="N33" s="26">
        <v>0</v>
      </c>
      <c r="O33" s="26">
        <v>10</v>
      </c>
      <c r="P33" s="32">
        <f>Common!$C$35*(1+Common!$C$35)^O33/((1+Common!$C$35)^O33-1)</f>
        <v>0.1295045749654567</v>
      </c>
      <c r="Q33" s="32">
        <f>((J33+K33)*P33+L33)/(C33*D33)/(Common!$C$12*Common!$C$10*Common!$C$11)</f>
        <v>0.49777126806859212</v>
      </c>
      <c r="R33" s="32">
        <f>M33/(C33*D33)</f>
        <v>0</v>
      </c>
      <c r="S33" s="32">
        <f>N33/(C33*D33)</f>
        <v>0</v>
      </c>
    </row>
    <row r="34" spans="1:19" s="12" customFormat="1" ht="15" thickBot="1" x14ac:dyDescent="0.4">
      <c r="A34" s="128" t="s">
        <v>166</v>
      </c>
      <c r="B34" s="12" t="s">
        <v>35</v>
      </c>
      <c r="C34" s="26">
        <v>2</v>
      </c>
      <c r="D34" s="26">
        <v>0.85</v>
      </c>
      <c r="E34" s="26">
        <v>0.5</v>
      </c>
      <c r="F34" s="26">
        <v>3</v>
      </c>
      <c r="G34" s="129">
        <f t="shared" si="0"/>
        <v>0.88235294117647056</v>
      </c>
      <c r="H34" s="26">
        <v>0</v>
      </c>
      <c r="I34" s="26">
        <v>0</v>
      </c>
      <c r="J34" s="26">
        <v>50000</v>
      </c>
      <c r="K34">
        <f t="shared" ref="K34:K60" si="1">J34*$C$31</f>
        <v>5000</v>
      </c>
      <c r="L34" s="26">
        <v>0</v>
      </c>
      <c r="M34" s="199">
        <f>R34*(C34*D34)</f>
        <v>101.47215035749235</v>
      </c>
      <c r="N34" s="26">
        <v>0</v>
      </c>
      <c r="O34" s="26">
        <v>10</v>
      </c>
      <c r="P34" s="32">
        <f>Common!$C$35*(1+Common!$C$35)^Single.Stream!O34/((1+Common!$C$35)^Single.Stream!O34-1)</f>
        <v>0.1295045749654567</v>
      </c>
      <c r="Q34" s="32">
        <f>((J34+K34)*P34+L34)/(C34*D34)/(Common!$C$12*Common!$C$10*Common!$C$11)</f>
        <v>0.89526792648317233</v>
      </c>
      <c r="R34" s="179">
        <f>Common!$B$2/Single.Stream!D4*IF('SS Material Flow'!V134=0,0,'SS Material Flow'!V44/'SS Material Flow'!V134)</f>
        <v>59.689500210289623</v>
      </c>
      <c r="S34" s="32">
        <f>N34/(C34*D34)</f>
        <v>0</v>
      </c>
    </row>
    <row r="35" spans="1:19" s="12" customFormat="1" x14ac:dyDescent="0.35">
      <c r="A35" s="128"/>
      <c r="G35" s="129"/>
      <c r="J35"/>
      <c r="K35">
        <f t="shared" si="1"/>
        <v>0</v>
      </c>
      <c r="L35"/>
      <c r="M35" s="200"/>
      <c r="Q35" s="32"/>
      <c r="R35" s="131"/>
      <c r="S35" s="131"/>
    </row>
    <row r="36" spans="1:19" s="12" customFormat="1" x14ac:dyDescent="0.35">
      <c r="A36" s="153" t="s">
        <v>172</v>
      </c>
      <c r="G36" s="129"/>
      <c r="J36"/>
      <c r="K36">
        <f t="shared" si="1"/>
        <v>0</v>
      </c>
      <c r="L36"/>
      <c r="M36" s="200"/>
      <c r="Q36" s="32"/>
      <c r="R36" s="131"/>
      <c r="S36" s="131"/>
    </row>
    <row r="37" spans="1:19" ht="15" thickBot="1" x14ac:dyDescent="0.4">
      <c r="A37" s="128" t="s">
        <v>65</v>
      </c>
      <c r="B37" t="s">
        <v>35</v>
      </c>
      <c r="C37" s="26">
        <v>2</v>
      </c>
      <c r="D37" s="26">
        <v>0.85</v>
      </c>
      <c r="E37" s="26">
        <v>0.5</v>
      </c>
      <c r="F37" s="26">
        <v>4</v>
      </c>
      <c r="G37" s="129">
        <f t="shared" ref="G37:G38" si="2">F37*E37/(C37*D37)</f>
        <v>1.1764705882352942</v>
      </c>
      <c r="H37" s="26">
        <v>0</v>
      </c>
      <c r="I37" s="26">
        <v>0</v>
      </c>
      <c r="J37" s="26">
        <v>360000</v>
      </c>
      <c r="K37">
        <f t="shared" si="1"/>
        <v>36000</v>
      </c>
      <c r="L37" s="26">
        <v>5100</v>
      </c>
      <c r="M37" s="198">
        <v>0</v>
      </c>
      <c r="N37" s="26">
        <v>0</v>
      </c>
      <c r="O37" s="26">
        <v>10</v>
      </c>
      <c r="P37" s="32">
        <f>Common!$C$35*(1+Common!$C$35)^Single.Stream!O37/((1+Common!$C$35)^Single.Stream!O37-1)</f>
        <v>0.1295045749654567</v>
      </c>
      <c r="Q37" s="32">
        <f>((J37+K37)*P37+L37)/(C37*D37)/(Common!$C$12*Common!$C$10*Common!$C$11)</f>
        <v>7.0869547117044807</v>
      </c>
      <c r="R37" s="32">
        <f>M37/(C37*D37)</f>
        <v>0</v>
      </c>
      <c r="S37" s="32">
        <f>N37/(C37*D37)</f>
        <v>0</v>
      </c>
    </row>
    <row r="38" spans="1:19" ht="15" thickBot="1" x14ac:dyDescent="0.4">
      <c r="A38" s="128" t="s">
        <v>167</v>
      </c>
      <c r="B38" t="s">
        <v>35</v>
      </c>
      <c r="C38" s="26">
        <v>2</v>
      </c>
      <c r="D38" s="26">
        <v>0.85</v>
      </c>
      <c r="E38" s="26">
        <v>0.5</v>
      </c>
      <c r="F38" s="26">
        <v>3</v>
      </c>
      <c r="G38" s="129">
        <f t="shared" si="2"/>
        <v>0.88235294117647056</v>
      </c>
      <c r="H38" s="26">
        <v>0</v>
      </c>
      <c r="I38" s="26">
        <v>0</v>
      </c>
      <c r="J38" s="26">
        <v>50000</v>
      </c>
      <c r="K38">
        <f t="shared" si="1"/>
        <v>5000</v>
      </c>
      <c r="L38" s="26">
        <v>0</v>
      </c>
      <c r="M38" s="199">
        <f>R38*(C38*D38)</f>
        <v>83.267365350773346</v>
      </c>
      <c r="N38" s="26">
        <v>0</v>
      </c>
      <c r="O38" s="26">
        <v>10</v>
      </c>
      <c r="P38" s="32">
        <f>Common!$C$35*(1+Common!$C$35)^Single.Stream!O38/((1+Common!$C$35)^Single.Stream!O38-1)</f>
        <v>0.1295045749654567</v>
      </c>
      <c r="Q38" s="32">
        <f>((J38+K38)*P38+L38)/(C38*D38)/(Common!$C$12*Common!$C$10*Common!$C$11)</f>
        <v>0.89526792648317233</v>
      </c>
      <c r="R38" s="179">
        <f>Common!$B$2/Single.Stream!D5*IF('SS Material Flow'!T134=0,0,'SS Material Flow'!T44/'SS Material Flow'!T134)</f>
        <v>48.980803147513733</v>
      </c>
      <c r="S38" s="32">
        <f>N38/(C38*D38)</f>
        <v>0</v>
      </c>
    </row>
    <row r="39" spans="1:19" s="12" customFormat="1" x14ac:dyDescent="0.35">
      <c r="A39" s="128"/>
      <c r="G39" s="129"/>
      <c r="J39"/>
      <c r="K39">
        <f t="shared" si="1"/>
        <v>0</v>
      </c>
      <c r="L39"/>
      <c r="M39" s="200"/>
      <c r="Q39" s="32"/>
      <c r="R39" s="131"/>
      <c r="S39" s="131"/>
    </row>
    <row r="40" spans="1:19" s="12" customFormat="1" ht="16.5" customHeight="1" x14ac:dyDescent="0.35">
      <c r="A40" s="153" t="s">
        <v>173</v>
      </c>
      <c r="G40" s="129"/>
      <c r="J40"/>
      <c r="K40">
        <f t="shared" si="1"/>
        <v>0</v>
      </c>
      <c r="L40"/>
      <c r="M40" s="200"/>
      <c r="Q40" s="32"/>
      <c r="R40" s="131"/>
      <c r="S40" s="131"/>
    </row>
    <row r="41" spans="1:19" ht="18" customHeight="1" thickBot="1" x14ac:dyDescent="0.4">
      <c r="A41" s="128" t="s">
        <v>57</v>
      </c>
      <c r="B41" s="12" t="s">
        <v>45</v>
      </c>
      <c r="C41" s="26">
        <v>45</v>
      </c>
      <c r="D41" s="26">
        <v>0.85</v>
      </c>
      <c r="E41" s="26">
        <v>0.5</v>
      </c>
      <c r="F41" s="26">
        <v>8.5</v>
      </c>
      <c r="G41" s="129">
        <f t="shared" ref="G41:G42" si="3">F41*E41/(C41*D41)</f>
        <v>0.1111111111111111</v>
      </c>
      <c r="H41" s="26">
        <v>0</v>
      </c>
      <c r="I41" s="26">
        <v>0</v>
      </c>
      <c r="J41" s="26">
        <v>178000</v>
      </c>
      <c r="K41">
        <f t="shared" si="1"/>
        <v>17800</v>
      </c>
      <c r="L41" s="26">
        <v>10200</v>
      </c>
      <c r="M41" s="198">
        <v>0</v>
      </c>
      <c r="N41" s="26">
        <v>0</v>
      </c>
      <c r="O41" s="26">
        <v>10</v>
      </c>
      <c r="P41" s="32">
        <f>Common!$C$35*(1+Common!$C$35)^Single.Stream!O41/((1+Common!$C$35)^Single.Stream!O41-1)</f>
        <v>0.1295045749654567</v>
      </c>
      <c r="Q41" s="32">
        <f>((J41+K41)*P41+L41)/(C41*D41)/(Common!$C$12*Common!$C$10*Common!$C$11)</f>
        <v>0.19863133779250558</v>
      </c>
      <c r="R41" s="32">
        <f>M41/(C41*D41)</f>
        <v>0</v>
      </c>
      <c r="S41" s="32">
        <f>N41/(C41*D41)</f>
        <v>0</v>
      </c>
    </row>
    <row r="42" spans="1:19" ht="15" thickBot="1" x14ac:dyDescent="0.4">
      <c r="A42" s="128" t="s">
        <v>171</v>
      </c>
      <c r="B42" t="s">
        <v>35</v>
      </c>
      <c r="C42" s="26">
        <v>2</v>
      </c>
      <c r="D42" s="26">
        <v>0.85</v>
      </c>
      <c r="E42" s="26">
        <v>0.5</v>
      </c>
      <c r="F42" s="26">
        <v>3</v>
      </c>
      <c r="G42" s="129">
        <f t="shared" si="3"/>
        <v>0.88235294117647056</v>
      </c>
      <c r="H42" s="26">
        <v>0</v>
      </c>
      <c r="I42" s="26">
        <v>0</v>
      </c>
      <c r="J42" s="26">
        <v>50000</v>
      </c>
      <c r="K42">
        <f t="shared" si="1"/>
        <v>5000</v>
      </c>
      <c r="L42" s="26">
        <v>0</v>
      </c>
      <c r="M42" s="199">
        <f>R42*(C42*D42)</f>
        <v>2.1953580525126002</v>
      </c>
      <c r="N42" s="26">
        <v>0</v>
      </c>
      <c r="O42" s="26">
        <v>10</v>
      </c>
      <c r="P42" s="32">
        <f>Common!$C$35*(1+Common!$C$35)^Single.Stream!O42/((1+Common!$C$35)^Single.Stream!O42-1)</f>
        <v>0.1295045749654567</v>
      </c>
      <c r="Q42" s="32">
        <f>((J42+K42)*P42+L42)/(C42*D42)/(Common!$C$12*Common!$C$10*Common!$C$11)</f>
        <v>0.89526792648317233</v>
      </c>
      <c r="R42" s="179">
        <f>Common!$B$2/Single.Stream!D2*IF('SS Material Flow'!F134=0,0,'SS Material Flow'!F44/'SS Material Flow'!F134)</f>
        <v>1.2913870897132942</v>
      </c>
      <c r="S42" s="32">
        <f>N42/(C42*D42)</f>
        <v>0</v>
      </c>
    </row>
    <row r="43" spans="1:19" s="12" customFormat="1" x14ac:dyDescent="0.35">
      <c r="A43" s="128"/>
      <c r="G43" s="129"/>
      <c r="J43"/>
      <c r="K43">
        <f t="shared" si="1"/>
        <v>0</v>
      </c>
      <c r="L43"/>
      <c r="M43" s="200"/>
      <c r="Q43" s="32"/>
      <c r="R43" s="131"/>
      <c r="S43" s="131"/>
    </row>
    <row r="44" spans="1:19" s="12" customFormat="1" x14ac:dyDescent="0.35">
      <c r="A44" s="153" t="s">
        <v>174</v>
      </c>
      <c r="G44" s="129"/>
      <c r="J44"/>
      <c r="K44">
        <f t="shared" si="1"/>
        <v>0</v>
      </c>
      <c r="L44"/>
      <c r="M44" s="200"/>
      <c r="Q44" s="32"/>
      <c r="R44" s="131"/>
      <c r="S44" s="131"/>
    </row>
    <row r="45" spans="1:19" x14ac:dyDescent="0.35">
      <c r="A45" s="128" t="s">
        <v>58</v>
      </c>
      <c r="B45" s="12" t="s">
        <v>45</v>
      </c>
      <c r="C45" s="26">
        <v>21</v>
      </c>
      <c r="D45" s="26">
        <v>0.85</v>
      </c>
      <c r="E45" s="26">
        <v>0.5</v>
      </c>
      <c r="F45" s="26">
        <v>5.5</v>
      </c>
      <c r="G45" s="129">
        <f t="shared" ref="G45:G48" si="4">F45*E45/(C45*D45)</f>
        <v>0.15406162464985995</v>
      </c>
      <c r="H45" s="26">
        <v>0</v>
      </c>
      <c r="I45" s="26">
        <v>0</v>
      </c>
      <c r="J45" s="26">
        <v>408000</v>
      </c>
      <c r="K45">
        <f t="shared" si="1"/>
        <v>40800</v>
      </c>
      <c r="L45" s="26">
        <v>13300</v>
      </c>
      <c r="M45" s="198">
        <v>0</v>
      </c>
      <c r="N45" s="26">
        <v>0</v>
      </c>
      <c r="O45" s="26">
        <v>10</v>
      </c>
      <c r="P45" s="32">
        <f>Common!$C$35*(1+Common!$C$35)^Single.Stream!O45/((1+Common!$C$35)^Single.Stream!O45-1)</f>
        <v>0.1295045749654567</v>
      </c>
      <c r="Q45" s="32">
        <f>((J45+K45)*P45+L45)/(C45*D45)/(Common!$C$12*Common!$C$10*Common!$C$11)</f>
        <v>0.85496005703388844</v>
      </c>
      <c r="R45" s="32">
        <f>M45/(C45*D45)</f>
        <v>0</v>
      </c>
      <c r="S45" s="32">
        <f>N45/(C45*D45)</f>
        <v>0</v>
      </c>
    </row>
    <row r="46" spans="1:19" ht="15" thickBot="1" x14ac:dyDescent="0.4">
      <c r="A46" s="128" t="s">
        <v>59</v>
      </c>
      <c r="B46" s="12" t="s">
        <v>45</v>
      </c>
      <c r="C46" s="26">
        <v>7</v>
      </c>
      <c r="D46" s="26">
        <v>0.85</v>
      </c>
      <c r="E46" s="26">
        <v>0.5</v>
      </c>
      <c r="F46" s="26">
        <v>10</v>
      </c>
      <c r="G46" s="129">
        <f t="shared" si="4"/>
        <v>0.84033613445378152</v>
      </c>
      <c r="H46" s="26">
        <v>0</v>
      </c>
      <c r="I46" s="26">
        <v>0</v>
      </c>
      <c r="J46" s="26">
        <v>286000</v>
      </c>
      <c r="K46">
        <f t="shared" si="1"/>
        <v>28600</v>
      </c>
      <c r="L46" s="133">
        <v>10200</v>
      </c>
      <c r="M46" s="198">
        <v>0</v>
      </c>
      <c r="N46" s="26">
        <v>0</v>
      </c>
      <c r="O46" s="26">
        <v>10</v>
      </c>
      <c r="P46" s="32">
        <f>Common!$C$35*(1+Common!$C$35)^Single.Stream!O46/((1+Common!$C$35)^Single.Stream!O46-1)</f>
        <v>0.1295045749654567</v>
      </c>
      <c r="Q46" s="32">
        <f>((J46+K46)*P46+L46)/(C46*D46)/(Common!$C$12*Common!$C$10*Common!$C$11)</f>
        <v>1.8294239490100075</v>
      </c>
      <c r="R46" s="32">
        <f>M46/(C46*D46)</f>
        <v>0</v>
      </c>
      <c r="S46" s="32">
        <f>N46/(C46*D46)</f>
        <v>0</v>
      </c>
    </row>
    <row r="47" spans="1:19" x14ac:dyDescent="0.35">
      <c r="A47" s="128" t="s">
        <v>162</v>
      </c>
      <c r="B47" t="s">
        <v>35</v>
      </c>
      <c r="C47" s="26">
        <v>2</v>
      </c>
      <c r="D47" s="26">
        <v>0.85</v>
      </c>
      <c r="E47" s="26">
        <v>0.5</v>
      </c>
      <c r="F47" s="26">
        <v>3</v>
      </c>
      <c r="G47" s="129">
        <f t="shared" si="4"/>
        <v>0.88235294117647056</v>
      </c>
      <c r="H47" s="26">
        <v>0</v>
      </c>
      <c r="I47" s="26">
        <v>0</v>
      </c>
      <c r="J47" s="26">
        <v>50000</v>
      </c>
      <c r="K47">
        <f t="shared" si="1"/>
        <v>5000</v>
      </c>
      <c r="L47" s="26">
        <v>0</v>
      </c>
      <c r="M47" s="199">
        <f>R47*(C47*D47)</f>
        <v>3.8587029674461348</v>
      </c>
      <c r="N47" s="26">
        <v>0</v>
      </c>
      <c r="O47" s="26">
        <v>10</v>
      </c>
      <c r="P47" s="32">
        <f>Common!$C$35*(1+Common!$C$35)^Single.Stream!O47/((1+Common!$C$35)^Single.Stream!O47-1)</f>
        <v>0.1295045749654567</v>
      </c>
      <c r="Q47" s="32">
        <f>((J47+K47)*P47+L47)/(C47*D47)/(Common!$C$12*Common!$C$10*Common!$C$11)</f>
        <v>0.89526792648317233</v>
      </c>
      <c r="R47" s="180">
        <f>Common!$B$2/Single.Stream!$D$3*IF('SS Material Flow'!$G$134=0,0,'SS Material Flow'!$G$44/'SS Material Flow'!$G$134)</f>
        <v>2.2698252749683148</v>
      </c>
      <c r="S47" s="32">
        <f>N47/(C47*D47)</f>
        <v>0</v>
      </c>
    </row>
    <row r="48" spans="1:19" ht="15" thickBot="1" x14ac:dyDescent="0.4">
      <c r="A48" s="128" t="s">
        <v>163</v>
      </c>
      <c r="B48" t="s">
        <v>35</v>
      </c>
      <c r="C48" s="26">
        <v>2</v>
      </c>
      <c r="D48" s="26">
        <v>0.85</v>
      </c>
      <c r="E48" s="26">
        <v>0.5</v>
      </c>
      <c r="F48" s="26">
        <v>3</v>
      </c>
      <c r="G48" s="129">
        <f t="shared" si="4"/>
        <v>0.88235294117647056</v>
      </c>
      <c r="H48" s="26">
        <v>0</v>
      </c>
      <c r="I48" s="26">
        <v>0</v>
      </c>
      <c r="J48" s="26">
        <v>50000</v>
      </c>
      <c r="K48">
        <f t="shared" si="1"/>
        <v>5000</v>
      </c>
      <c r="L48" s="26">
        <v>0</v>
      </c>
      <c r="M48" s="199">
        <f>R48*(C48*D48)</f>
        <v>1.2768633847183402</v>
      </c>
      <c r="N48" s="26">
        <v>0</v>
      </c>
      <c r="O48" s="26">
        <v>10</v>
      </c>
      <c r="P48" s="32">
        <f>Common!$C$35*(1+Common!$C$35)^Single.Stream!O48/((1+Common!$C$35)^Single.Stream!O48-1)</f>
        <v>0.1295045749654567</v>
      </c>
      <c r="Q48" s="32">
        <f>((J48+K48)*P48+L48)/(C48*D48)/(Common!$C$12*Common!$C$10*Common!$C$11)</f>
        <v>0.89526792648317233</v>
      </c>
      <c r="R48" s="181">
        <f>Common!$B$2/Single.Stream!$D$3*IF('SS Material Flow'!$H$134=0,0,'SS Material Flow'!$H$44/'SS Material Flow'!$H$134)</f>
        <v>0.75109610865784715</v>
      </c>
      <c r="S48" s="32">
        <f>N48/(C48*D48)</f>
        <v>0</v>
      </c>
    </row>
    <row r="49" spans="1:22" s="12" customFormat="1" x14ac:dyDescent="0.35">
      <c r="A49" s="128"/>
      <c r="G49" s="129"/>
      <c r="J49"/>
      <c r="K49">
        <f t="shared" si="1"/>
        <v>0</v>
      </c>
      <c r="L49"/>
      <c r="M49" s="201"/>
      <c r="Q49" s="32"/>
      <c r="R49" s="131"/>
      <c r="S49" s="131"/>
    </row>
    <row r="50" spans="1:22" s="12" customFormat="1" x14ac:dyDescent="0.35">
      <c r="A50" s="153" t="s">
        <v>175</v>
      </c>
      <c r="G50" s="129"/>
      <c r="J50"/>
      <c r="K50">
        <f t="shared" si="1"/>
        <v>0</v>
      </c>
      <c r="L50"/>
      <c r="M50" s="201"/>
      <c r="Q50" s="32"/>
      <c r="R50" s="131"/>
      <c r="S50" s="131"/>
    </row>
    <row r="51" spans="1:22" ht="15" thickBot="1" x14ac:dyDescent="0.4">
      <c r="A51" s="128" t="s">
        <v>78</v>
      </c>
      <c r="B51" s="12" t="s">
        <v>45</v>
      </c>
      <c r="C51" s="26">
        <v>10</v>
      </c>
      <c r="D51" s="26">
        <v>0.85</v>
      </c>
      <c r="E51" s="26">
        <v>0.5</v>
      </c>
      <c r="F51" s="26">
        <v>5</v>
      </c>
      <c r="G51" s="129">
        <f t="shared" ref="G51:G52" si="5">F51*E51/(C51*D51)</f>
        <v>0.29411764705882354</v>
      </c>
      <c r="H51" s="26">
        <v>0</v>
      </c>
      <c r="I51" s="26">
        <v>0</v>
      </c>
      <c r="J51" s="26">
        <v>150000</v>
      </c>
      <c r="K51">
        <f t="shared" si="1"/>
        <v>15000</v>
      </c>
      <c r="L51" s="133">
        <v>100</v>
      </c>
      <c r="M51" s="204">
        <v>2</v>
      </c>
      <c r="N51" s="26">
        <v>0</v>
      </c>
      <c r="O51" s="26">
        <v>10</v>
      </c>
      <c r="P51" s="32">
        <f>Common!$C$35*(1+Common!$C$35)^Single.Stream!O51/((1+Common!$C$35)^Single.Stream!O51-1)</f>
        <v>0.1295045749654567</v>
      </c>
      <c r="Q51" s="32">
        <f>((J51+K51)*P51+L51)/(C51*D51)/(Common!$C$12*Common!$C$10*Common!$C$11)</f>
        <v>0.53967458193314111</v>
      </c>
      <c r="R51" s="32">
        <f>M51/(C51*D51)</f>
        <v>0.23529411764705882</v>
      </c>
      <c r="S51" s="32">
        <f>N51/(C51*D51)</f>
        <v>0</v>
      </c>
    </row>
    <row r="52" spans="1:22" ht="15" thickBot="1" x14ac:dyDescent="0.4">
      <c r="A52" s="128" t="s">
        <v>168</v>
      </c>
      <c r="B52" t="s">
        <v>35</v>
      </c>
      <c r="C52" s="26">
        <v>2</v>
      </c>
      <c r="D52" s="26">
        <v>0.85</v>
      </c>
      <c r="E52" s="26">
        <v>0.5</v>
      </c>
      <c r="F52" s="26">
        <v>3</v>
      </c>
      <c r="G52" s="129">
        <f t="shared" si="5"/>
        <v>0.88235294117647056</v>
      </c>
      <c r="H52" s="26">
        <v>0</v>
      </c>
      <c r="I52" s="26">
        <v>0</v>
      </c>
      <c r="J52" s="26">
        <v>50000</v>
      </c>
      <c r="K52">
        <f t="shared" si="1"/>
        <v>5000</v>
      </c>
      <c r="L52" s="26">
        <v>0</v>
      </c>
      <c r="M52" s="202">
        <f>R52*(C52*D52)</f>
        <v>187.42499999999998</v>
      </c>
      <c r="N52" s="26">
        <v>0</v>
      </c>
      <c r="O52" s="26">
        <v>10</v>
      </c>
      <c r="P52" s="32">
        <f>Common!$C$35*(1+Common!$C$35)^Single.Stream!O52/((1+Common!$C$35)^Single.Stream!O52-1)</f>
        <v>0.1295045749654567</v>
      </c>
      <c r="Q52" s="32">
        <f>((J52+K52)*P52+L52)/(C52*D52)/(Common!$C$12*Common!$C$10*Common!$C$11)</f>
        <v>0.89526792648317233</v>
      </c>
      <c r="R52" s="179">
        <f>Common!$B$2/Single.Stream!D6*IF('SS Material Flow'!E134=0,0,'SS Material Flow'!E44/'SS Material Flow'!E134)</f>
        <v>110.25</v>
      </c>
      <c r="S52" s="32">
        <f>N52/(C52*D52)</f>
        <v>0</v>
      </c>
    </row>
    <row r="53" spans="1:22" s="12" customFormat="1" x14ac:dyDescent="0.35">
      <c r="A53" s="128"/>
      <c r="G53" s="129"/>
      <c r="J53"/>
      <c r="K53">
        <f t="shared" si="1"/>
        <v>0</v>
      </c>
      <c r="L53"/>
      <c r="M53" s="201"/>
      <c r="Q53" s="32"/>
      <c r="R53" s="131"/>
      <c r="S53" s="131"/>
    </row>
    <row r="54" spans="1:22" s="12" customFormat="1" x14ac:dyDescent="0.35">
      <c r="A54" s="153" t="s">
        <v>176</v>
      </c>
      <c r="G54" s="129"/>
      <c r="J54"/>
      <c r="K54">
        <f t="shared" si="1"/>
        <v>0</v>
      </c>
      <c r="L54"/>
      <c r="M54" s="201"/>
      <c r="Q54" s="32"/>
      <c r="R54" s="131"/>
      <c r="S54" s="131"/>
    </row>
    <row r="55" spans="1:22" ht="15" thickBot="1" x14ac:dyDescent="0.4">
      <c r="A55" s="128" t="s">
        <v>64</v>
      </c>
      <c r="B55" t="s">
        <v>35</v>
      </c>
      <c r="C55" s="26">
        <v>10</v>
      </c>
      <c r="D55" s="26">
        <v>0.85</v>
      </c>
      <c r="E55" s="26">
        <v>0.5</v>
      </c>
      <c r="F55" s="26">
        <v>40</v>
      </c>
      <c r="G55" s="129">
        <f t="shared" ref="G55:G56" si="6">F55*E55/(C55*D55)</f>
        <v>2.3529411764705883</v>
      </c>
      <c r="H55" s="26">
        <v>0</v>
      </c>
      <c r="I55" s="26">
        <v>0</v>
      </c>
      <c r="J55" s="26">
        <v>459000</v>
      </c>
      <c r="K55">
        <f t="shared" si="1"/>
        <v>45900</v>
      </c>
      <c r="L55" s="26">
        <v>10200</v>
      </c>
      <c r="M55" s="204">
        <v>0</v>
      </c>
      <c r="N55" s="26">
        <v>0</v>
      </c>
      <c r="O55" s="26">
        <v>10</v>
      </c>
      <c r="P55" s="32">
        <f>Common!$C$35*(1+Common!$C$35)^Single.Stream!O55/((1+Common!$C$35)^Single.Stream!O55-1)</f>
        <v>0.1295045749654567</v>
      </c>
      <c r="Q55" s="32">
        <f>((J55+K55)*P55+L55)/(C55*D55)/(Common!$C$12*Common!$C$10*Common!$C$11)</f>
        <v>1.9001221694333608</v>
      </c>
      <c r="R55" s="32">
        <f>M55/(C55*D55)</f>
        <v>0</v>
      </c>
      <c r="S55" s="32">
        <f>N55/(C55*D55)</f>
        <v>0</v>
      </c>
    </row>
    <row r="56" spans="1:22" ht="15" thickBot="1" x14ac:dyDescent="0.4">
      <c r="A56" s="128" t="s">
        <v>169</v>
      </c>
      <c r="B56" t="s">
        <v>35</v>
      </c>
      <c r="C56" s="26">
        <v>2</v>
      </c>
      <c r="D56" s="26">
        <v>0.85</v>
      </c>
      <c r="E56" s="26">
        <v>0.5</v>
      </c>
      <c r="F56" s="26">
        <v>3</v>
      </c>
      <c r="G56" s="129">
        <f t="shared" si="6"/>
        <v>0.88235294117647056</v>
      </c>
      <c r="H56" s="26">
        <v>0</v>
      </c>
      <c r="I56" s="26">
        <v>0</v>
      </c>
      <c r="J56" s="26">
        <v>50000</v>
      </c>
      <c r="K56">
        <f t="shared" si="1"/>
        <v>5000</v>
      </c>
      <c r="L56" s="26">
        <v>0</v>
      </c>
      <c r="M56" s="203">
        <f>R56*(C56*D56)</f>
        <v>12.450870342912472</v>
      </c>
      <c r="N56" s="26">
        <v>0</v>
      </c>
      <c r="O56" s="26">
        <v>10</v>
      </c>
      <c r="P56" s="32">
        <f>Common!$C$35*(1+Common!$C$35)^Single.Stream!O56/((1+Common!$C$35)^Single.Stream!O56-1)</f>
        <v>0.1295045749654567</v>
      </c>
      <c r="Q56" s="32">
        <f>((J56+K56)*P56+L56)/(C56*D56)/(Common!$C$12*Common!$C$10*Common!$C$11)</f>
        <v>0.89526792648317233</v>
      </c>
      <c r="R56" s="179">
        <f>Common!$B$2/Single.Stream!D7*IF('SS Material Flow'!R134=0,0,'SS Material Flow'!R44/'SS Material Flow'!R134)</f>
        <v>7.3240413781838072</v>
      </c>
      <c r="S56" s="32">
        <f>N56/(C56*D56)</f>
        <v>0</v>
      </c>
    </row>
    <row r="57" spans="1:22" s="12" customFormat="1" x14ac:dyDescent="0.35">
      <c r="A57" s="128"/>
      <c r="G57" s="129"/>
      <c r="J57"/>
      <c r="K57">
        <f t="shared" si="1"/>
        <v>0</v>
      </c>
      <c r="L57"/>
      <c r="M57" s="201"/>
      <c r="Q57" s="32"/>
      <c r="R57" s="131"/>
      <c r="S57" s="131"/>
    </row>
    <row r="58" spans="1:22" s="12" customFormat="1" x14ac:dyDescent="0.35">
      <c r="A58" s="153" t="s">
        <v>177</v>
      </c>
      <c r="G58" s="129"/>
      <c r="J58"/>
      <c r="K58">
        <f t="shared" si="1"/>
        <v>0</v>
      </c>
      <c r="L58"/>
      <c r="M58" s="201"/>
      <c r="Q58" s="32"/>
      <c r="R58" s="131"/>
      <c r="S58" s="131"/>
    </row>
    <row r="59" spans="1:22" ht="15" thickBot="1" x14ac:dyDescent="0.4">
      <c r="A59" s="128" t="s">
        <v>63</v>
      </c>
      <c r="B59" t="s">
        <v>35</v>
      </c>
      <c r="C59" s="26">
        <v>10</v>
      </c>
      <c r="D59" s="26">
        <v>0.85</v>
      </c>
      <c r="E59" s="26">
        <v>0.5</v>
      </c>
      <c r="F59" s="26">
        <v>13</v>
      </c>
      <c r="G59" s="129">
        <f t="shared" ref="G59:G60" si="7">F59*E59/(C59*D59)</f>
        <v>0.76470588235294112</v>
      </c>
      <c r="H59" s="26">
        <v>0</v>
      </c>
      <c r="I59" s="26">
        <v>0</v>
      </c>
      <c r="J59" s="26">
        <v>229000</v>
      </c>
      <c r="K59">
        <f t="shared" si="1"/>
        <v>22900</v>
      </c>
      <c r="L59" s="26">
        <v>5100</v>
      </c>
      <c r="M59" s="204"/>
      <c r="N59" s="26">
        <v>0</v>
      </c>
      <c r="O59" s="26">
        <v>10</v>
      </c>
      <c r="P59" s="32">
        <f>Common!$C$35*(1+Common!$C$35)^Single.Stream!O59/((1+Common!$C$35)^Single.Stream!O59-1)</f>
        <v>0.1295045749654567</v>
      </c>
      <c r="Q59" s="32">
        <f>((J59+K59)*P59+L59)/(C59*D59)/(Common!$C$12*Common!$C$10*Common!$C$11)</f>
        <v>0.94827054886371398</v>
      </c>
      <c r="R59" s="32">
        <f>M59/(C59*D59)</f>
        <v>0</v>
      </c>
      <c r="S59" s="32">
        <f>N59/(C59*D59)</f>
        <v>0</v>
      </c>
    </row>
    <row r="60" spans="1:22" ht="15" thickBot="1" x14ac:dyDescent="0.4">
      <c r="A60" s="128" t="s">
        <v>170</v>
      </c>
      <c r="B60" t="s">
        <v>35</v>
      </c>
      <c r="C60" s="26">
        <v>2</v>
      </c>
      <c r="D60" s="26">
        <v>0.85</v>
      </c>
      <c r="E60" s="26">
        <v>0.5</v>
      </c>
      <c r="F60" s="26">
        <v>3</v>
      </c>
      <c r="G60" s="129">
        <f t="shared" si="7"/>
        <v>0.88235294117647056</v>
      </c>
      <c r="H60" s="26">
        <v>0</v>
      </c>
      <c r="I60" s="26">
        <v>0</v>
      </c>
      <c r="J60" s="26">
        <v>50000</v>
      </c>
      <c r="K60">
        <f t="shared" si="1"/>
        <v>5000</v>
      </c>
      <c r="L60" s="26">
        <v>0</v>
      </c>
      <c r="M60" s="202">
        <f>R60*(C60*D60)</f>
        <v>18.051890152850113</v>
      </c>
      <c r="N60" s="26">
        <v>0</v>
      </c>
      <c r="O60" s="26">
        <v>10</v>
      </c>
      <c r="P60" s="32">
        <f>Common!$C$35*(1+Common!$C$35)^Single.Stream!O60/((1+Common!$C$35)^Single.Stream!O60-1)</f>
        <v>0.1295045749654567</v>
      </c>
      <c r="Q60" s="32">
        <f>((J60+K60)*P60+L60)/(C60*D60)/(Common!$C$12*Common!$C$10*Common!$C$11)</f>
        <v>0.89526792648317233</v>
      </c>
      <c r="R60" s="179">
        <f>Common!$B$2/Single.Stream!D8*IF('SS Material Flow'!P134=0,0,'SS Material Flow'!P44/'SS Material Flow'!P134)</f>
        <v>10.618758913441242</v>
      </c>
      <c r="S60" s="32">
        <f>N60/(C60*D60)</f>
        <v>0</v>
      </c>
    </row>
    <row r="61" spans="1:22" x14ac:dyDescent="0.35">
      <c r="A61" s="13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R61" s="12"/>
      <c r="S61" s="12"/>
      <c r="T61" s="12"/>
      <c r="U61" s="12"/>
      <c r="V61" s="12"/>
    </row>
    <row r="62" spans="1:22" x14ac:dyDescent="0.35">
      <c r="A62" s="2" t="s">
        <v>20</v>
      </c>
    </row>
    <row r="63" spans="1:22" s="16" customFormat="1" ht="29" x14ac:dyDescent="0.35">
      <c r="B63" s="125" t="str">
        <f>A33</f>
        <v>Eddy Current Separator</v>
      </c>
      <c r="C63" s="125" t="str">
        <f>A34</f>
        <v>Manual-ECS</v>
      </c>
      <c r="D63" s="125" t="str">
        <f>A37</f>
        <v>Magnet</v>
      </c>
      <c r="E63" s="126" t="str">
        <f>A38</f>
        <v>Manual-Magnet</v>
      </c>
      <c r="F63" s="125" t="str">
        <f>A41</f>
        <v>Disc Screen 1</v>
      </c>
      <c r="G63" s="126" t="str">
        <f>A42</f>
        <v>Manual-DS1</v>
      </c>
      <c r="H63" s="127" t="str">
        <f>A45</f>
        <v>Disc Screen 2</v>
      </c>
      <c r="I63" s="125" t="str">
        <f>A46</f>
        <v>Disc Screen 3</v>
      </c>
      <c r="J63" s="126" t="str">
        <f>A47</f>
        <v>Manual-DS2</v>
      </c>
      <c r="K63" s="125" t="str">
        <f>A48</f>
        <v>Manual-DS3</v>
      </c>
      <c r="L63" s="126" t="str">
        <f>A51</f>
        <v>Vacuum</v>
      </c>
      <c r="M63" s="125" t="str">
        <f>A52</f>
        <v>Manual-Vacuum</v>
      </c>
      <c r="N63" s="125" t="str">
        <f>A55</f>
        <v>Optical HDPE</v>
      </c>
      <c r="O63" s="125" t="str">
        <f>A56</f>
        <v>Manual-OSHDPE</v>
      </c>
      <c r="P63" s="125" t="str">
        <f>A59</f>
        <v>Optical PET</v>
      </c>
      <c r="Q63" s="125" t="str">
        <f>A60</f>
        <v>Manual-OSPET</v>
      </c>
    </row>
    <row r="64" spans="1:22" x14ac:dyDescent="0.35">
      <c r="A64" t="str">
        <f>A136</f>
        <v>Yard Trimmings, Leaves</v>
      </c>
      <c r="B64" s="68"/>
      <c r="C64" s="68"/>
      <c r="D64" s="68"/>
      <c r="E64" s="68"/>
      <c r="F64" s="68"/>
      <c r="G64" s="154"/>
      <c r="H64" s="68"/>
      <c r="I64" s="68"/>
      <c r="J64" s="68"/>
      <c r="K64" s="154"/>
      <c r="L64" s="68"/>
      <c r="M64" s="155"/>
      <c r="N64" s="68"/>
      <c r="O64" s="68"/>
      <c r="P64" s="68"/>
      <c r="Q64" s="68"/>
    </row>
    <row r="65" spans="1:17" x14ac:dyDescent="0.35">
      <c r="A65" t="str">
        <f t="shared" ref="A65:A104" si="8">A137</f>
        <v>Yard Trimmings, Grass</v>
      </c>
      <c r="B65" s="50"/>
      <c r="C65" s="49"/>
      <c r="D65" s="49"/>
      <c r="E65" s="49"/>
      <c r="F65" s="49"/>
      <c r="G65" s="73"/>
      <c r="H65" s="49"/>
      <c r="I65" s="49"/>
      <c r="J65" s="49"/>
      <c r="K65" s="71"/>
      <c r="L65" s="49"/>
      <c r="M65" s="50"/>
      <c r="N65" s="49"/>
      <c r="O65" s="49"/>
      <c r="P65" s="50"/>
      <c r="Q65" s="49"/>
    </row>
    <row r="66" spans="1:17" x14ac:dyDescent="0.35">
      <c r="A66" t="str">
        <f t="shared" si="8"/>
        <v>Yard Trimmings, Branches</v>
      </c>
      <c r="B66" s="50"/>
      <c r="C66" s="49"/>
      <c r="D66" s="49"/>
      <c r="E66" s="49"/>
      <c r="F66" s="49"/>
      <c r="G66" s="73"/>
      <c r="H66" s="49"/>
      <c r="I66" s="49"/>
      <c r="J66" s="49"/>
      <c r="K66" s="71"/>
      <c r="L66" s="49"/>
      <c r="M66" s="50"/>
      <c r="N66" s="49"/>
      <c r="O66" s="49"/>
      <c r="P66" s="50"/>
      <c r="Q66" s="49"/>
    </row>
    <row r="67" spans="1:17" x14ac:dyDescent="0.35">
      <c r="A67" t="str">
        <f t="shared" si="8"/>
        <v>Food Waste - Vegetable</v>
      </c>
      <c r="B67" s="50"/>
      <c r="C67" s="49"/>
      <c r="D67" s="49"/>
      <c r="E67" s="49"/>
      <c r="F67" s="49"/>
      <c r="G67" s="73"/>
      <c r="H67" s="49"/>
      <c r="I67" s="49"/>
      <c r="J67" s="49"/>
      <c r="K67" s="71"/>
      <c r="L67" s="49"/>
      <c r="M67" s="50"/>
      <c r="N67" s="49"/>
      <c r="O67" s="49"/>
      <c r="P67" s="50"/>
      <c r="Q67" s="49"/>
    </row>
    <row r="68" spans="1:17" x14ac:dyDescent="0.35">
      <c r="A68" t="str">
        <f t="shared" si="8"/>
        <v>Food Waste - Non-Vegetable</v>
      </c>
      <c r="B68" s="50"/>
      <c r="C68" s="49"/>
      <c r="D68" s="49"/>
      <c r="E68" s="49"/>
      <c r="F68" s="49"/>
      <c r="G68" s="73"/>
      <c r="H68" s="49"/>
      <c r="I68" s="49"/>
      <c r="J68" s="49"/>
      <c r="K68" s="71"/>
      <c r="L68" s="49"/>
      <c r="M68" s="50"/>
      <c r="N68" s="49"/>
      <c r="O68" s="49"/>
      <c r="P68" s="50"/>
      <c r="Q68" s="49"/>
    </row>
    <row r="69" spans="1:17" x14ac:dyDescent="0.35">
      <c r="A69" t="str">
        <f t="shared" si="8"/>
        <v>Wood</v>
      </c>
      <c r="B69" s="50"/>
      <c r="C69" s="49"/>
      <c r="D69" s="49"/>
      <c r="E69" s="49"/>
      <c r="F69" s="49"/>
      <c r="G69" s="73"/>
      <c r="H69" s="49"/>
      <c r="I69" s="49"/>
      <c r="J69" s="49"/>
      <c r="K69" s="71"/>
      <c r="L69" s="49"/>
      <c r="M69" s="50"/>
      <c r="N69" s="49"/>
      <c r="O69" s="49"/>
      <c r="P69" s="50"/>
      <c r="Q69" s="49"/>
    </row>
    <row r="70" spans="1:17" x14ac:dyDescent="0.35">
      <c r="A70" t="str">
        <f t="shared" si="8"/>
        <v>Wood Other</v>
      </c>
      <c r="B70" s="50"/>
      <c r="C70" s="49"/>
      <c r="D70" s="49"/>
      <c r="E70" s="49"/>
      <c r="F70" s="49"/>
      <c r="G70" s="73"/>
      <c r="H70" s="49"/>
      <c r="I70" s="49"/>
      <c r="J70" s="49"/>
      <c r="K70" s="71"/>
      <c r="L70" s="49"/>
      <c r="M70" s="50"/>
      <c r="N70" s="49"/>
      <c r="O70" s="49"/>
      <c r="P70" s="50"/>
      <c r="Q70" s="49"/>
    </row>
    <row r="71" spans="1:17" x14ac:dyDescent="0.35">
      <c r="A71" t="str">
        <f t="shared" si="8"/>
        <v>Textiles</v>
      </c>
      <c r="B71" s="50"/>
      <c r="C71" s="49"/>
      <c r="D71" s="49"/>
      <c r="E71" s="49"/>
      <c r="F71" s="49"/>
      <c r="G71" s="73"/>
      <c r="H71" s="49"/>
      <c r="I71" s="49"/>
      <c r="J71" s="49"/>
      <c r="K71" s="71"/>
      <c r="L71" s="49"/>
      <c r="M71" s="50"/>
      <c r="N71" s="49"/>
      <c r="O71" s="49"/>
      <c r="P71" s="50"/>
      <c r="Q71" s="49"/>
    </row>
    <row r="72" spans="1:17" x14ac:dyDescent="0.35">
      <c r="A72" t="str">
        <f t="shared" si="8"/>
        <v>Rubber/Leather</v>
      </c>
      <c r="B72" s="50"/>
      <c r="C72" s="49"/>
      <c r="D72" s="49"/>
      <c r="E72" s="49"/>
      <c r="F72" s="49"/>
      <c r="G72" s="73"/>
      <c r="H72" s="49"/>
      <c r="I72" s="49"/>
      <c r="J72" s="49"/>
      <c r="K72" s="71"/>
      <c r="L72" s="49"/>
      <c r="M72" s="50"/>
      <c r="N72" s="49"/>
      <c r="O72" s="49"/>
      <c r="P72" s="50"/>
      <c r="Q72" s="49"/>
    </row>
    <row r="73" spans="1:17" x14ac:dyDescent="0.35">
      <c r="A73" t="str">
        <f t="shared" si="8"/>
        <v>Newsprint</v>
      </c>
      <c r="B73" s="50"/>
      <c r="C73" s="49"/>
      <c r="D73" s="49"/>
      <c r="E73" s="49"/>
      <c r="F73" s="49"/>
      <c r="G73" s="73"/>
      <c r="H73" s="49">
        <v>0.85</v>
      </c>
      <c r="I73" s="49">
        <v>0.91</v>
      </c>
      <c r="J73" s="49">
        <v>0.75</v>
      </c>
      <c r="K73" s="71">
        <v>0.8</v>
      </c>
      <c r="L73" s="49"/>
      <c r="M73" s="50"/>
      <c r="N73" s="49"/>
      <c r="O73" s="49"/>
      <c r="P73" s="50"/>
      <c r="Q73" s="49"/>
    </row>
    <row r="74" spans="1:17" x14ac:dyDescent="0.35">
      <c r="A74" t="str">
        <f t="shared" si="8"/>
        <v>Corr. Cardboard</v>
      </c>
      <c r="B74" s="50"/>
      <c r="C74" s="49"/>
      <c r="D74" s="49"/>
      <c r="E74" s="49"/>
      <c r="F74" s="49">
        <v>0.7</v>
      </c>
      <c r="G74" s="73">
        <v>0.95</v>
      </c>
      <c r="H74" s="49">
        <v>0.85</v>
      </c>
      <c r="I74" s="49">
        <v>0.91</v>
      </c>
      <c r="J74" s="49">
        <v>0.75</v>
      </c>
      <c r="K74" s="71">
        <v>0.8</v>
      </c>
      <c r="L74" s="49"/>
      <c r="M74" s="50"/>
      <c r="N74" s="49"/>
      <c r="O74" s="49"/>
      <c r="P74" s="50"/>
      <c r="Q74" s="49"/>
    </row>
    <row r="75" spans="1:17" x14ac:dyDescent="0.35">
      <c r="A75" t="str">
        <f t="shared" si="8"/>
        <v>Office Paper</v>
      </c>
      <c r="B75" s="50"/>
      <c r="C75" s="49"/>
      <c r="D75" s="49"/>
      <c r="E75" s="49"/>
      <c r="F75" s="49"/>
      <c r="G75" s="73"/>
      <c r="H75" s="49">
        <v>0.85</v>
      </c>
      <c r="I75" s="49">
        <v>0.91</v>
      </c>
      <c r="J75" s="49">
        <v>0.75</v>
      </c>
      <c r="K75" s="71">
        <v>0.8</v>
      </c>
      <c r="L75" s="49"/>
      <c r="M75" s="50"/>
      <c r="N75" s="49"/>
      <c r="O75" s="49"/>
      <c r="P75" s="50"/>
      <c r="Q75" s="49"/>
    </row>
    <row r="76" spans="1:17" x14ac:dyDescent="0.35">
      <c r="A76" t="str">
        <f t="shared" si="8"/>
        <v xml:space="preserve">Magazines </v>
      </c>
      <c r="B76" s="50"/>
      <c r="C76" s="49"/>
      <c r="D76" s="49"/>
      <c r="E76" s="49"/>
      <c r="F76" s="49"/>
      <c r="G76" s="73"/>
      <c r="H76" s="49">
        <v>0.85</v>
      </c>
      <c r="I76" s="49">
        <v>0.91</v>
      </c>
      <c r="J76" s="49">
        <v>0.75</v>
      </c>
      <c r="K76" s="71">
        <v>0.8</v>
      </c>
      <c r="L76" s="49"/>
      <c r="M76" s="50"/>
      <c r="N76" s="49"/>
      <c r="O76" s="49"/>
      <c r="P76" s="50"/>
      <c r="Q76" s="49"/>
    </row>
    <row r="77" spans="1:17" x14ac:dyDescent="0.35">
      <c r="A77" t="str">
        <f t="shared" si="8"/>
        <v>3rd Class Mail</v>
      </c>
      <c r="B77" s="50"/>
      <c r="C77" s="49"/>
      <c r="D77" s="49"/>
      <c r="E77" s="49"/>
      <c r="F77" s="49"/>
      <c r="G77" s="73"/>
      <c r="H77" s="49">
        <v>0.85</v>
      </c>
      <c r="I77" s="49">
        <v>0.91</v>
      </c>
      <c r="J77" s="49">
        <v>0.75</v>
      </c>
      <c r="K77" s="71">
        <v>0.8</v>
      </c>
      <c r="L77" s="49"/>
      <c r="M77" s="50"/>
      <c r="N77" s="49"/>
      <c r="O77" s="49"/>
      <c r="P77" s="50"/>
      <c r="Q77" s="49"/>
    </row>
    <row r="78" spans="1:17" x14ac:dyDescent="0.35">
      <c r="A78" t="str">
        <f t="shared" si="8"/>
        <v>Folding Containers</v>
      </c>
      <c r="B78" s="50"/>
      <c r="C78" s="49"/>
      <c r="D78" s="49"/>
      <c r="E78" s="49"/>
      <c r="F78" s="49"/>
      <c r="G78" s="73"/>
      <c r="H78" s="49">
        <v>0.85</v>
      </c>
      <c r="I78" s="49">
        <v>0.91</v>
      </c>
      <c r="J78" s="49">
        <v>0.75</v>
      </c>
      <c r="K78" s="71">
        <v>0.8</v>
      </c>
      <c r="L78" s="49"/>
      <c r="M78" s="50"/>
      <c r="N78" s="49"/>
      <c r="O78" s="49"/>
      <c r="P78" s="50"/>
      <c r="Q78" s="49"/>
    </row>
    <row r="79" spans="1:17" x14ac:dyDescent="0.35">
      <c r="A79" t="str">
        <f t="shared" si="8"/>
        <v xml:space="preserve">Paper Bags </v>
      </c>
      <c r="B79" s="50"/>
      <c r="C79" s="49"/>
      <c r="D79" s="49"/>
      <c r="E79" s="49"/>
      <c r="F79" s="49"/>
      <c r="G79" s="73"/>
      <c r="H79" s="49">
        <v>0.85</v>
      </c>
      <c r="I79" s="49">
        <v>0.91</v>
      </c>
      <c r="J79" s="49">
        <v>0.75</v>
      </c>
      <c r="K79" s="71">
        <v>0.8</v>
      </c>
      <c r="L79" s="49"/>
      <c r="M79" s="50"/>
      <c r="N79" s="49"/>
      <c r="O79" s="49"/>
      <c r="P79" s="50"/>
      <c r="Q79" s="49"/>
    </row>
    <row r="80" spans="1:17" x14ac:dyDescent="0.35">
      <c r="A80" t="str">
        <f t="shared" si="8"/>
        <v>Mixed Paper</v>
      </c>
      <c r="B80" s="50"/>
      <c r="C80" s="49"/>
      <c r="D80" s="49"/>
      <c r="E80" s="49"/>
      <c r="F80" s="49"/>
      <c r="G80" s="73"/>
      <c r="H80" s="49">
        <v>0.85</v>
      </c>
      <c r="I80" s="49">
        <v>0.91</v>
      </c>
      <c r="J80" s="49">
        <v>0.75</v>
      </c>
      <c r="K80" s="71">
        <v>0.8</v>
      </c>
      <c r="L80" s="49"/>
      <c r="M80" s="50"/>
      <c r="N80" s="49"/>
      <c r="O80" s="49"/>
      <c r="P80" s="50"/>
      <c r="Q80" s="49"/>
    </row>
    <row r="81" spans="1:17" x14ac:dyDescent="0.35">
      <c r="A81" t="str">
        <f t="shared" si="8"/>
        <v>Paper - Non-recyclable</v>
      </c>
      <c r="B81" s="50"/>
      <c r="C81" s="49"/>
      <c r="D81" s="49"/>
      <c r="E81" s="49"/>
      <c r="F81" s="49"/>
      <c r="G81" s="73"/>
      <c r="H81" s="49"/>
      <c r="I81" s="49"/>
      <c r="J81" s="49"/>
      <c r="K81" s="71"/>
      <c r="L81" s="49"/>
      <c r="M81" s="50"/>
      <c r="N81" s="49"/>
      <c r="O81" s="49"/>
      <c r="P81" s="50"/>
      <c r="Q81" s="49"/>
    </row>
    <row r="82" spans="1:17" x14ac:dyDescent="0.35">
      <c r="A82" t="str">
        <f t="shared" si="8"/>
        <v>HDPE - Translucent Containers</v>
      </c>
      <c r="B82" s="50"/>
      <c r="C82" s="49"/>
      <c r="D82" s="49"/>
      <c r="E82" s="49"/>
      <c r="F82" s="49"/>
      <c r="G82" s="73"/>
      <c r="H82" s="49"/>
      <c r="I82" s="49"/>
      <c r="J82" s="49"/>
      <c r="K82" s="71"/>
      <c r="L82" s="49"/>
      <c r="M82" s="50"/>
      <c r="N82" s="49">
        <v>0.98</v>
      </c>
      <c r="O82" s="49">
        <v>0.98</v>
      </c>
      <c r="P82" s="50"/>
      <c r="Q82" s="49"/>
    </row>
    <row r="83" spans="1:17" x14ac:dyDescent="0.35">
      <c r="A83" t="str">
        <f t="shared" si="8"/>
        <v>HDPE - Pigmented Containers</v>
      </c>
      <c r="B83" s="50"/>
      <c r="C83" s="49"/>
      <c r="D83" s="49"/>
      <c r="E83" s="49"/>
      <c r="F83" s="49"/>
      <c r="G83" s="73"/>
      <c r="H83" s="49"/>
      <c r="I83" s="49"/>
      <c r="J83" s="49"/>
      <c r="K83" s="71"/>
      <c r="L83" s="49"/>
      <c r="M83" s="50"/>
      <c r="N83" s="49">
        <v>0.98</v>
      </c>
      <c r="O83" s="49">
        <v>0.98</v>
      </c>
      <c r="P83" s="50"/>
      <c r="Q83" s="49"/>
    </row>
    <row r="84" spans="1:17" x14ac:dyDescent="0.35">
      <c r="A84" t="str">
        <f t="shared" si="8"/>
        <v>PET - Containers</v>
      </c>
      <c r="B84" s="50"/>
      <c r="C84" s="49"/>
      <c r="D84" s="49"/>
      <c r="E84" s="49"/>
      <c r="F84" s="49"/>
      <c r="G84" s="73"/>
      <c r="H84" s="49"/>
      <c r="I84" s="49"/>
      <c r="J84" s="49"/>
      <c r="K84" s="71"/>
      <c r="L84" s="49"/>
      <c r="M84" s="50"/>
      <c r="N84" s="49"/>
      <c r="O84" s="49"/>
      <c r="P84" s="50">
        <v>0.98</v>
      </c>
      <c r="Q84" s="49">
        <v>0.98</v>
      </c>
    </row>
    <row r="85" spans="1:17" x14ac:dyDescent="0.35">
      <c r="A85" t="str">
        <f t="shared" si="8"/>
        <v>Plastic - Other # 1, Polypropylene</v>
      </c>
      <c r="B85" s="50"/>
      <c r="C85" s="49"/>
      <c r="D85" s="49"/>
      <c r="E85" s="49"/>
      <c r="F85" s="49"/>
      <c r="G85" s="73"/>
      <c r="H85" s="49"/>
      <c r="I85" s="49"/>
      <c r="J85" s="49"/>
      <c r="K85" s="71"/>
      <c r="L85" s="49"/>
      <c r="M85" s="50"/>
      <c r="N85" s="49"/>
      <c r="O85" s="49"/>
      <c r="P85" s="50"/>
      <c r="Q85" s="49"/>
    </row>
    <row r="86" spans="1:17" x14ac:dyDescent="0.35">
      <c r="A86" t="str">
        <f t="shared" si="8"/>
        <v>Plastic - Other # 2</v>
      </c>
      <c r="B86" s="50"/>
      <c r="C86" s="49"/>
      <c r="D86" s="49"/>
      <c r="E86" s="49"/>
      <c r="F86" s="49"/>
      <c r="G86" s="73"/>
      <c r="H86" s="49"/>
      <c r="I86" s="49"/>
      <c r="J86" s="49"/>
      <c r="K86" s="71"/>
      <c r="L86" s="49"/>
      <c r="M86" s="50"/>
      <c r="N86" s="49"/>
      <c r="O86" s="49"/>
      <c r="P86" s="50"/>
      <c r="Q86" s="49"/>
    </row>
    <row r="87" spans="1:17" x14ac:dyDescent="0.35">
      <c r="A87" t="str">
        <f t="shared" si="8"/>
        <v>Mixed Plastic</v>
      </c>
      <c r="B87" s="50"/>
      <c r="C87" s="49"/>
      <c r="D87" s="49"/>
      <c r="E87" s="49"/>
      <c r="F87" s="49"/>
      <c r="G87" s="73"/>
      <c r="H87" s="49"/>
      <c r="I87" s="49"/>
      <c r="J87" s="49"/>
      <c r="K87" s="71"/>
      <c r="L87" s="49"/>
      <c r="M87" s="50"/>
      <c r="N87" s="49"/>
      <c r="O87" s="49"/>
      <c r="P87" s="50"/>
      <c r="Q87" s="49"/>
    </row>
    <row r="88" spans="1:17" x14ac:dyDescent="0.35">
      <c r="A88" t="str">
        <f t="shared" si="8"/>
        <v>Plastic Film</v>
      </c>
      <c r="B88" s="50"/>
      <c r="C88" s="49"/>
      <c r="D88" s="49"/>
      <c r="E88" s="49"/>
      <c r="F88" s="49"/>
      <c r="G88" s="73"/>
      <c r="H88" s="49"/>
      <c r="I88" s="49"/>
      <c r="J88" s="49"/>
      <c r="K88" s="71"/>
      <c r="L88" s="49">
        <v>1</v>
      </c>
      <c r="M88" s="50">
        <v>1</v>
      </c>
      <c r="N88" s="49"/>
      <c r="O88" s="49"/>
      <c r="P88" s="50"/>
      <c r="Q88" s="49"/>
    </row>
    <row r="89" spans="1:17" x14ac:dyDescent="0.35">
      <c r="A89" t="str">
        <f t="shared" si="8"/>
        <v xml:space="preserve">Plastic - Non-Recyclable </v>
      </c>
      <c r="B89" s="50"/>
      <c r="C89" s="49"/>
      <c r="D89" s="49"/>
      <c r="E89" s="49"/>
      <c r="F89" s="49"/>
      <c r="G89" s="73"/>
      <c r="H89" s="49"/>
      <c r="I89" s="49"/>
      <c r="J89" s="49"/>
      <c r="K89" s="71"/>
      <c r="L89" s="49"/>
      <c r="M89" s="50"/>
      <c r="N89" s="49"/>
      <c r="O89" s="49"/>
      <c r="P89" s="50"/>
      <c r="Q89" s="49"/>
    </row>
    <row r="90" spans="1:17" x14ac:dyDescent="0.35">
      <c r="A90" t="str">
        <f t="shared" si="8"/>
        <v>Ferrous Cans</v>
      </c>
      <c r="B90" s="50"/>
      <c r="C90" s="49"/>
      <c r="D90" s="49">
        <v>0.98</v>
      </c>
      <c r="E90" s="49">
        <v>0.95</v>
      </c>
      <c r="F90" s="49"/>
      <c r="G90" s="73"/>
      <c r="H90" s="49"/>
      <c r="I90" s="49"/>
      <c r="J90" s="49"/>
      <c r="K90" s="71"/>
      <c r="L90" s="49"/>
      <c r="M90" s="50"/>
      <c r="N90" s="49"/>
      <c r="O90" s="49"/>
      <c r="P90" s="50"/>
      <c r="Q90" s="49"/>
    </row>
    <row r="91" spans="1:17" x14ac:dyDescent="0.35">
      <c r="A91" t="str">
        <f t="shared" si="8"/>
        <v>Ferrous Metal - Other</v>
      </c>
      <c r="B91" s="50"/>
      <c r="C91" s="49"/>
      <c r="D91" s="49">
        <v>0.98</v>
      </c>
      <c r="E91" s="49">
        <v>0.95</v>
      </c>
      <c r="F91" s="49"/>
      <c r="G91" s="73"/>
      <c r="H91" s="49"/>
      <c r="I91" s="49"/>
      <c r="J91" s="49"/>
      <c r="K91" s="71"/>
      <c r="L91" s="49"/>
      <c r="M91" s="50"/>
      <c r="N91" s="49"/>
      <c r="O91" s="49"/>
      <c r="P91" s="50"/>
      <c r="Q91" s="49"/>
    </row>
    <row r="92" spans="1:17" x14ac:dyDescent="0.35">
      <c r="A92" t="str">
        <f t="shared" si="8"/>
        <v>Aluminum Cans</v>
      </c>
      <c r="B92" s="50">
        <v>0.97</v>
      </c>
      <c r="C92" s="49">
        <v>0.95</v>
      </c>
      <c r="D92" s="49"/>
      <c r="E92" s="49"/>
      <c r="F92" s="49"/>
      <c r="G92" s="73"/>
      <c r="H92" s="49"/>
      <c r="I92" s="49"/>
      <c r="J92" s="49"/>
      <c r="K92" s="71"/>
      <c r="L92" s="49"/>
      <c r="M92" s="50"/>
      <c r="N92" s="49"/>
      <c r="O92" s="49"/>
      <c r="P92" s="50"/>
      <c r="Q92" s="49"/>
    </row>
    <row r="93" spans="1:17" x14ac:dyDescent="0.35">
      <c r="A93" t="str">
        <f t="shared" si="8"/>
        <v>Aluminum - Foil</v>
      </c>
      <c r="B93" s="50">
        <v>0.97</v>
      </c>
      <c r="C93" s="49">
        <v>0.95</v>
      </c>
      <c r="D93" s="49"/>
      <c r="E93" s="49"/>
      <c r="F93" s="49"/>
      <c r="G93" s="73"/>
      <c r="H93" s="49"/>
      <c r="I93" s="49"/>
      <c r="J93" s="49"/>
      <c r="K93" s="71"/>
      <c r="L93" s="49"/>
      <c r="M93" s="50"/>
      <c r="N93" s="49"/>
      <c r="O93" s="49"/>
      <c r="P93" s="50"/>
      <c r="Q93" s="49"/>
    </row>
    <row r="94" spans="1:17" x14ac:dyDescent="0.35">
      <c r="A94" t="str">
        <f t="shared" si="8"/>
        <v>Aluminum - Other</v>
      </c>
      <c r="B94" s="50">
        <v>0.97</v>
      </c>
      <c r="C94" s="49">
        <v>0.95</v>
      </c>
      <c r="D94" s="49"/>
      <c r="E94" s="49"/>
      <c r="F94" s="49"/>
      <c r="G94" s="73"/>
      <c r="H94" s="49"/>
      <c r="I94" s="49"/>
      <c r="J94" s="49"/>
      <c r="K94" s="71"/>
      <c r="L94" s="49"/>
      <c r="M94" s="50"/>
      <c r="N94" s="49"/>
      <c r="O94" s="49"/>
      <c r="P94" s="50"/>
      <c r="Q94" s="49"/>
    </row>
    <row r="95" spans="1:17" x14ac:dyDescent="0.35">
      <c r="A95" t="str">
        <f t="shared" si="8"/>
        <v xml:space="preserve">Ferrous - Non-recyclable </v>
      </c>
      <c r="B95" s="50"/>
      <c r="C95" s="49"/>
      <c r="D95" s="49">
        <v>0.98</v>
      </c>
      <c r="E95" s="49">
        <v>0.95</v>
      </c>
      <c r="F95" s="49"/>
      <c r="G95" s="73"/>
      <c r="H95" s="49"/>
      <c r="I95" s="49"/>
      <c r="J95" s="49"/>
      <c r="K95" s="71"/>
      <c r="L95" s="49"/>
      <c r="M95" s="50"/>
      <c r="N95" s="49"/>
      <c r="O95" s="49"/>
      <c r="P95" s="50"/>
      <c r="Q95" s="49"/>
    </row>
    <row r="96" spans="1:17" x14ac:dyDescent="0.35">
      <c r="A96" t="str">
        <f t="shared" si="8"/>
        <v xml:space="preserve">Al - Non-recyclable </v>
      </c>
      <c r="B96" s="50">
        <v>0.97</v>
      </c>
      <c r="C96" s="49">
        <v>0.95</v>
      </c>
      <c r="D96" s="49"/>
      <c r="E96" s="49"/>
      <c r="F96" s="49"/>
      <c r="G96" s="73"/>
      <c r="H96" s="49"/>
      <c r="I96" s="49"/>
      <c r="J96" s="49"/>
      <c r="K96" s="71"/>
      <c r="L96" s="49"/>
      <c r="M96" s="50"/>
      <c r="N96" s="49"/>
      <c r="O96" s="49"/>
      <c r="P96" s="50"/>
      <c r="Q96" s="49"/>
    </row>
    <row r="97" spans="1:23" x14ac:dyDescent="0.35">
      <c r="A97" t="str">
        <f t="shared" si="8"/>
        <v>Glass - Brown</v>
      </c>
      <c r="B97" s="50"/>
      <c r="C97" s="49"/>
      <c r="D97" s="49"/>
      <c r="E97" s="49"/>
      <c r="F97" s="49"/>
      <c r="G97" s="73"/>
      <c r="H97" s="49"/>
      <c r="I97" s="49"/>
      <c r="J97" s="49"/>
      <c r="K97" s="71"/>
      <c r="L97" s="49"/>
      <c r="M97" s="50"/>
      <c r="N97" s="49"/>
      <c r="O97" s="49"/>
      <c r="P97" s="50"/>
      <c r="Q97" s="49"/>
    </row>
    <row r="98" spans="1:23" x14ac:dyDescent="0.35">
      <c r="A98" t="str">
        <f t="shared" si="8"/>
        <v>Glass - Green</v>
      </c>
      <c r="B98" s="50"/>
      <c r="C98" s="49"/>
      <c r="D98" s="49"/>
      <c r="E98" s="49"/>
      <c r="F98" s="49"/>
      <c r="G98" s="73"/>
      <c r="H98" s="49"/>
      <c r="I98" s="49"/>
      <c r="J98" s="49"/>
      <c r="K98" s="71"/>
      <c r="L98" s="49"/>
      <c r="M98" s="50"/>
      <c r="N98" s="49"/>
      <c r="O98" s="49"/>
      <c r="P98" s="50"/>
      <c r="Q98" s="49"/>
    </row>
    <row r="99" spans="1:23" x14ac:dyDescent="0.35">
      <c r="A99" t="str">
        <f t="shared" si="8"/>
        <v>Glass - Clear</v>
      </c>
      <c r="B99" s="50"/>
      <c r="C99" s="49"/>
      <c r="D99" s="49"/>
      <c r="E99" s="49"/>
      <c r="F99" s="49"/>
      <c r="G99" s="73"/>
      <c r="H99" s="49"/>
      <c r="I99" s="49"/>
      <c r="J99" s="49"/>
      <c r="K99" s="71"/>
      <c r="L99" s="49"/>
      <c r="M99" s="50"/>
      <c r="N99" s="49"/>
      <c r="O99" s="49"/>
      <c r="P99" s="50"/>
      <c r="Q99" s="49"/>
    </row>
    <row r="100" spans="1:23" x14ac:dyDescent="0.35">
      <c r="A100" t="str">
        <f t="shared" si="8"/>
        <v>Mixed Glass</v>
      </c>
      <c r="B100" s="50"/>
      <c r="C100" s="49"/>
      <c r="D100" s="49"/>
      <c r="E100" s="49"/>
      <c r="F100" s="49"/>
      <c r="G100" s="73"/>
      <c r="H100" s="49"/>
      <c r="I100" s="49"/>
      <c r="J100" s="49"/>
      <c r="K100" s="71"/>
      <c r="L100" s="49"/>
      <c r="M100" s="50"/>
      <c r="N100" s="49"/>
      <c r="O100" s="49"/>
      <c r="P100" s="50"/>
      <c r="Q100" s="49"/>
    </row>
    <row r="101" spans="1:23" x14ac:dyDescent="0.35">
      <c r="A101" t="str">
        <f t="shared" si="8"/>
        <v>Glass - Non-recyclable</v>
      </c>
      <c r="B101" s="50"/>
      <c r="C101" s="49"/>
      <c r="D101" s="49"/>
      <c r="E101" s="49"/>
      <c r="F101" s="49"/>
      <c r="G101" s="73"/>
      <c r="H101" s="49"/>
      <c r="I101" s="49"/>
      <c r="J101" s="49"/>
      <c r="K101" s="71"/>
      <c r="L101" s="49"/>
      <c r="M101" s="50"/>
      <c r="N101" s="49"/>
      <c r="O101" s="49"/>
      <c r="P101" s="50"/>
      <c r="Q101" s="49"/>
    </row>
    <row r="102" spans="1:23" x14ac:dyDescent="0.35">
      <c r="A102" t="str">
        <f t="shared" si="8"/>
        <v>Misc. Organic</v>
      </c>
      <c r="B102" s="50"/>
      <c r="C102" s="49"/>
      <c r="D102" s="49"/>
      <c r="E102" s="49"/>
      <c r="F102" s="49"/>
      <c r="G102" s="73"/>
      <c r="H102" s="49"/>
      <c r="I102" s="49"/>
      <c r="J102" s="49"/>
      <c r="K102" s="71"/>
      <c r="L102" s="49"/>
      <c r="M102" s="50"/>
      <c r="N102" s="49"/>
      <c r="O102" s="49"/>
      <c r="P102" s="50"/>
      <c r="Q102" s="49"/>
    </row>
    <row r="103" spans="1:23" x14ac:dyDescent="0.35">
      <c r="A103" t="str">
        <f t="shared" si="8"/>
        <v>Misc. Inorganic</v>
      </c>
      <c r="B103" s="50"/>
      <c r="C103" s="49"/>
      <c r="D103" s="49"/>
      <c r="E103" s="49"/>
      <c r="F103" s="49"/>
      <c r="G103" s="73"/>
      <c r="H103" s="49"/>
      <c r="I103" s="49"/>
      <c r="J103" s="49"/>
      <c r="K103" s="71"/>
      <c r="L103" s="49"/>
      <c r="M103" s="50"/>
      <c r="N103" s="49"/>
      <c r="O103" s="49"/>
      <c r="P103" s="50"/>
      <c r="Q103" s="49"/>
    </row>
    <row r="104" spans="1:23" x14ac:dyDescent="0.35">
      <c r="A104" t="str">
        <f t="shared" si="8"/>
        <v>E-waste</v>
      </c>
      <c r="B104" s="70"/>
      <c r="C104" s="69"/>
      <c r="D104" s="69"/>
      <c r="E104" s="69"/>
      <c r="F104" s="69"/>
      <c r="G104" s="74"/>
      <c r="H104" s="69"/>
      <c r="I104" s="69"/>
      <c r="J104" s="69"/>
      <c r="K104" s="72"/>
      <c r="L104" s="69"/>
      <c r="M104" s="70"/>
      <c r="N104" s="69"/>
      <c r="O104" s="69"/>
      <c r="P104" s="70"/>
      <c r="Q104" s="69"/>
    </row>
    <row r="105" spans="1:23" x14ac:dyDescent="0.35">
      <c r="A105" s="13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R105" s="12"/>
      <c r="S105" s="12"/>
      <c r="T105" s="12"/>
      <c r="U105" s="12"/>
      <c r="V105" s="12"/>
    </row>
    <row r="106" spans="1:23" x14ac:dyDescent="0.35">
      <c r="A106" s="2" t="s">
        <v>12</v>
      </c>
      <c r="S106" s="12"/>
      <c r="T106" s="12"/>
      <c r="U106" s="12"/>
      <c r="V106" s="12"/>
      <c r="W106" s="12"/>
    </row>
    <row r="107" spans="1:23" s="16" customFormat="1" ht="70.5" customHeight="1" x14ac:dyDescent="0.35">
      <c r="B107" s="16" t="s">
        <v>165</v>
      </c>
      <c r="C107" s="16" t="s">
        <v>164</v>
      </c>
      <c r="D107" s="16" t="s">
        <v>178</v>
      </c>
      <c r="E107" s="16" t="s">
        <v>44</v>
      </c>
      <c r="F107" s="16" t="s">
        <v>138</v>
      </c>
      <c r="G107" s="16" t="s">
        <v>52</v>
      </c>
      <c r="H107" s="16" t="s">
        <v>53</v>
      </c>
      <c r="I107" s="16" t="s">
        <v>0</v>
      </c>
      <c r="J107" s="16" t="s">
        <v>14</v>
      </c>
      <c r="K107" s="16" t="s">
        <v>1</v>
      </c>
      <c r="L107" s="16" t="s">
        <v>349</v>
      </c>
      <c r="M107" s="16" t="s">
        <v>131</v>
      </c>
      <c r="N107" s="336" t="s">
        <v>508</v>
      </c>
      <c r="O107" s="16" t="s">
        <v>132</v>
      </c>
      <c r="P107" s="16" t="s">
        <v>211</v>
      </c>
      <c r="Q107" s="16" t="s">
        <v>136</v>
      </c>
      <c r="R107" s="16" t="s">
        <v>134</v>
      </c>
      <c r="S107" s="16" t="s">
        <v>133</v>
      </c>
      <c r="T107" s="16" t="s">
        <v>141</v>
      </c>
      <c r="U107" s="16" t="s">
        <v>137</v>
      </c>
      <c r="V107" s="16" t="s">
        <v>140</v>
      </c>
    </row>
    <row r="108" spans="1:23" x14ac:dyDescent="0.35">
      <c r="A108" s="128" t="s">
        <v>30</v>
      </c>
      <c r="B108" t="s">
        <v>55</v>
      </c>
      <c r="C108" t="s">
        <v>55</v>
      </c>
      <c r="E108" s="3"/>
      <c r="F108" s="26">
        <v>30</v>
      </c>
      <c r="G108" s="26">
        <v>0.85</v>
      </c>
      <c r="H108" s="26">
        <v>0.5</v>
      </c>
      <c r="I108" s="52">
        <f>7.5*Common!B3</f>
        <v>5.5927500000000006</v>
      </c>
      <c r="J108" s="129">
        <f>I108*H108/(F108*G108)</f>
        <v>0.10966176470588236</v>
      </c>
      <c r="K108" s="26">
        <v>0</v>
      </c>
      <c r="L108" s="26">
        <v>0</v>
      </c>
      <c r="M108" s="26">
        <v>46257.8</v>
      </c>
      <c r="N108">
        <f>M108*$C$31</f>
        <v>4625.7800000000007</v>
      </c>
      <c r="O108" s="26">
        <v>10000</v>
      </c>
      <c r="P108" s="135"/>
      <c r="Q108" s="26"/>
      <c r="R108" s="26">
        <v>10</v>
      </c>
      <c r="S108" s="32">
        <f>Common!$C$35*(1+Common!$C$35)^Single.Stream!R108/((1+Common!$C$35)^Single.Stream!R108-1)</f>
        <v>0.1295045749654567</v>
      </c>
      <c r="T108" s="32">
        <f>((M108+N108)*S108+O108)/(F108*G108)/(Common!$C$10*Common!$C$11*Common!$C$12)</f>
        <v>0.1390117010274913</v>
      </c>
      <c r="U108" s="32">
        <f>P108/(F108*G108)</f>
        <v>0</v>
      </c>
      <c r="V108" s="32">
        <f>Q108/(F108*G108)</f>
        <v>0</v>
      </c>
    </row>
    <row r="109" spans="1:23" s="12" customFormat="1" x14ac:dyDescent="0.35">
      <c r="A109" s="128" t="s">
        <v>56</v>
      </c>
      <c r="B109" s="26"/>
      <c r="C109" s="12" t="s">
        <v>13</v>
      </c>
      <c r="D109" s="12" t="str">
        <f>IF(AND(C109="Yes",B109=""),"Yes",IF(AND(B109="",C109="No"),"No",B109))</f>
        <v>Yes</v>
      </c>
      <c r="E109" s="12" t="s">
        <v>45</v>
      </c>
      <c r="F109" s="26">
        <v>30</v>
      </c>
      <c r="G109" s="26">
        <v>1</v>
      </c>
      <c r="H109" s="26">
        <v>0.5</v>
      </c>
      <c r="I109" s="26">
        <v>15</v>
      </c>
      <c r="J109" s="129">
        <f t="shared" ref="J109:J117" si="9">I109*H109/(F109*G109)</f>
        <v>0.25</v>
      </c>
      <c r="K109" s="26">
        <v>0</v>
      </c>
      <c r="L109" s="26">
        <v>0</v>
      </c>
      <c r="M109" s="26">
        <v>153000</v>
      </c>
      <c r="N109">
        <f t="shared" ref="N109:N132" si="10">M109*$C$31</f>
        <v>15300</v>
      </c>
      <c r="O109" s="26">
        <v>100</v>
      </c>
      <c r="P109" s="135"/>
      <c r="Q109" s="26"/>
      <c r="R109" s="26">
        <v>10</v>
      </c>
      <c r="S109" s="32">
        <f>Common!$C$35*(1+Common!$C$35)^Single.Stream!$R109/((1+Common!$C$35)^Single.Stream!$R109-1)</f>
        <v>0.1295045749654567</v>
      </c>
      <c r="T109" s="32">
        <f>((M109+N109)*S109+O109)/(F109*G109)/(Common!$C$10*Common!$C$11*Common!$C$12)</f>
        <v>0.15595170916443277</v>
      </c>
      <c r="U109" s="32">
        <f>P109/(F109*G109)</f>
        <v>0</v>
      </c>
      <c r="V109" s="32">
        <f>Q109/(F109*G109)</f>
        <v>0</v>
      </c>
    </row>
    <row r="110" spans="1:23" s="12" customFormat="1" ht="15" thickBot="1" x14ac:dyDescent="0.4">
      <c r="A110" s="128" t="s">
        <v>81</v>
      </c>
      <c r="B110" s="26"/>
      <c r="C110" s="12" t="s">
        <v>13</v>
      </c>
      <c r="D110" s="12" t="str">
        <f t="shared" ref="D110:D132" si="11">IF(AND(C110="Yes",B110=""),"Yes",IF(AND(B110="",C110="No"),"No",B110))</f>
        <v>Yes</v>
      </c>
      <c r="E110" s="12" t="s">
        <v>45</v>
      </c>
      <c r="F110" s="26">
        <v>30</v>
      </c>
      <c r="G110" s="26">
        <v>0.85</v>
      </c>
      <c r="H110" s="26">
        <v>0.5</v>
      </c>
      <c r="I110" s="26">
        <v>3</v>
      </c>
      <c r="J110" s="129">
        <f t="shared" si="9"/>
        <v>5.8823529411764705E-2</v>
      </c>
      <c r="K110" s="26">
        <v>0</v>
      </c>
      <c r="L110" s="26">
        <v>0</v>
      </c>
      <c r="M110" s="26">
        <v>50000</v>
      </c>
      <c r="N110">
        <f t="shared" si="10"/>
        <v>5000</v>
      </c>
      <c r="O110" s="132"/>
      <c r="P110" s="135"/>
      <c r="Q110" s="26"/>
      <c r="R110" s="26">
        <v>10</v>
      </c>
      <c r="S110" s="32">
        <f>Common!$C$35*(1+Common!$C$35)^Single.Stream!$R110/((1+Common!$C$35)^Single.Stream!$R110-1)</f>
        <v>0.1295045749654567</v>
      </c>
      <c r="T110" s="32">
        <f>((M110+N110)*S110+O110)/(F110*G110)/(Common!$C$10*Common!$C$11*Common!$C$12)</f>
        <v>5.9684528432211482E-2</v>
      </c>
      <c r="U110" s="32">
        <f>P110/(F110*G110)</f>
        <v>0</v>
      </c>
      <c r="V110" s="32">
        <f>Q110/(F110*G110)</f>
        <v>0</v>
      </c>
    </row>
    <row r="111" spans="1:23" s="150" customFormat="1" x14ac:dyDescent="0.35">
      <c r="A111" s="11" t="str">
        <f>IF($B6=Common!$E$117,A52,A51)</f>
        <v>Vacuum</v>
      </c>
      <c r="B111" s="26"/>
      <c r="C111" s="182" t="str">
        <f>IF(B6=Common!$E$118,"No","Yes")</f>
        <v>Yes</v>
      </c>
      <c r="D111" s="12" t="str">
        <f t="shared" si="11"/>
        <v>Yes</v>
      </c>
      <c r="E111" s="11" t="s">
        <v>45</v>
      </c>
      <c r="F111" s="11">
        <f>IF($B6=Common!$E$117,C52,C51)</f>
        <v>10</v>
      </c>
      <c r="G111" s="11">
        <f>IF($B6=Common!$E$117,D52,D51)</f>
        <v>0.85</v>
      </c>
      <c r="H111" s="11">
        <f>IF($B6=Common!$E$117,E52,E51)</f>
        <v>0.5</v>
      </c>
      <c r="I111" s="11">
        <f>IF($B6=Common!$E$117,F52,F51)</f>
        <v>5</v>
      </c>
      <c r="J111" s="148">
        <f>IF($B6=Common!$E$117,G52,G51)</f>
        <v>0.29411764705882354</v>
      </c>
      <c r="K111" s="11">
        <f>IF($B6=Common!$E$117,H52,H51)</f>
        <v>0</v>
      </c>
      <c r="L111" s="11">
        <f>IF($B6=Common!$E$117,I52,I51)</f>
        <v>0</v>
      </c>
      <c r="M111" s="11">
        <f>IF($B6=Common!$E$117,J52,J51)</f>
        <v>150000</v>
      </c>
      <c r="N111" s="11">
        <f>IF($B6=Common!$E$117,K52,K51)</f>
        <v>15000</v>
      </c>
      <c r="O111" s="11">
        <f>IF($B6=Common!$E$117,L52,L51)</f>
        <v>100</v>
      </c>
      <c r="P111" s="11">
        <f>IF($B6=Common!$E$117,M52,M51)</f>
        <v>2</v>
      </c>
      <c r="Q111" s="11">
        <f>IF($B6=Common!$E$117,N52,N51)</f>
        <v>0</v>
      </c>
      <c r="R111" s="11">
        <f>IF($B6=Common!$E$117,O52,O51)</f>
        <v>10</v>
      </c>
      <c r="S111" s="32">
        <f>IF($B6=Common!$E$117,P52,P51)</f>
        <v>0.1295045749654567</v>
      </c>
      <c r="T111" s="32">
        <f>IF($B6=Common!$E$117,Q52,Q51)</f>
        <v>0.53967458193314111</v>
      </c>
      <c r="U111" s="32">
        <f>IF($B6=Common!$E$117,R52,R51)</f>
        <v>0.23529411764705882</v>
      </c>
      <c r="V111" s="11">
        <f>IF($B6=Common!$E$117,S52,S51)</f>
        <v>0</v>
      </c>
    </row>
    <row r="112" spans="1:23" s="150" customFormat="1" x14ac:dyDescent="0.35">
      <c r="A112" s="11" t="str">
        <f>IF($B2=Common!$E$117,A42,A41)</f>
        <v>Disc Screen 1</v>
      </c>
      <c r="B112" s="26"/>
      <c r="C112" s="183" t="str">
        <f>IF(B2=Common!$E$118,"No","Yes")</f>
        <v>Yes</v>
      </c>
      <c r="D112" s="12" t="str">
        <f t="shared" si="11"/>
        <v>Yes</v>
      </c>
      <c r="E112" s="11" t="str">
        <f>IF($B2=Common!$E$117,B42,B41)</f>
        <v>Total Throughput</v>
      </c>
      <c r="F112" s="11">
        <f>IF($B2=Common!$E$117,C42,C41)</f>
        <v>45</v>
      </c>
      <c r="G112" s="11">
        <f>IF($B2=Common!$E$117,D42,D41)</f>
        <v>0.85</v>
      </c>
      <c r="H112" s="11">
        <f>IF($B2=Common!$E$117,E42,E41)</f>
        <v>0.5</v>
      </c>
      <c r="I112" s="11">
        <f>IF($B2=Common!$E$117,F42,F41)</f>
        <v>8.5</v>
      </c>
      <c r="J112" s="148">
        <f>IF($B2=Common!$E$117,G42,G41)</f>
        <v>0.1111111111111111</v>
      </c>
      <c r="K112" s="11">
        <f>IF($B2=Common!$E$117,H42,H41)</f>
        <v>0</v>
      </c>
      <c r="L112" s="11">
        <f>IF($B2=Common!$E$117,I42,I41)</f>
        <v>0</v>
      </c>
      <c r="M112" s="11">
        <f>IF($B2=Common!$E$117,J42,J41)</f>
        <v>178000</v>
      </c>
      <c r="N112" s="11">
        <f>IF($B2=Common!$E$117,K42,K41)</f>
        <v>17800</v>
      </c>
      <c r="O112" s="11">
        <f>IF($B2=Common!$E$117,L42,L41)</f>
        <v>10200</v>
      </c>
      <c r="P112" s="11">
        <f>IF($B2=Common!$E$117,M42,M41)</f>
        <v>0</v>
      </c>
      <c r="Q112" s="11">
        <f>IF($B2=Common!$E$117,N42,N41)</f>
        <v>0</v>
      </c>
      <c r="R112" s="11">
        <f>IF($B2=Common!$E$117,O42,O41)</f>
        <v>10</v>
      </c>
      <c r="S112" s="149">
        <f>Common!$C$35*(1+Common!$C$35)^Single.Stream!$R112/((1+Common!$C$35)^Single.Stream!$R112-1)</f>
        <v>0.1295045749654567</v>
      </c>
      <c r="T112" s="32">
        <f>(M112*S112+O112)/(F112*G112)/(Common!$C$10*Common!$C$11*Common!$C$12)</f>
        <v>0.1857539486277375</v>
      </c>
      <c r="U112" s="149">
        <f>P112/(F112*G112)*IF('SS Material Flow'!F44=0,0,('SS Material Flow'!F44/'SS Material Flow'!F134))</f>
        <v>0</v>
      </c>
      <c r="V112" s="149">
        <f t="shared" ref="V112:V123" si="12">Q112/(F112*G112)</f>
        <v>0</v>
      </c>
    </row>
    <row r="113" spans="1:22" s="150" customFormat="1" x14ac:dyDescent="0.35">
      <c r="A113" s="11" t="str">
        <f>IF($B3=Common!$E$117,A47,A45)</f>
        <v>Disc Screen 2</v>
      </c>
      <c r="B113" s="26"/>
      <c r="C113" s="183" t="str">
        <f>IF($B$3=Common!$E$118,"No","Yes")</f>
        <v>Yes</v>
      </c>
      <c r="D113" s="12" t="str">
        <f t="shared" si="11"/>
        <v>Yes</v>
      </c>
      <c r="E113" s="11" t="str">
        <f>IF($B3=Common!$E$117,B47,B45)</f>
        <v>Total Throughput</v>
      </c>
      <c r="F113" s="11">
        <f>IF($B3=Common!$E$117,C47,C45)</f>
        <v>21</v>
      </c>
      <c r="G113" s="11">
        <f>IF($B3=Common!$E$117,D47,D45)</f>
        <v>0.85</v>
      </c>
      <c r="H113" s="11">
        <f>IF($B3=Common!$E$117,E47,E45)</f>
        <v>0.5</v>
      </c>
      <c r="I113" s="11">
        <f>IF($B3=Common!$E$117,F47,F45)</f>
        <v>5.5</v>
      </c>
      <c r="J113" s="148">
        <f>IF($B3=Common!$E$117,G47,G45)</f>
        <v>0.15406162464985995</v>
      </c>
      <c r="K113" s="11">
        <f>IF($B3=Common!$E$117,H47,H45)</f>
        <v>0</v>
      </c>
      <c r="L113" s="11">
        <f>IF($B3=Common!$E$117,I47,I45)</f>
        <v>0</v>
      </c>
      <c r="M113" s="11">
        <f>IF($B3=Common!$E$117,J47,J45)</f>
        <v>408000</v>
      </c>
      <c r="N113" s="11">
        <f>IF($B3=Common!$E$117,K47,K45)</f>
        <v>40800</v>
      </c>
      <c r="O113" s="11">
        <f>IF($B3=Common!$E$117,L47,L45)</f>
        <v>13300</v>
      </c>
      <c r="P113" s="11">
        <f>IF($B3=Common!$E$117,M47,M45)</f>
        <v>0</v>
      </c>
      <c r="Q113" s="11">
        <f>IF($B3=Common!$E$117,N47,N45)</f>
        <v>0</v>
      </c>
      <c r="R113" s="11">
        <f>IF($B3=Common!$E$117,O47,O45)</f>
        <v>10</v>
      </c>
      <c r="S113" s="149">
        <f>Common!$C$35*(1+Common!$C$35)^Single.Stream!$R113/((1+Common!$C$35)^Single.Stream!$R113-1)</f>
        <v>0.1295045749654567</v>
      </c>
      <c r="T113" s="32">
        <f>(M113*S113+O113)/(F113*G113)/(Common!$C$10*Common!$C$11*Common!$C$12)</f>
        <v>0.7917099593706618</v>
      </c>
      <c r="U113" s="149">
        <f t="shared" ref="U113:U123" si="13">P113/(F113*G113)</f>
        <v>0</v>
      </c>
      <c r="V113" s="149">
        <f t="shared" si="12"/>
        <v>0</v>
      </c>
    </row>
    <row r="114" spans="1:22" s="150" customFormat="1" x14ac:dyDescent="0.35">
      <c r="A114" s="11" t="str">
        <f>IF($B3=Common!$E$117,A48,A46)</f>
        <v>Disc Screen 3</v>
      </c>
      <c r="B114" s="26"/>
      <c r="C114" s="183" t="str">
        <f>IF($B$3=Common!$E$118,"No","Yes")</f>
        <v>Yes</v>
      </c>
      <c r="D114" s="12" t="str">
        <f t="shared" si="11"/>
        <v>Yes</v>
      </c>
      <c r="E114" s="11" t="str">
        <f>IF($B3=Common!$E$117,B48,B46)</f>
        <v>Total Throughput</v>
      </c>
      <c r="F114" s="11">
        <f>IF($B3=Common!$E$117,C48,C46)</f>
        <v>7</v>
      </c>
      <c r="G114" s="11">
        <f>IF($B3=Common!$E$117,D48,D46)</f>
        <v>0.85</v>
      </c>
      <c r="H114" s="11">
        <f>IF($B3=Common!$E$117,E48,E46)</f>
        <v>0.5</v>
      </c>
      <c r="I114" s="11">
        <f>IF($B3=Common!$E$117,F48,F46)</f>
        <v>10</v>
      </c>
      <c r="J114" s="148">
        <f>IF($B3=Common!$E$117,G48,G46)</f>
        <v>0.84033613445378152</v>
      </c>
      <c r="K114" s="11">
        <f>IF($B3=Common!$E$117,H48,H46)</f>
        <v>0</v>
      </c>
      <c r="L114" s="11">
        <f>IF($B3=Common!$E$117,I48,I46)</f>
        <v>0</v>
      </c>
      <c r="M114" s="11">
        <f>IF($B3=Common!$E$117,J48,J46)</f>
        <v>286000</v>
      </c>
      <c r="N114" s="11">
        <f>IF($B3=Common!$E$117,K48,K46)</f>
        <v>28600</v>
      </c>
      <c r="O114" s="11">
        <f>IF($B3=Common!$E$117,L48,L46)</f>
        <v>10200</v>
      </c>
      <c r="P114" s="11">
        <f>IF($B3=Common!$E$117,M48,M46)</f>
        <v>0</v>
      </c>
      <c r="Q114" s="11">
        <f>IF($B3=Common!$E$117,N48,N46)</f>
        <v>0</v>
      </c>
      <c r="R114" s="11">
        <f>IF($B3=Common!$E$117,O48,O46)</f>
        <v>10</v>
      </c>
      <c r="S114" s="149">
        <f>Common!$C$35*(1+Common!$C$35)^Single.Stream!$R114/((1+Common!$C$35)^Single.Stream!$R114-1)</f>
        <v>0.1295045749654567</v>
      </c>
      <c r="T114" s="32">
        <f>(M114*S114+O114)/(F114*G114)/(Common!$C$10*Common!$C$11*Common!$C$12)</f>
        <v>1.6964127142182222</v>
      </c>
      <c r="U114" s="149">
        <f t="shared" si="13"/>
        <v>0</v>
      </c>
      <c r="V114" s="149">
        <f t="shared" si="12"/>
        <v>0</v>
      </c>
    </row>
    <row r="115" spans="1:22" s="12" customFormat="1" x14ac:dyDescent="0.35">
      <c r="A115" s="128" t="s">
        <v>82</v>
      </c>
      <c r="B115" s="26" t="s">
        <v>19</v>
      </c>
      <c r="C115" s="183" t="str">
        <f>IF($B$3=Common!$E$118,"No","Yes")</f>
        <v>Yes</v>
      </c>
      <c r="D115" s="12" t="str">
        <f t="shared" si="11"/>
        <v>No</v>
      </c>
      <c r="E115" s="12" t="s">
        <v>45</v>
      </c>
      <c r="F115" s="26">
        <v>30</v>
      </c>
      <c r="G115" s="26">
        <v>0.85</v>
      </c>
      <c r="H115" s="26">
        <v>0.5</v>
      </c>
      <c r="I115" s="26">
        <v>3</v>
      </c>
      <c r="J115" s="129">
        <f t="shared" si="9"/>
        <v>5.8823529411764705E-2</v>
      </c>
      <c r="K115" s="26">
        <v>0</v>
      </c>
      <c r="L115" s="26">
        <v>0</v>
      </c>
      <c r="M115" s="26">
        <v>50000</v>
      </c>
      <c r="N115">
        <f t="shared" si="10"/>
        <v>5000</v>
      </c>
      <c r="O115" s="132"/>
      <c r="P115" s="134">
        <v>6</v>
      </c>
      <c r="Q115" s="26"/>
      <c r="R115" s="26">
        <v>10</v>
      </c>
      <c r="S115" s="32">
        <f>Common!$C$35*(1+Common!$C$35)^Single.Stream!$R115/((1+Common!$C$35)^Single.Stream!$R115-1)</f>
        <v>0.1295045749654567</v>
      </c>
      <c r="T115" s="32">
        <f>((M115+N115)*S115+O115)/(F115*G115)/(Common!$C$10*Common!$C$11*Common!$C$12)</f>
        <v>5.9684528432211482E-2</v>
      </c>
      <c r="U115" s="32">
        <f t="shared" si="13"/>
        <v>0.23529411764705882</v>
      </c>
      <c r="V115" s="32">
        <f t="shared" si="12"/>
        <v>0</v>
      </c>
    </row>
    <row r="116" spans="1:22" ht="15" thickBot="1" x14ac:dyDescent="0.4">
      <c r="A116" s="128" t="s">
        <v>83</v>
      </c>
      <c r="B116" s="26" t="s">
        <v>19</v>
      </c>
      <c r="C116" s="184" t="str">
        <f>IF($B$3=Common!$E$118,"No","Yes")</f>
        <v>Yes</v>
      </c>
      <c r="D116" s="12" t="str">
        <f t="shared" si="11"/>
        <v>No</v>
      </c>
      <c r="E116" t="s">
        <v>45</v>
      </c>
      <c r="F116" s="26">
        <v>30</v>
      </c>
      <c r="G116" s="26">
        <v>0.85</v>
      </c>
      <c r="H116" s="26">
        <v>0.5</v>
      </c>
      <c r="I116" s="26">
        <v>3</v>
      </c>
      <c r="J116" s="129">
        <f t="shared" si="9"/>
        <v>5.8823529411764705E-2</v>
      </c>
      <c r="K116" s="26">
        <v>0</v>
      </c>
      <c r="L116" s="26">
        <v>0</v>
      </c>
      <c r="M116" s="26">
        <v>50000</v>
      </c>
      <c r="N116">
        <f t="shared" si="10"/>
        <v>5000</v>
      </c>
      <c r="O116" s="133"/>
      <c r="P116" s="134">
        <v>2</v>
      </c>
      <c r="Q116" s="26"/>
      <c r="R116" s="26">
        <v>10</v>
      </c>
      <c r="S116" s="32">
        <f>Common!$C$35*(1+Common!$C$35)^Single.Stream!$R116/((1+Common!$C$35)^Single.Stream!$R116-1)</f>
        <v>0.1295045749654567</v>
      </c>
      <c r="T116" s="32">
        <f>((M116+N116)*S116+O116)/(F116*G116)/(Common!$C$10*Common!$C$11*Common!$C$12)</f>
        <v>5.9684528432211482E-2</v>
      </c>
      <c r="U116" s="32">
        <f t="shared" si="13"/>
        <v>7.8431372549019607E-2</v>
      </c>
      <c r="V116" s="32">
        <f t="shared" si="12"/>
        <v>0</v>
      </c>
    </row>
    <row r="117" spans="1:22" x14ac:dyDescent="0.35">
      <c r="A117" s="128" t="s">
        <v>60</v>
      </c>
      <c r="B117" s="26"/>
      <c r="C117" s="12" t="s">
        <v>13</v>
      </c>
      <c r="D117" s="12" t="str">
        <f t="shared" si="11"/>
        <v>Yes</v>
      </c>
      <c r="E117" t="s">
        <v>45</v>
      </c>
      <c r="F117" s="26">
        <v>51</v>
      </c>
      <c r="G117" s="26">
        <v>1</v>
      </c>
      <c r="H117" s="26">
        <v>0.5</v>
      </c>
      <c r="I117" s="26">
        <v>63</v>
      </c>
      <c r="J117" s="129">
        <f t="shared" si="9"/>
        <v>0.61764705882352944</v>
      </c>
      <c r="K117" s="26">
        <v>0</v>
      </c>
      <c r="L117" s="26">
        <v>0</v>
      </c>
      <c r="M117" s="26">
        <v>561000</v>
      </c>
      <c r="N117">
        <f t="shared" si="10"/>
        <v>56100</v>
      </c>
      <c r="O117" s="26">
        <v>5100</v>
      </c>
      <c r="P117" s="134">
        <v>1</v>
      </c>
      <c r="Q117" s="26"/>
      <c r="R117" s="26">
        <v>10</v>
      </c>
      <c r="S117" s="32">
        <f>Common!$C$35*(1+Common!$C$35)^Single.Stream!$R117/((1+Common!$C$35)^Single.Stream!$R117-1)</f>
        <v>0.1295045749654567</v>
      </c>
      <c r="T117" s="32">
        <f>((M117+N117)*S117+O117)/(F117*G117)/(Common!$C$10*Common!$C$11*Common!$C$12)</f>
        <v>0.35619772587222781</v>
      </c>
      <c r="U117" s="32">
        <f t="shared" si="13"/>
        <v>1.9607843137254902E-2</v>
      </c>
      <c r="V117" s="32">
        <f t="shared" si="12"/>
        <v>0</v>
      </c>
    </row>
    <row r="118" spans="1:22" s="150" customFormat="1" ht="15" thickBot="1" x14ac:dyDescent="0.4">
      <c r="A118" s="128" t="s">
        <v>61</v>
      </c>
      <c r="B118" s="26"/>
      <c r="C118" s="12" t="s">
        <v>13</v>
      </c>
      <c r="D118" s="12" t="str">
        <f t="shared" si="11"/>
        <v>Yes</v>
      </c>
      <c r="E118" t="s">
        <v>35</v>
      </c>
      <c r="F118" s="26">
        <v>9</v>
      </c>
      <c r="G118" s="26">
        <v>0.85</v>
      </c>
      <c r="H118" s="26">
        <v>0.5</v>
      </c>
      <c r="I118" s="26">
        <v>30</v>
      </c>
      <c r="J118" s="129">
        <v>1.9607843137254903</v>
      </c>
      <c r="K118" s="26">
        <v>0</v>
      </c>
      <c r="L118" s="26">
        <v>0</v>
      </c>
      <c r="M118" s="26">
        <v>224000</v>
      </c>
      <c r="N118">
        <f t="shared" si="10"/>
        <v>22400</v>
      </c>
      <c r="O118" s="26">
        <v>10200</v>
      </c>
      <c r="P118" s="198">
        <v>0</v>
      </c>
      <c r="Q118" s="26">
        <v>0</v>
      </c>
      <c r="R118" s="26">
        <v>10</v>
      </c>
      <c r="S118" s="32">
        <f>Common!$C$35*(1+Common!$C$35)^Single.Stream!R118/((1+Common!$C$35)^Single.Stream!R118-1)</f>
        <v>0.1295045749654567</v>
      </c>
      <c r="T118" s="32">
        <f>((M118+N118)*S118+O118)/(F118*G118)/(Common!$C$10*Common!$C$11*Common!$C$12)</f>
        <v>1.1761892428213099</v>
      </c>
      <c r="U118" s="32">
        <f t="shared" si="13"/>
        <v>0</v>
      </c>
      <c r="V118" s="32">
        <f t="shared" si="12"/>
        <v>0</v>
      </c>
    </row>
    <row r="119" spans="1:22" s="150" customFormat="1" x14ac:dyDescent="0.35">
      <c r="A119" s="128" t="s">
        <v>62</v>
      </c>
      <c r="B119" s="26"/>
      <c r="C119" s="182" t="str">
        <f>IF($B$9="No","No","Yes")</f>
        <v>Yes</v>
      </c>
      <c r="D119" s="12" t="str">
        <f t="shared" si="11"/>
        <v>Yes</v>
      </c>
      <c r="E119" t="s">
        <v>45</v>
      </c>
      <c r="F119" s="53">
        <v>36</v>
      </c>
      <c r="G119" s="26">
        <v>0.85</v>
      </c>
      <c r="H119" s="26">
        <v>0.5</v>
      </c>
      <c r="I119" s="52">
        <v>74.569999999999993</v>
      </c>
      <c r="J119" s="129">
        <f>I119*H119/(F119*G119)</f>
        <v>1.2184640522875816</v>
      </c>
      <c r="K119" s="26">
        <v>0</v>
      </c>
      <c r="L119" s="26">
        <v>0</v>
      </c>
      <c r="M119" s="26">
        <v>87800</v>
      </c>
      <c r="N119">
        <f t="shared" si="10"/>
        <v>8780</v>
      </c>
      <c r="O119" s="26">
        <v>10200</v>
      </c>
      <c r="P119" s="134"/>
      <c r="Q119" s="26"/>
      <c r="R119" s="26">
        <v>10</v>
      </c>
      <c r="S119" s="149">
        <f>Common!$C$35*(1+Common!$C$35)^Single.Stream!$R119/((1+Common!$C$35)^Single.Stream!$R119-1)</f>
        <v>0.1295045749654567</v>
      </c>
      <c r="T119" s="32">
        <f>((M119+N119)*S119+O119)/(F119*G119)/(Common!$C$10*Common!$C$11*Common!$C$12)</f>
        <v>0.15856343116420737</v>
      </c>
      <c r="U119" s="149">
        <f t="shared" si="13"/>
        <v>0</v>
      </c>
      <c r="V119" s="149">
        <f t="shared" si="12"/>
        <v>0</v>
      </c>
    </row>
    <row r="120" spans="1:22" s="150" customFormat="1" x14ac:dyDescent="0.35">
      <c r="A120" s="128" t="s">
        <v>71</v>
      </c>
      <c r="B120" s="26" t="s">
        <v>19</v>
      </c>
      <c r="C120" s="183" t="str">
        <f>IF($B$9=Common!$E$118,"No",IF(AND(B21="No",B22="No",B23="No"),"No","Yes"))</f>
        <v>Yes</v>
      </c>
      <c r="D120" s="12" t="str">
        <f t="shared" si="11"/>
        <v>No</v>
      </c>
      <c r="E120" t="s">
        <v>45</v>
      </c>
      <c r="F120" s="53">
        <v>5</v>
      </c>
      <c r="G120" s="26">
        <v>0.95</v>
      </c>
      <c r="H120" s="26">
        <v>0.5</v>
      </c>
      <c r="I120" s="52">
        <v>69</v>
      </c>
      <c r="J120" s="129">
        <f>I120*H120/(F120*G120)</f>
        <v>7.2631578947368425</v>
      </c>
      <c r="K120" s="26">
        <v>0</v>
      </c>
      <c r="L120" s="26">
        <v>0</v>
      </c>
      <c r="M120" s="26">
        <v>841000</v>
      </c>
      <c r="N120">
        <f t="shared" si="10"/>
        <v>84100</v>
      </c>
      <c r="O120" s="26">
        <v>30600</v>
      </c>
      <c r="P120" s="156"/>
      <c r="Q120" s="26"/>
      <c r="R120" s="26">
        <v>10</v>
      </c>
      <c r="S120" s="149">
        <f>Common!$C$35*(1+Common!$C$35)^Single.Stream!$R120/((1+Common!$C$35)^Single.Stream!$R120-1)</f>
        <v>0.1295045749654567</v>
      </c>
      <c r="T120" s="32">
        <f>((M120+N120)*S120+O120)/(F120*G120)/(Common!$C$10*Common!$C$11*Common!$C$12)</f>
        <v>6.7658426585939715</v>
      </c>
      <c r="U120" s="149">
        <f t="shared" si="13"/>
        <v>0</v>
      </c>
      <c r="V120" s="149">
        <f t="shared" si="12"/>
        <v>0</v>
      </c>
    </row>
    <row r="121" spans="1:22" s="150" customFormat="1" x14ac:dyDescent="0.35">
      <c r="A121" s="128" t="s">
        <v>84</v>
      </c>
      <c r="B121" s="26" t="s">
        <v>19</v>
      </c>
      <c r="C121" s="183" t="str">
        <f>IF($B$9=Common!$E$118,"No","Yes")</f>
        <v>Yes</v>
      </c>
      <c r="D121" s="12" t="str">
        <f t="shared" si="11"/>
        <v>No</v>
      </c>
      <c r="E121" t="s">
        <v>45</v>
      </c>
      <c r="F121" s="26">
        <v>30</v>
      </c>
      <c r="G121" s="26">
        <v>0.85</v>
      </c>
      <c r="H121" s="26">
        <v>0.5</v>
      </c>
      <c r="I121" s="26">
        <v>3</v>
      </c>
      <c r="J121" s="129">
        <f>I121*H121/(F121*G121)</f>
        <v>5.8823529411764705E-2</v>
      </c>
      <c r="K121" s="26">
        <v>0</v>
      </c>
      <c r="L121" s="26">
        <v>0</v>
      </c>
      <c r="M121" s="26">
        <v>50000</v>
      </c>
      <c r="N121">
        <f t="shared" si="10"/>
        <v>5000</v>
      </c>
      <c r="O121" s="132"/>
      <c r="P121" s="134">
        <v>3</v>
      </c>
      <c r="Q121" s="26"/>
      <c r="R121" s="26">
        <v>10</v>
      </c>
      <c r="S121" s="149">
        <f>Common!$C$35*(1+Common!$C$35)^Single.Stream!$R121/((1+Common!$C$35)^Single.Stream!$R121-1)</f>
        <v>0.1295045749654567</v>
      </c>
      <c r="T121" s="32">
        <f>((M121+N121)*S121+O121)/(F121*G121)/(Common!$C$10*Common!$C$11*Common!$C$12)</f>
        <v>5.9684528432211482E-2</v>
      </c>
      <c r="U121" s="149">
        <f t="shared" si="13"/>
        <v>0.11764705882352941</v>
      </c>
      <c r="V121" s="149">
        <f t="shared" si="12"/>
        <v>0</v>
      </c>
    </row>
    <row r="122" spans="1:22" s="152" customFormat="1" x14ac:dyDescent="0.35">
      <c r="A122" s="11" t="str">
        <f>IF($B8=Common!$E$117,A60,A59)</f>
        <v>Optical PET</v>
      </c>
      <c r="B122" s="26"/>
      <c r="C122" s="183" t="str">
        <f>IF($B$8=Common!$E$118,"No","Yes")</f>
        <v>Yes</v>
      </c>
      <c r="D122" s="12" t="str">
        <f t="shared" si="11"/>
        <v>Yes</v>
      </c>
      <c r="E122" s="11" t="str">
        <f>IF($B8=Common!$E$117,B60,B59)</f>
        <v>Removed</v>
      </c>
      <c r="F122" s="11">
        <f>IF($B8=Common!$E$117,C60,C59)</f>
        <v>10</v>
      </c>
      <c r="G122" s="11">
        <f>IF($B8=Common!$E$117,D60,D59)</f>
        <v>0.85</v>
      </c>
      <c r="H122" s="11">
        <f>IF($B8=Common!$E$117,E60,E59)</f>
        <v>0.5</v>
      </c>
      <c r="I122" s="11">
        <f>IF($B8=Common!$E$117,F60,F59)</f>
        <v>13</v>
      </c>
      <c r="J122" s="148">
        <f>IF($B8=Common!$E$117,G60,G59)</f>
        <v>0.76470588235294112</v>
      </c>
      <c r="K122" s="11">
        <f>IF($B8=Common!$E$117,H60,H59)</f>
        <v>0</v>
      </c>
      <c r="L122" s="11">
        <f>IF($B8=Common!$E$117,I60,I59)</f>
        <v>0</v>
      </c>
      <c r="M122" s="11">
        <f>IF($B8=Common!$E$117,J60,J59)</f>
        <v>229000</v>
      </c>
      <c r="N122" s="11">
        <f>IF($B8=Common!$E$117,K60,K59)</f>
        <v>22900</v>
      </c>
      <c r="O122" s="11">
        <f>IF($B8=Common!$E$117,L60,L59)</f>
        <v>5100</v>
      </c>
      <c r="P122" s="11">
        <f>IF($B8=Common!$E$117,M60,M59)</f>
        <v>0</v>
      </c>
      <c r="Q122" s="11">
        <f>IF($B8=Common!$E$117,N60,N59)</f>
        <v>0</v>
      </c>
      <c r="R122" s="11">
        <f>IF($B8=Common!$E$117,O60,O59)</f>
        <v>10</v>
      </c>
      <c r="S122" s="149">
        <f>Common!$C$35*(1+Common!$C$35)^Single.Stream!$R122/((1+Common!$C$35)^Single.Stream!$R122-1)</f>
        <v>0.1295045749654567</v>
      </c>
      <c r="T122" s="32">
        <f>(M122*S122+O122)/(F122*G122)/(Common!$C$10*Common!$C$11*Common!$C$12)</f>
        <v>0.87371914698566089</v>
      </c>
      <c r="U122" s="149">
        <f t="shared" si="13"/>
        <v>0</v>
      </c>
      <c r="V122" s="149">
        <f t="shared" si="12"/>
        <v>0</v>
      </c>
    </row>
    <row r="123" spans="1:22" x14ac:dyDescent="0.35">
      <c r="A123" s="128" t="s">
        <v>86</v>
      </c>
      <c r="B123" s="26" t="s">
        <v>19</v>
      </c>
      <c r="C123" s="183" t="str">
        <f>IF($B$8=Common!$E$118,"No","Yes")</f>
        <v>Yes</v>
      </c>
      <c r="D123" s="12" t="str">
        <f t="shared" si="11"/>
        <v>No</v>
      </c>
      <c r="E123" t="s">
        <v>45</v>
      </c>
      <c r="F123" s="26">
        <v>30</v>
      </c>
      <c r="G123" s="26">
        <v>0.85</v>
      </c>
      <c r="H123" s="26">
        <v>0.5</v>
      </c>
      <c r="I123" s="26">
        <v>3</v>
      </c>
      <c r="J123" s="129">
        <f t="shared" ref="J123:J132" si="14">I123*H123/(F123*G123)</f>
        <v>5.8823529411764705E-2</v>
      </c>
      <c r="K123" s="26">
        <v>0</v>
      </c>
      <c r="L123" s="26">
        <v>0</v>
      </c>
      <c r="M123" s="26">
        <v>50000</v>
      </c>
      <c r="N123">
        <f t="shared" si="10"/>
        <v>5000</v>
      </c>
      <c r="O123" s="132"/>
      <c r="P123" s="134">
        <v>1</v>
      </c>
      <c r="Q123" s="26"/>
      <c r="R123" s="26">
        <v>10</v>
      </c>
      <c r="S123" s="32">
        <f>Common!$C$35*(1+Common!$C$35)^Single.Stream!$R123/((1+Common!$C$35)^Single.Stream!$R123-1)</f>
        <v>0.1295045749654567</v>
      </c>
      <c r="T123" s="32">
        <f>((M123+N123)*S123+O123)/(F123*G123)/(Common!$C$10*Common!$C$11*Common!$C$12)</f>
        <v>5.9684528432211482E-2</v>
      </c>
      <c r="U123" s="32">
        <f t="shared" si="13"/>
        <v>3.9215686274509803E-2</v>
      </c>
      <c r="V123" s="32">
        <f t="shared" si="12"/>
        <v>0</v>
      </c>
    </row>
    <row r="124" spans="1:22" s="152" customFormat="1" x14ac:dyDescent="0.35">
      <c r="A124" s="11" t="str">
        <f>IF($B7=Common!$E$117,A56,A55)</f>
        <v>Optical HDPE</v>
      </c>
      <c r="B124" s="26"/>
      <c r="C124" s="183" t="str">
        <f>IF($B$7=Common!$E$118,"No","Yes")</f>
        <v>Yes</v>
      </c>
      <c r="D124" s="12" t="str">
        <f t="shared" si="11"/>
        <v>Yes</v>
      </c>
      <c r="E124" s="11" t="str">
        <f>IF($B7=Common!$E$117,B60,B59)</f>
        <v>Removed</v>
      </c>
      <c r="F124" s="11">
        <f>IF($B7=Common!$E$117,C56,C55)</f>
        <v>10</v>
      </c>
      <c r="G124" s="11">
        <f>IF($B7=Common!$E$117,D56,D55)</f>
        <v>0.85</v>
      </c>
      <c r="H124" s="11">
        <f>IF($B7=Common!$E$117,E56,E55)</f>
        <v>0.5</v>
      </c>
      <c r="I124" s="11">
        <f>IF($B7=Common!$E$117,F56,F55)</f>
        <v>40</v>
      </c>
      <c r="J124" s="148">
        <f>IF($B7=Common!$E$117,G56,G55)</f>
        <v>2.3529411764705883</v>
      </c>
      <c r="K124" s="11">
        <f>IF($B7=Common!$E$117,H56,H55)</f>
        <v>0</v>
      </c>
      <c r="L124" s="11">
        <f>IF($B7=Common!$E$117,I56,I55)</f>
        <v>0</v>
      </c>
      <c r="M124" s="11">
        <f>IF($B7=Common!$E$117,J56,J55)</f>
        <v>459000</v>
      </c>
      <c r="N124" s="11">
        <f>IF($B7=Common!$E$117,K56,K55)</f>
        <v>45900</v>
      </c>
      <c r="O124" s="11">
        <f>IF($B7=Common!$E$117,L56,L55)</f>
        <v>10200</v>
      </c>
      <c r="P124" s="11">
        <f>IF($B7=Common!$E$117,M56,M55)</f>
        <v>0</v>
      </c>
      <c r="Q124" s="11">
        <f>IF($B7=Common!$E$117,N56,N55)</f>
        <v>0</v>
      </c>
      <c r="R124" s="11">
        <f>IF($B7=Common!$E$117,O56,O55)</f>
        <v>10</v>
      </c>
      <c r="S124" s="149">
        <f>IF($B7=Common!$E$117,P56,P55)</f>
        <v>0.1295045749654567</v>
      </c>
      <c r="T124" s="32">
        <f>IF($B7=Common!$E$117,Q56,Q55)</f>
        <v>1.9001221694333608</v>
      </c>
      <c r="U124" s="149">
        <f>IF($B7=Common!$E$117,R56,R55)</f>
        <v>0</v>
      </c>
      <c r="V124" s="149">
        <f>IF($B7=Common!$E$117,S56,S55)</f>
        <v>0</v>
      </c>
    </row>
    <row r="125" spans="1:22" x14ac:dyDescent="0.35">
      <c r="A125" s="128" t="s">
        <v>87</v>
      </c>
      <c r="B125" s="26" t="s">
        <v>19</v>
      </c>
      <c r="C125" s="183" t="str">
        <f>IF($B$7=Common!$E$118,"No","Yes")</f>
        <v>Yes</v>
      </c>
      <c r="D125" s="12" t="str">
        <f t="shared" si="11"/>
        <v>No</v>
      </c>
      <c r="E125" t="s">
        <v>45</v>
      </c>
      <c r="F125" s="26">
        <v>30</v>
      </c>
      <c r="G125" s="26">
        <v>0.85</v>
      </c>
      <c r="H125" s="26">
        <v>0.5</v>
      </c>
      <c r="I125" s="26">
        <v>3</v>
      </c>
      <c r="J125" s="129">
        <f t="shared" si="14"/>
        <v>5.8823529411764705E-2</v>
      </c>
      <c r="K125" s="26">
        <v>0</v>
      </c>
      <c r="L125" s="26">
        <v>0</v>
      </c>
      <c r="M125" s="26">
        <v>50000</v>
      </c>
      <c r="N125">
        <f t="shared" si="10"/>
        <v>5000</v>
      </c>
      <c r="O125" s="132"/>
      <c r="P125" s="134">
        <v>1</v>
      </c>
      <c r="Q125" s="26"/>
      <c r="R125" s="26">
        <v>10</v>
      </c>
      <c r="S125" s="32">
        <f>Common!$C$35*(1+Common!$C$35)^Single.Stream!$R125/((1+Common!$C$35)^Single.Stream!$R125-1)</f>
        <v>0.1295045749654567</v>
      </c>
      <c r="T125" s="32">
        <f>((M125+N125)*S125+O125)/(F125*G125)/(Common!$C$10*Common!$C$11*Common!$C$12)</f>
        <v>5.9684528432211482E-2</v>
      </c>
      <c r="U125" s="32">
        <f t="shared" ref="U125:U132" si="15">P125/(F125*G125)</f>
        <v>3.9215686274509803E-2</v>
      </c>
      <c r="V125" s="32">
        <f t="shared" ref="V125:V132" si="16">Q125/(F125*G125)</f>
        <v>0</v>
      </c>
    </row>
    <row r="126" spans="1:22" s="152" customFormat="1" x14ac:dyDescent="0.35">
      <c r="A126" s="11" t="str">
        <f>IF($B5=Common!$E$117,A38,A37)</f>
        <v>Magnet</v>
      </c>
      <c r="B126" s="26"/>
      <c r="C126" s="183" t="str">
        <f>IF($B$5=Common!$E$118,"No","Yes")</f>
        <v>Yes</v>
      </c>
      <c r="D126" s="12" t="str">
        <f t="shared" si="11"/>
        <v>Yes</v>
      </c>
      <c r="E126" s="11" t="str">
        <f>IF($B5=Common!$E$117,B38,B37)</f>
        <v>Removed</v>
      </c>
      <c r="F126" s="11">
        <f>IF($B5=Common!$E$117,C38,C37)</f>
        <v>2</v>
      </c>
      <c r="G126" s="11">
        <f>IF($B5=Common!$E$117,D38,D37)</f>
        <v>0.85</v>
      </c>
      <c r="H126" s="11">
        <f>IF($B5=Common!$E$117,E38,E37)</f>
        <v>0.5</v>
      </c>
      <c r="I126" s="11">
        <f>IF($B5=Common!$E$117,F38,F37)</f>
        <v>4</v>
      </c>
      <c r="J126" s="148">
        <f>IF($B5=Common!$E$117,G38,G37)</f>
        <v>1.1764705882352942</v>
      </c>
      <c r="K126" s="11">
        <f>IF($B5=Common!$E$117,H38,H37)</f>
        <v>0</v>
      </c>
      <c r="L126" s="11">
        <f>IF($B5=Common!$E$117,I38,I37)</f>
        <v>0</v>
      </c>
      <c r="M126" s="11">
        <f>IF($B5=Common!$E$117,J38,J37)</f>
        <v>360000</v>
      </c>
      <c r="N126" s="11">
        <f>IF($B5=Common!$E$117,K38,K37)</f>
        <v>36000</v>
      </c>
      <c r="O126" s="11">
        <f>IF($B5=Common!$E$117,L38,L37)</f>
        <v>5100</v>
      </c>
      <c r="P126" s="11">
        <f>IF($B5=Common!$E$117,M38,M37)</f>
        <v>0</v>
      </c>
      <c r="Q126" s="11">
        <f>IF($B5=Common!$E$117,N38,N37)</f>
        <v>0</v>
      </c>
      <c r="R126" s="11">
        <f>IF($B5=Common!$E$117,O38,O37)</f>
        <v>10</v>
      </c>
      <c r="S126" s="151">
        <f>Common!$C$35*(1+Common!$C$35)^Single.Stream!$R126/((1+Common!$C$35)^Single.Stream!$R126-1)</f>
        <v>0.1295045749654567</v>
      </c>
      <c r="T126" s="32">
        <f>(M126*S126+O126)/(F126*G126)/(Common!$C$10*Common!$C$11*Common!$C$12)</f>
        <v>6.5009611598245867</v>
      </c>
      <c r="U126" s="151">
        <f t="shared" si="15"/>
        <v>0</v>
      </c>
      <c r="V126" s="151">
        <f t="shared" si="16"/>
        <v>0</v>
      </c>
    </row>
    <row r="127" spans="1:22" x14ac:dyDescent="0.35">
      <c r="A127" s="128" t="s">
        <v>88</v>
      </c>
      <c r="B127" s="26" t="s">
        <v>19</v>
      </c>
      <c r="C127" s="183" t="str">
        <f>IF($B$5=Common!$E$118,"No","Yes")</f>
        <v>Yes</v>
      </c>
      <c r="D127" s="12" t="str">
        <f t="shared" si="11"/>
        <v>No</v>
      </c>
      <c r="E127" t="s">
        <v>45</v>
      </c>
      <c r="F127" s="26">
        <v>30</v>
      </c>
      <c r="G127" s="26">
        <v>0.85</v>
      </c>
      <c r="H127" s="26">
        <v>0.5</v>
      </c>
      <c r="I127" s="26">
        <v>3</v>
      </c>
      <c r="J127" s="129">
        <f t="shared" si="14"/>
        <v>5.8823529411764705E-2</v>
      </c>
      <c r="K127" s="26">
        <v>0</v>
      </c>
      <c r="L127" s="26">
        <v>0</v>
      </c>
      <c r="M127" s="26">
        <v>50000</v>
      </c>
      <c r="N127">
        <f t="shared" si="10"/>
        <v>5000</v>
      </c>
      <c r="O127" s="132"/>
      <c r="P127" s="135"/>
      <c r="Q127" s="26"/>
      <c r="R127" s="26">
        <v>10</v>
      </c>
      <c r="S127" s="32">
        <f>Common!$C$35*(1+Common!$C$35)^Single.Stream!$R127/((1+Common!$C$35)^Single.Stream!$R127-1)</f>
        <v>0.1295045749654567</v>
      </c>
      <c r="T127" s="32">
        <f>((M127+N127)*S127+O127)/(F127*G127)/(Common!$C$10*Common!$C$11*Common!$C$12)</f>
        <v>5.9684528432211482E-2</v>
      </c>
      <c r="U127" s="32">
        <f t="shared" si="15"/>
        <v>0</v>
      </c>
      <c r="V127" s="32">
        <f t="shared" si="16"/>
        <v>0</v>
      </c>
    </row>
    <row r="128" spans="1:22" s="152" customFormat="1" x14ac:dyDescent="0.35">
      <c r="A128" s="11" t="str">
        <f>IF($B4=Common!$E$117,A34,A33)</f>
        <v>Eddy Current Separator</v>
      </c>
      <c r="B128" s="26"/>
      <c r="C128" s="183" t="str">
        <f>IF($B$4=Common!$E$118,"No","Yes")</f>
        <v>Yes</v>
      </c>
      <c r="D128" s="12" t="str">
        <f t="shared" si="11"/>
        <v>Yes</v>
      </c>
      <c r="E128" s="11" t="str">
        <f>IF($B4=Common!$E$117,B34,B33)</f>
        <v>Removed</v>
      </c>
      <c r="F128" s="11">
        <f>IF($B4=Common!$E$117,C34,C33)</f>
        <v>12</v>
      </c>
      <c r="G128" s="11">
        <f>IF($B4=Common!$E$117,D34,D33)</f>
        <v>0.85</v>
      </c>
      <c r="H128" s="11">
        <f>IF($B4=Common!$E$117,E34,E33)</f>
        <v>0.5</v>
      </c>
      <c r="I128" s="11">
        <f>IF($B4=Common!$E$117,F34,F33)</f>
        <v>9</v>
      </c>
      <c r="J128" s="148">
        <f>IF($B4=Common!$E$117,G34,G33)</f>
        <v>0.44117647058823534</v>
      </c>
      <c r="K128" s="11">
        <f>IF($B4=Common!$E$117,H34,H33)</f>
        <v>0</v>
      </c>
      <c r="L128" s="11">
        <f>IF($B4=Common!$E$117,I34,I33)</f>
        <v>0</v>
      </c>
      <c r="M128" s="11">
        <f>IF($B4=Common!$E$117,J34,J33)</f>
        <v>131000</v>
      </c>
      <c r="N128" s="11">
        <f>IF($B4=Common!$E$117,K34,K33)</f>
        <v>13100</v>
      </c>
      <c r="O128" s="11">
        <f>IF($B4=Common!$E$117,L34,L33)</f>
        <v>5100</v>
      </c>
      <c r="P128" s="11">
        <f>IF($B4=Common!$E$117,M34,M33)</f>
        <v>0</v>
      </c>
      <c r="Q128" s="11">
        <f>IF($B4=Common!$E$117,N34,N33)</f>
        <v>0</v>
      </c>
      <c r="R128" s="11">
        <f>IF($B4=Common!$E$117,O34,O33)</f>
        <v>10</v>
      </c>
      <c r="S128" s="151">
        <f>Common!$C$35*(1+Common!$C$35)^Single.Stream!$R128/((1+Common!$C$35)^Single.Stream!$R128-1)</f>
        <v>0.1295045749654567</v>
      </c>
      <c r="T128" s="32">
        <f>(M128*S128+O128)/(F128*G128)/(Common!$C$10*Common!$C$11*Common!$C$12)</f>
        <v>0.46223184432032072</v>
      </c>
      <c r="U128" s="151">
        <f t="shared" si="15"/>
        <v>0</v>
      </c>
      <c r="V128" s="151">
        <f t="shared" si="16"/>
        <v>0</v>
      </c>
    </row>
    <row r="129" spans="1:25" ht="15" thickBot="1" x14ac:dyDescent="0.4">
      <c r="A129" s="128" t="s">
        <v>85</v>
      </c>
      <c r="B129" s="26" t="s">
        <v>19</v>
      </c>
      <c r="C129" s="184" t="str">
        <f>IF($B$4=Common!$E$118,"No","Yes")</f>
        <v>Yes</v>
      </c>
      <c r="D129" s="12" t="str">
        <f t="shared" si="11"/>
        <v>No</v>
      </c>
      <c r="E129" t="s">
        <v>45</v>
      </c>
      <c r="F129" s="26">
        <v>30</v>
      </c>
      <c r="G129" s="26">
        <v>0.85</v>
      </c>
      <c r="H129" s="26">
        <v>0.5</v>
      </c>
      <c r="I129" s="26">
        <v>3</v>
      </c>
      <c r="J129" s="129">
        <f t="shared" si="14"/>
        <v>5.8823529411764705E-2</v>
      </c>
      <c r="K129" s="26">
        <v>0</v>
      </c>
      <c r="L129" s="26">
        <v>0</v>
      </c>
      <c r="M129" s="26">
        <v>50000</v>
      </c>
      <c r="N129">
        <f t="shared" si="10"/>
        <v>5000</v>
      </c>
      <c r="O129" s="132"/>
      <c r="P129" s="135">
        <v>1</v>
      </c>
      <c r="Q129" s="26"/>
      <c r="R129" s="26">
        <v>10</v>
      </c>
      <c r="S129" s="32">
        <f>Common!$C$35*(1+Common!$C$35)^Single.Stream!$R129/((1+Common!$C$35)^Single.Stream!$R129-1)</f>
        <v>0.1295045749654567</v>
      </c>
      <c r="T129" s="32">
        <f>((M129+N129)*S129+O129)/(F129*G129)/(Common!$C$10*Common!$C$11*Common!$C$12)</f>
        <v>5.9684528432211482E-2</v>
      </c>
      <c r="U129" s="32">
        <f t="shared" si="15"/>
        <v>3.9215686274509803E-2</v>
      </c>
      <c r="V129" s="32">
        <f t="shared" si="16"/>
        <v>0</v>
      </c>
    </row>
    <row r="130" spans="1:25" x14ac:dyDescent="0.35">
      <c r="A130" s="128" t="s">
        <v>89</v>
      </c>
      <c r="B130" s="26" t="s">
        <v>19</v>
      </c>
      <c r="C130" s="12" t="s">
        <v>13</v>
      </c>
      <c r="D130" s="12" t="str">
        <f t="shared" si="11"/>
        <v>No</v>
      </c>
      <c r="E130" t="s">
        <v>45</v>
      </c>
      <c r="F130" s="26">
        <v>30</v>
      </c>
      <c r="G130" s="26">
        <v>0.85</v>
      </c>
      <c r="H130" s="26">
        <v>0.5</v>
      </c>
      <c r="I130" s="26">
        <v>3</v>
      </c>
      <c r="J130" s="129">
        <f t="shared" si="14"/>
        <v>5.8823529411764705E-2</v>
      </c>
      <c r="K130" s="26">
        <v>0</v>
      </c>
      <c r="L130" s="26">
        <v>0</v>
      </c>
      <c r="M130" s="26">
        <v>50000</v>
      </c>
      <c r="N130">
        <f t="shared" si="10"/>
        <v>5000</v>
      </c>
      <c r="O130" s="132"/>
      <c r="P130" s="135"/>
      <c r="Q130" s="26"/>
      <c r="R130" s="26">
        <v>10</v>
      </c>
      <c r="S130" s="32">
        <f>Common!$C$35*(1+Common!$C$35)^Single.Stream!$R130/((1+Common!$C$35)^Single.Stream!$R130-1)</f>
        <v>0.1295045749654567</v>
      </c>
      <c r="T130" s="32">
        <f>((M130+N130)*S130+O130)/(F130*G130)/(Common!$C$10*Common!$C$11*Common!$C$12)</f>
        <v>5.9684528432211482E-2</v>
      </c>
      <c r="U130" s="32">
        <f t="shared" si="15"/>
        <v>0</v>
      </c>
      <c r="V130" s="32">
        <f t="shared" si="16"/>
        <v>0</v>
      </c>
    </row>
    <row r="131" spans="1:25" x14ac:dyDescent="0.35">
      <c r="A131" s="128" t="s">
        <v>66</v>
      </c>
      <c r="B131" s="26"/>
      <c r="C131" s="12" t="s">
        <v>13</v>
      </c>
      <c r="D131" s="12" t="str">
        <f t="shared" si="11"/>
        <v>Yes</v>
      </c>
      <c r="E131" t="s">
        <v>45</v>
      </c>
      <c r="F131" s="26">
        <v>30</v>
      </c>
      <c r="G131" s="26">
        <v>1</v>
      </c>
      <c r="H131" s="26">
        <v>0.5</v>
      </c>
      <c r="I131" s="26">
        <v>59</v>
      </c>
      <c r="J131" s="129">
        <f t="shared" si="14"/>
        <v>0.98333333333333328</v>
      </c>
      <c r="K131" s="26">
        <v>0</v>
      </c>
      <c r="L131" s="26">
        <v>0</v>
      </c>
      <c r="M131" s="26">
        <v>541000</v>
      </c>
      <c r="N131">
        <f t="shared" si="10"/>
        <v>54100</v>
      </c>
      <c r="O131" s="132">
        <v>5100</v>
      </c>
      <c r="P131" s="135">
        <v>1</v>
      </c>
      <c r="Q131" s="26"/>
      <c r="R131" s="26">
        <v>10</v>
      </c>
      <c r="S131" s="32">
        <f>Common!$C$35*(1+Common!$C$35)^Single.Stream!$R131/((1+Common!$C$35)^Single.Stream!$R131-1)</f>
        <v>0.1295045749654567</v>
      </c>
      <c r="T131" s="32">
        <f>((M131+N131)*S131+O131)/(F131*G131)/(Common!$C$10*Common!$C$11*Common!$C$12)</f>
        <v>0.58524339431583539</v>
      </c>
      <c r="U131" s="32">
        <f t="shared" si="15"/>
        <v>3.3333333333333333E-2</v>
      </c>
      <c r="V131" s="32">
        <f t="shared" si="16"/>
        <v>0</v>
      </c>
    </row>
    <row r="132" spans="1:25" x14ac:dyDescent="0.35">
      <c r="A132" s="128" t="s">
        <v>70</v>
      </c>
      <c r="B132" s="26"/>
      <c r="C132" s="12" t="s">
        <v>13</v>
      </c>
      <c r="D132" s="12" t="str">
        <f t="shared" si="11"/>
        <v>Yes</v>
      </c>
      <c r="E132" t="s">
        <v>45</v>
      </c>
      <c r="F132" s="26">
        <v>24</v>
      </c>
      <c r="G132" s="26">
        <v>0.85</v>
      </c>
      <c r="H132" s="26">
        <v>0</v>
      </c>
      <c r="I132" s="26">
        <v>0</v>
      </c>
      <c r="J132" s="129">
        <f t="shared" si="14"/>
        <v>0</v>
      </c>
      <c r="K132" s="26">
        <v>0.7</v>
      </c>
      <c r="L132" s="26">
        <v>0</v>
      </c>
      <c r="M132" s="26">
        <v>357000</v>
      </c>
      <c r="N132">
        <f t="shared" si="10"/>
        <v>35700</v>
      </c>
      <c r="O132" s="132">
        <v>5100</v>
      </c>
      <c r="P132" s="135"/>
      <c r="Q132" s="26">
        <v>1</v>
      </c>
      <c r="R132" s="26">
        <v>10</v>
      </c>
      <c r="S132" s="32">
        <f>Common!$C$35*(1+Common!$C$35)^Single.Stream!$R132/((1+Common!$C$35)^Single.Stream!$R132-1)</f>
        <v>0.1295045749654567</v>
      </c>
      <c r="T132" s="32">
        <f>((M132+N132)*S132+O132)/(F132*G132)/(Common!$C$10*Common!$C$11*Common!$C$12)</f>
        <v>0.58610321967629087</v>
      </c>
      <c r="U132" s="32">
        <f t="shared" si="15"/>
        <v>0</v>
      </c>
      <c r="V132" s="32">
        <f t="shared" si="16"/>
        <v>4.9019607843137261E-2</v>
      </c>
    </row>
    <row r="133" spans="1:25" s="12" customFormat="1" x14ac:dyDescent="0.35">
      <c r="A133" s="128"/>
      <c r="H133" s="129"/>
      <c r="L133" s="146"/>
      <c r="M133" s="147"/>
      <c r="P133" s="131"/>
      <c r="Q133" s="131"/>
      <c r="R133" s="131"/>
      <c r="S133" s="131"/>
      <c r="T133" s="131"/>
    </row>
    <row r="134" spans="1:25" x14ac:dyDescent="0.35">
      <c r="A134" s="2" t="s">
        <v>20</v>
      </c>
    </row>
    <row r="135" spans="1:25" s="16" customFormat="1" ht="29" x14ac:dyDescent="0.35">
      <c r="B135" s="125" t="str">
        <f t="array" ref="B135:Y135">TRANSPOSE(A109:A132)</f>
        <v>Drum Feeder</v>
      </c>
      <c r="C135" s="125" t="str">
        <v>Manual Sort 1 (Negative)</v>
      </c>
      <c r="D135" s="125" t="str">
        <v>Vacuum</v>
      </c>
      <c r="E135" s="157" t="str">
        <v>Disc Screen 1</v>
      </c>
      <c r="F135" s="158" t="str">
        <v>Disc Screen 2</v>
      </c>
      <c r="G135" s="126" t="str">
        <v>Disc Screen 3</v>
      </c>
      <c r="H135" s="125" t="str">
        <v>Manual Sort 2-DS2 (Negative)</v>
      </c>
      <c r="I135" s="126" t="str">
        <v>Manual Sort 2-DS3 (Negative)</v>
      </c>
      <c r="J135" s="127" t="str">
        <v>1-Way Baler</v>
      </c>
      <c r="K135" s="158" t="str">
        <v>Glass Breaker Screen</v>
      </c>
      <c r="L135" s="126" t="str">
        <v>Air Knife</v>
      </c>
      <c r="M135" s="125" t="str">
        <v>Optical Glass</v>
      </c>
      <c r="N135" s="126" t="str">
        <v>Manual Sort 3-G (Negative)</v>
      </c>
      <c r="O135" s="125" t="str">
        <v>Optical PET</v>
      </c>
      <c r="P135" s="125" t="str">
        <v>Manual Sort 4-PET (Negative)</v>
      </c>
      <c r="Q135" s="125" t="str">
        <v>Optical HDPE</v>
      </c>
      <c r="R135" s="125" t="str">
        <v>Manual Sort 4-HDPE (Negative)</v>
      </c>
      <c r="S135" s="125" t="str">
        <v>Magnet</v>
      </c>
      <c r="T135" s="125" t="str">
        <v>Manual Sort 4-Fe (Negative)</v>
      </c>
      <c r="U135" s="125" t="str">
        <v>Eddy Current Separator</v>
      </c>
      <c r="V135" s="125" t="str">
        <v>Manual Sort 4-Al (Negative)</v>
      </c>
      <c r="W135" s="125" t="str">
        <v>Manual Sort 5 (Positive)</v>
      </c>
      <c r="X135" s="125" t="str">
        <v>2-Way Baler</v>
      </c>
      <c r="Y135" s="125" t="str">
        <v>Rolling Stock</v>
      </c>
    </row>
    <row r="136" spans="1:25" x14ac:dyDescent="0.35">
      <c r="A136" t="str">
        <f>Common!A73</f>
        <v>Yard Trimmings, Leaves</v>
      </c>
      <c r="B136" s="75"/>
      <c r="C136" s="68"/>
      <c r="D136" s="159">
        <f>IF($B$6=Common!$E$117,Single.Stream!M64,Single.Stream!L64)</f>
        <v>0</v>
      </c>
      <c r="E136" s="159">
        <f>IF($B$2=Common!$E$117,Single.Stream!G64,Single.Stream!F64)</f>
        <v>0</v>
      </c>
      <c r="F136" s="160">
        <f>IF($B$3=Common!$E$117,Single.Stream!J64,Single.Stream!H64)</f>
        <v>0</v>
      </c>
      <c r="G136" s="160">
        <f>IF($B$3=Common!$E$117,Single.Stream!K64,Single.Stream!I64)</f>
        <v>0</v>
      </c>
      <c r="H136" s="68"/>
      <c r="I136" s="68"/>
      <c r="J136" s="165"/>
      <c r="K136" s="68"/>
      <c r="L136" s="155"/>
      <c r="M136" s="68"/>
      <c r="N136" s="68"/>
      <c r="O136" s="160">
        <f>IF($B$3=Common!$E$117,Single.Stream!Q64,Single.Stream!P64)</f>
        <v>0</v>
      </c>
      <c r="P136" s="68"/>
      <c r="Q136" s="160">
        <f>IF($B$7=Common!$E$117,Single.Stream!O64,Single.Stream!N64)</f>
        <v>0</v>
      </c>
      <c r="R136" s="68"/>
      <c r="S136" s="160">
        <f>IF($B$5=Common!$E$117,Single.Stream!E64,Single.Stream!D64)</f>
        <v>0</v>
      </c>
      <c r="T136" s="68"/>
      <c r="U136" s="160">
        <f>IF($B$4=Common!$E$117,Single.Stream!C64,Single.Stream!B64)</f>
        <v>0</v>
      </c>
      <c r="V136" s="68"/>
      <c r="W136" s="68"/>
      <c r="X136" s="75"/>
      <c r="Y136" s="75"/>
    </row>
    <row r="137" spans="1:25" x14ac:dyDescent="0.35">
      <c r="A137" t="str">
        <f>Common!A74</f>
        <v>Yard Trimmings, Grass</v>
      </c>
      <c r="B137" s="78"/>
      <c r="C137" s="49"/>
      <c r="D137" s="162">
        <f>IF($B$6=Common!$E$117,Single.Stream!M65,Single.Stream!L65)</f>
        <v>0</v>
      </c>
      <c r="E137" s="161">
        <f>IF($B$2=Common!$E$117,Single.Stream!G65,Single.Stream!F65)</f>
        <v>0</v>
      </c>
      <c r="F137" s="162">
        <f>IF($B$3=Common!$E$117,Single.Stream!J65,Single.Stream!H65)</f>
        <v>0</v>
      </c>
      <c r="G137" s="162">
        <f>IF($B$3=Common!$E$117,Single.Stream!K65,Single.Stream!I65)</f>
        <v>0</v>
      </c>
      <c r="H137" s="71"/>
      <c r="I137" s="73"/>
      <c r="J137" s="166"/>
      <c r="K137" s="49"/>
      <c r="L137" s="50"/>
      <c r="M137" s="71"/>
      <c r="N137" s="49"/>
      <c r="O137" s="162">
        <f>IF($B$3=Common!$E$117,Single.Stream!Q65,Single.Stream!P65)</f>
        <v>0</v>
      </c>
      <c r="P137" s="49"/>
      <c r="Q137" s="162">
        <f>IF($B$7=Common!$E$117,Single.Stream!O65,Single.Stream!N65)</f>
        <v>0</v>
      </c>
      <c r="R137" s="49"/>
      <c r="S137" s="162">
        <f>IF($B$5=Common!$E$117,Single.Stream!E65,Single.Stream!D65)</f>
        <v>0</v>
      </c>
      <c r="T137" s="49"/>
      <c r="U137" s="162">
        <f>IF($B$4=Common!$E$117,Single.Stream!C65,Single.Stream!B65)</f>
        <v>0</v>
      </c>
      <c r="V137" s="50"/>
      <c r="W137" s="50"/>
      <c r="X137" s="76"/>
      <c r="Y137" s="76"/>
    </row>
    <row r="138" spans="1:25" x14ac:dyDescent="0.35">
      <c r="A138" t="str">
        <f>Common!A75</f>
        <v>Yard Trimmings, Branches</v>
      </c>
      <c r="B138" s="78"/>
      <c r="C138" s="49"/>
      <c r="D138" s="162">
        <f>IF($B$6=Common!$E$117,Single.Stream!M66,Single.Stream!L66)</f>
        <v>0</v>
      </c>
      <c r="E138" s="161">
        <f>IF($B$2=Common!$E$117,Single.Stream!G66,Single.Stream!F66)</f>
        <v>0</v>
      </c>
      <c r="F138" s="162">
        <f>IF($B$3=Common!$E$117,Single.Stream!J66,Single.Stream!H66)</f>
        <v>0</v>
      </c>
      <c r="G138" s="162">
        <f>IF($B$3=Common!$E$117,Single.Stream!K66,Single.Stream!I66)</f>
        <v>0</v>
      </c>
      <c r="H138" s="71"/>
      <c r="I138" s="73"/>
      <c r="J138" s="166"/>
      <c r="K138" s="49"/>
      <c r="L138" s="50"/>
      <c r="M138" s="71"/>
      <c r="N138" s="49"/>
      <c r="O138" s="162">
        <f>IF($B$3=Common!$E$117,Single.Stream!Q66,Single.Stream!P66)</f>
        <v>0</v>
      </c>
      <c r="P138" s="49"/>
      <c r="Q138" s="162">
        <f>IF($B$7=Common!$E$117,Single.Stream!O66,Single.Stream!N66)</f>
        <v>0</v>
      </c>
      <c r="R138" s="49"/>
      <c r="S138" s="162">
        <f>IF($B$5=Common!$E$117,Single.Stream!E66,Single.Stream!D66)</f>
        <v>0</v>
      </c>
      <c r="T138" s="49"/>
      <c r="U138" s="162">
        <f>IF($B$4=Common!$E$117,Single.Stream!C66,Single.Stream!B66)</f>
        <v>0</v>
      </c>
      <c r="V138" s="50"/>
      <c r="W138" s="50"/>
      <c r="X138" s="76"/>
      <c r="Y138" s="76"/>
    </row>
    <row r="139" spans="1:25" x14ac:dyDescent="0.35">
      <c r="A139" t="str">
        <f>Common!A76</f>
        <v>Food Waste - Vegetable</v>
      </c>
      <c r="B139" s="78"/>
      <c r="C139" s="49"/>
      <c r="D139" s="162">
        <f>IF($B$6=Common!$E$117,Single.Stream!M67,Single.Stream!L67)</f>
        <v>0</v>
      </c>
      <c r="E139" s="161">
        <f>IF($B$2=Common!$E$117,Single.Stream!G67,Single.Stream!F67)</f>
        <v>0</v>
      </c>
      <c r="F139" s="162">
        <f>IF($B$3=Common!$E$117,Single.Stream!J67,Single.Stream!H67)</f>
        <v>0</v>
      </c>
      <c r="G139" s="162">
        <f>IF($B$3=Common!$E$117,Single.Stream!K67,Single.Stream!I67)</f>
        <v>0</v>
      </c>
      <c r="H139" s="71"/>
      <c r="I139" s="73"/>
      <c r="J139" s="166"/>
      <c r="K139" s="49"/>
      <c r="L139" s="50"/>
      <c r="M139" s="71"/>
      <c r="N139" s="49"/>
      <c r="O139" s="162">
        <f>IF($B$3=Common!$E$117,Single.Stream!Q67,Single.Stream!P67)</f>
        <v>0</v>
      </c>
      <c r="P139" s="49"/>
      <c r="Q139" s="162">
        <f>IF($B$7=Common!$E$117,Single.Stream!O67,Single.Stream!N67)</f>
        <v>0</v>
      </c>
      <c r="R139" s="49"/>
      <c r="S139" s="162">
        <f>IF($B$5=Common!$E$117,Single.Stream!E67,Single.Stream!D67)</f>
        <v>0</v>
      </c>
      <c r="T139" s="49"/>
      <c r="U139" s="162">
        <f>IF($B$4=Common!$E$117,Single.Stream!C67,Single.Stream!B67)</f>
        <v>0</v>
      </c>
      <c r="V139" s="50"/>
      <c r="W139" s="50"/>
      <c r="X139" s="76"/>
      <c r="Y139" s="76"/>
    </row>
    <row r="140" spans="1:25" x14ac:dyDescent="0.35">
      <c r="A140" t="str">
        <f>Common!A77</f>
        <v>Food Waste - Non-Vegetable</v>
      </c>
      <c r="B140" s="78"/>
      <c r="C140" s="49"/>
      <c r="D140" s="162">
        <f>IF($B$6=Common!$E$117,Single.Stream!M68,Single.Stream!L68)</f>
        <v>0</v>
      </c>
      <c r="E140" s="161">
        <f>IF($B$2=Common!$E$117,Single.Stream!G68,Single.Stream!F68)</f>
        <v>0</v>
      </c>
      <c r="F140" s="162">
        <f>IF($B$3=Common!$E$117,Single.Stream!J68,Single.Stream!H68)</f>
        <v>0</v>
      </c>
      <c r="G140" s="162">
        <f>IF($B$3=Common!$E$117,Single.Stream!K68,Single.Stream!I68)</f>
        <v>0</v>
      </c>
      <c r="H140" s="71"/>
      <c r="I140" s="73"/>
      <c r="J140" s="166"/>
      <c r="K140" s="49"/>
      <c r="L140" s="50"/>
      <c r="M140" s="71"/>
      <c r="N140" s="49"/>
      <c r="O140" s="162">
        <f>IF($B$3=Common!$E$117,Single.Stream!Q68,Single.Stream!P68)</f>
        <v>0</v>
      </c>
      <c r="P140" s="49"/>
      <c r="Q140" s="162">
        <f>IF($B$7=Common!$E$117,Single.Stream!O68,Single.Stream!N68)</f>
        <v>0</v>
      </c>
      <c r="R140" s="49"/>
      <c r="S140" s="162">
        <f>IF($B$5=Common!$E$117,Single.Stream!E68,Single.Stream!D68)</f>
        <v>0</v>
      </c>
      <c r="T140" s="49"/>
      <c r="U140" s="162">
        <f>IF($B$4=Common!$E$117,Single.Stream!C68,Single.Stream!B68)</f>
        <v>0</v>
      </c>
      <c r="V140" s="50"/>
      <c r="W140" s="50"/>
      <c r="X140" s="76"/>
      <c r="Y140" s="76"/>
    </row>
    <row r="141" spans="1:25" x14ac:dyDescent="0.35">
      <c r="A141" t="str">
        <f>Common!A78</f>
        <v>Wood</v>
      </c>
      <c r="B141" s="78"/>
      <c r="C141" s="49"/>
      <c r="D141" s="162">
        <f>IF($B$6=Common!$E$117,Single.Stream!M69,Single.Stream!L69)</f>
        <v>0</v>
      </c>
      <c r="E141" s="161">
        <f>IF($B$2=Common!$E$117,Single.Stream!G69,Single.Stream!F69)</f>
        <v>0</v>
      </c>
      <c r="F141" s="162">
        <f>IF($B$3=Common!$E$117,Single.Stream!J69,Single.Stream!H69)</f>
        <v>0</v>
      </c>
      <c r="G141" s="162">
        <f>IF($B$3=Common!$E$117,Single.Stream!K69,Single.Stream!I69)</f>
        <v>0</v>
      </c>
      <c r="H141" s="71"/>
      <c r="I141" s="73"/>
      <c r="J141" s="166"/>
      <c r="K141" s="49"/>
      <c r="L141" s="50"/>
      <c r="M141" s="71"/>
      <c r="N141" s="49"/>
      <c r="O141" s="162">
        <f>IF($B$3=Common!$E$117,Single.Stream!Q69,Single.Stream!P69)</f>
        <v>0</v>
      </c>
      <c r="P141" s="49"/>
      <c r="Q141" s="162">
        <f>IF($B$7=Common!$E$117,Single.Stream!O69,Single.Stream!N69)</f>
        <v>0</v>
      </c>
      <c r="R141" s="49"/>
      <c r="S141" s="162">
        <f>IF($B$5=Common!$E$117,Single.Stream!E69,Single.Stream!D69)</f>
        <v>0</v>
      </c>
      <c r="T141" s="49"/>
      <c r="U141" s="162">
        <f>IF($B$4=Common!$E$117,Single.Stream!C69,Single.Stream!B69)</f>
        <v>0</v>
      </c>
      <c r="V141" s="50"/>
      <c r="W141" s="50"/>
      <c r="X141" s="76"/>
      <c r="Y141" s="76"/>
    </row>
    <row r="142" spans="1:25" x14ac:dyDescent="0.35">
      <c r="A142" t="str">
        <f>Common!A79</f>
        <v>Wood Other</v>
      </c>
      <c r="B142" s="78"/>
      <c r="C142" s="49"/>
      <c r="D142" s="162">
        <f>IF($B$6=Common!$E$117,Single.Stream!M70,Single.Stream!L70)</f>
        <v>0</v>
      </c>
      <c r="E142" s="161">
        <f>IF($B$2=Common!$E$117,Single.Stream!G70,Single.Stream!F70)</f>
        <v>0</v>
      </c>
      <c r="F142" s="162">
        <f>IF($B$3=Common!$E$117,Single.Stream!J70,Single.Stream!H70)</f>
        <v>0</v>
      </c>
      <c r="G142" s="162">
        <f>IF($B$3=Common!$E$117,Single.Stream!K70,Single.Stream!I70)</f>
        <v>0</v>
      </c>
      <c r="H142" s="71"/>
      <c r="I142" s="73"/>
      <c r="J142" s="166"/>
      <c r="K142" s="49"/>
      <c r="L142" s="50"/>
      <c r="M142" s="71"/>
      <c r="N142" s="49"/>
      <c r="O142" s="162">
        <f>IF($B$3=Common!$E$117,Single.Stream!Q70,Single.Stream!P70)</f>
        <v>0</v>
      </c>
      <c r="P142" s="49"/>
      <c r="Q142" s="162">
        <f>IF($B$7=Common!$E$117,Single.Stream!O70,Single.Stream!N70)</f>
        <v>0</v>
      </c>
      <c r="R142" s="49"/>
      <c r="S142" s="162">
        <f>IF($B$5=Common!$E$117,Single.Stream!E70,Single.Stream!D70)</f>
        <v>0</v>
      </c>
      <c r="T142" s="49"/>
      <c r="U142" s="162">
        <f>IF($B$4=Common!$E$117,Single.Stream!C70,Single.Stream!B70)</f>
        <v>0</v>
      </c>
      <c r="V142" s="50"/>
      <c r="W142" s="50"/>
      <c r="X142" s="76"/>
      <c r="Y142" s="76"/>
    </row>
    <row r="143" spans="1:25" x14ac:dyDescent="0.35">
      <c r="A143" t="str">
        <f>Common!A80</f>
        <v>Textiles</v>
      </c>
      <c r="B143" s="78"/>
      <c r="C143" s="49"/>
      <c r="D143" s="162">
        <f>IF($B$6=Common!$E$117,Single.Stream!M71,Single.Stream!L71)</f>
        <v>0</v>
      </c>
      <c r="E143" s="161">
        <f>IF($B$2=Common!$E$117,Single.Stream!G71,Single.Stream!F71)</f>
        <v>0</v>
      </c>
      <c r="F143" s="162">
        <f>IF($B$3=Common!$E$117,Single.Stream!J71,Single.Stream!H71)</f>
        <v>0</v>
      </c>
      <c r="G143" s="162">
        <f>IF($B$3=Common!$E$117,Single.Stream!K71,Single.Stream!I71)</f>
        <v>0</v>
      </c>
      <c r="H143" s="71"/>
      <c r="I143" s="73"/>
      <c r="J143" s="166"/>
      <c r="K143" s="49"/>
      <c r="L143" s="50"/>
      <c r="M143" s="71"/>
      <c r="N143" s="49"/>
      <c r="O143" s="162">
        <f>IF($B$3=Common!$E$117,Single.Stream!Q71,Single.Stream!P71)</f>
        <v>0</v>
      </c>
      <c r="P143" s="49"/>
      <c r="Q143" s="162">
        <f>IF($B$7=Common!$E$117,Single.Stream!O71,Single.Stream!N71)</f>
        <v>0</v>
      </c>
      <c r="R143" s="49"/>
      <c r="S143" s="162">
        <f>IF($B$5=Common!$E$117,Single.Stream!E71,Single.Stream!D71)</f>
        <v>0</v>
      </c>
      <c r="T143" s="49"/>
      <c r="U143" s="162">
        <f>IF($B$4=Common!$E$117,Single.Stream!C71,Single.Stream!B71)</f>
        <v>0</v>
      </c>
      <c r="V143" s="50"/>
      <c r="W143" s="50"/>
      <c r="X143" s="76"/>
      <c r="Y143" s="76"/>
    </row>
    <row r="144" spans="1:25" x14ac:dyDescent="0.35">
      <c r="A144" t="str">
        <f>Common!A81</f>
        <v>Rubber/Leather</v>
      </c>
      <c r="B144" s="78"/>
      <c r="C144" s="49"/>
      <c r="D144" s="162">
        <f>IF($B$6=Common!$E$117,Single.Stream!M72,Single.Stream!L72)</f>
        <v>0</v>
      </c>
      <c r="E144" s="161">
        <f>IF($B$2=Common!$E$117,Single.Stream!G72,Single.Stream!F72)</f>
        <v>0</v>
      </c>
      <c r="F144" s="162">
        <f>IF($B$3=Common!$E$117,Single.Stream!J72,Single.Stream!H72)</f>
        <v>0</v>
      </c>
      <c r="G144" s="162">
        <f>IF($B$3=Common!$E$117,Single.Stream!K72,Single.Stream!I72)</f>
        <v>0</v>
      </c>
      <c r="H144" s="71"/>
      <c r="I144" s="73"/>
      <c r="J144" s="166"/>
      <c r="K144" s="49"/>
      <c r="L144" s="50"/>
      <c r="M144" s="71"/>
      <c r="N144" s="49"/>
      <c r="O144" s="162">
        <f>IF($B$3=Common!$E$117,Single.Stream!Q72,Single.Stream!P72)</f>
        <v>0</v>
      </c>
      <c r="P144" s="49"/>
      <c r="Q144" s="162">
        <f>IF($B$7=Common!$E$117,Single.Stream!O72,Single.Stream!N72)</f>
        <v>0</v>
      </c>
      <c r="R144" s="49"/>
      <c r="S144" s="162">
        <f>IF($B$5=Common!$E$117,Single.Stream!E72,Single.Stream!D72)</f>
        <v>0</v>
      </c>
      <c r="T144" s="49"/>
      <c r="U144" s="162">
        <f>IF($B$4=Common!$E$117,Single.Stream!C72,Single.Stream!B72)</f>
        <v>0</v>
      </c>
      <c r="V144" s="50"/>
      <c r="W144" s="50"/>
      <c r="X144" s="76"/>
      <c r="Y144" s="76"/>
    </row>
    <row r="145" spans="1:25" x14ac:dyDescent="0.35">
      <c r="A145" t="str">
        <f>Common!A82</f>
        <v>Newsprint</v>
      </c>
      <c r="B145" s="78"/>
      <c r="C145" s="49"/>
      <c r="D145" s="162">
        <f>IF($B$6=Common!$E$117,Single.Stream!M73,Single.Stream!L73)</f>
        <v>0</v>
      </c>
      <c r="E145" s="161">
        <f>IF($B$2=Common!$E$117,Single.Stream!G73,Single.Stream!F73)</f>
        <v>0</v>
      </c>
      <c r="F145" s="162">
        <f>IF($B$3=Common!$E$117,Single.Stream!J73,Single.Stream!H73)</f>
        <v>0.85</v>
      </c>
      <c r="G145" s="162">
        <f>IF($B$3=Common!$E$117,Single.Stream!K73,Single.Stream!I73)</f>
        <v>0.91</v>
      </c>
      <c r="H145" s="71"/>
      <c r="I145" s="73"/>
      <c r="J145" s="166"/>
      <c r="K145" s="49"/>
      <c r="L145" s="50"/>
      <c r="M145" s="71"/>
      <c r="N145" s="49"/>
      <c r="O145" s="162">
        <f>IF($B$3=Common!$E$117,Single.Stream!Q73,Single.Stream!P73)</f>
        <v>0</v>
      </c>
      <c r="P145" s="49"/>
      <c r="Q145" s="162">
        <f>IF($B$7=Common!$E$117,Single.Stream!O73,Single.Stream!N73)</f>
        <v>0</v>
      </c>
      <c r="R145" s="49"/>
      <c r="S145" s="162">
        <f>IF($B$5=Common!$E$117,Single.Stream!E73,Single.Stream!D73)</f>
        <v>0</v>
      </c>
      <c r="T145" s="49"/>
      <c r="U145" s="162">
        <f>IF($B$4=Common!$E$117,Single.Stream!C73,Single.Stream!B73)</f>
        <v>0</v>
      </c>
      <c r="V145" s="50"/>
      <c r="W145" s="50"/>
      <c r="X145" s="76"/>
      <c r="Y145" s="76"/>
    </row>
    <row r="146" spans="1:25" x14ac:dyDescent="0.35">
      <c r="A146" t="str">
        <f>Common!A83</f>
        <v>Corr. Cardboard</v>
      </c>
      <c r="B146" s="78"/>
      <c r="C146" s="49"/>
      <c r="D146" s="162">
        <f>IF($B$6=Common!$E$117,Single.Stream!M74,Single.Stream!L74)</f>
        <v>0</v>
      </c>
      <c r="E146" s="161">
        <f>IF($B$2=Common!$E$117,Single.Stream!G74,Single.Stream!F74)</f>
        <v>0.7</v>
      </c>
      <c r="F146" s="162">
        <f>IF($B$3=Common!$E$117,Single.Stream!J74,Single.Stream!H74)</f>
        <v>0.85</v>
      </c>
      <c r="G146" s="162">
        <f>IF($B$3=Common!$E$117,Single.Stream!K74,Single.Stream!I74)</f>
        <v>0.91</v>
      </c>
      <c r="H146" s="71"/>
      <c r="I146" s="73"/>
      <c r="J146" s="166"/>
      <c r="K146" s="49"/>
      <c r="L146" s="50"/>
      <c r="M146" s="71"/>
      <c r="N146" s="49"/>
      <c r="O146" s="162">
        <f>IF($B$3=Common!$E$117,Single.Stream!Q74,Single.Stream!P74)</f>
        <v>0</v>
      </c>
      <c r="P146" s="49"/>
      <c r="Q146" s="162">
        <f>IF($B$7=Common!$E$117,Single.Stream!O74,Single.Stream!N74)</f>
        <v>0</v>
      </c>
      <c r="R146" s="49"/>
      <c r="S146" s="162">
        <f>IF($B$5=Common!$E$117,Single.Stream!E74,Single.Stream!D74)</f>
        <v>0</v>
      </c>
      <c r="T146" s="49"/>
      <c r="U146" s="162">
        <f>IF($B$4=Common!$E$117,Single.Stream!C74,Single.Stream!B74)</f>
        <v>0</v>
      </c>
      <c r="V146" s="50"/>
      <c r="W146" s="50"/>
      <c r="X146" s="76"/>
      <c r="Y146" s="76"/>
    </row>
    <row r="147" spans="1:25" x14ac:dyDescent="0.35">
      <c r="A147" t="str">
        <f>Common!A84</f>
        <v>Office Paper</v>
      </c>
      <c r="B147" s="78"/>
      <c r="C147" s="49"/>
      <c r="D147" s="162">
        <f>IF($B$6=Common!$E$117,Single.Stream!M75,Single.Stream!L75)</f>
        <v>0</v>
      </c>
      <c r="E147" s="161">
        <f>IF($B$2=Common!$E$117,Single.Stream!G75,Single.Stream!F75)</f>
        <v>0</v>
      </c>
      <c r="F147" s="162">
        <f>IF($B$3=Common!$E$117,Single.Stream!J75,Single.Stream!H75)</f>
        <v>0.85</v>
      </c>
      <c r="G147" s="162">
        <f>IF($B$3=Common!$E$117,Single.Stream!K75,Single.Stream!I75)</f>
        <v>0.91</v>
      </c>
      <c r="H147" s="71"/>
      <c r="I147" s="73"/>
      <c r="J147" s="166"/>
      <c r="K147" s="49"/>
      <c r="L147" s="50"/>
      <c r="M147" s="71"/>
      <c r="N147" s="49"/>
      <c r="O147" s="162">
        <f>IF($B$3=Common!$E$117,Single.Stream!Q75,Single.Stream!P75)</f>
        <v>0</v>
      </c>
      <c r="P147" s="49"/>
      <c r="Q147" s="162">
        <f>IF($B$7=Common!$E$117,Single.Stream!O75,Single.Stream!N75)</f>
        <v>0</v>
      </c>
      <c r="R147" s="49"/>
      <c r="S147" s="162">
        <f>IF($B$5=Common!$E$117,Single.Stream!E75,Single.Stream!D75)</f>
        <v>0</v>
      </c>
      <c r="T147" s="49"/>
      <c r="U147" s="162">
        <f>IF($B$4=Common!$E$117,Single.Stream!C75,Single.Stream!B75)</f>
        <v>0</v>
      </c>
      <c r="V147" s="50"/>
      <c r="W147" s="50"/>
      <c r="X147" s="76"/>
      <c r="Y147" s="76"/>
    </row>
    <row r="148" spans="1:25" x14ac:dyDescent="0.35">
      <c r="A148" t="str">
        <f>Common!A85</f>
        <v xml:space="preserve">Magazines </v>
      </c>
      <c r="B148" s="78"/>
      <c r="C148" s="49"/>
      <c r="D148" s="162">
        <f>IF($B$6=Common!$E$117,Single.Stream!M76,Single.Stream!L76)</f>
        <v>0</v>
      </c>
      <c r="E148" s="161">
        <f>IF($B$2=Common!$E$117,Single.Stream!G76,Single.Stream!F76)</f>
        <v>0</v>
      </c>
      <c r="F148" s="162">
        <f>IF($B$3=Common!$E$117,Single.Stream!J76,Single.Stream!H76)</f>
        <v>0.85</v>
      </c>
      <c r="G148" s="162">
        <f>IF($B$3=Common!$E$117,Single.Stream!K76,Single.Stream!I76)</f>
        <v>0.91</v>
      </c>
      <c r="H148" s="71"/>
      <c r="I148" s="73"/>
      <c r="J148" s="166"/>
      <c r="K148" s="49"/>
      <c r="L148" s="50"/>
      <c r="M148" s="71"/>
      <c r="N148" s="49"/>
      <c r="O148" s="162">
        <f>IF($B$3=Common!$E$117,Single.Stream!Q76,Single.Stream!P76)</f>
        <v>0</v>
      </c>
      <c r="P148" s="49"/>
      <c r="Q148" s="162">
        <f>IF($B$7=Common!$E$117,Single.Stream!O76,Single.Stream!N76)</f>
        <v>0</v>
      </c>
      <c r="R148" s="49"/>
      <c r="S148" s="162">
        <f>IF($B$5=Common!$E$117,Single.Stream!E76,Single.Stream!D76)</f>
        <v>0</v>
      </c>
      <c r="T148" s="49"/>
      <c r="U148" s="162">
        <f>IF($B$4=Common!$E$117,Single.Stream!C76,Single.Stream!B76)</f>
        <v>0</v>
      </c>
      <c r="V148" s="50"/>
      <c r="W148" s="50"/>
      <c r="X148" s="76"/>
      <c r="Y148" s="76"/>
    </row>
    <row r="149" spans="1:25" x14ac:dyDescent="0.35">
      <c r="A149" t="str">
        <f>Common!A86</f>
        <v>3rd Class Mail</v>
      </c>
      <c r="B149" s="78"/>
      <c r="C149" s="49"/>
      <c r="D149" s="162">
        <f>IF($B$6=Common!$E$117,Single.Stream!M77,Single.Stream!L77)</f>
        <v>0</v>
      </c>
      <c r="E149" s="161">
        <f>IF($B$2=Common!$E$117,Single.Stream!G77,Single.Stream!F77)</f>
        <v>0</v>
      </c>
      <c r="F149" s="162">
        <f>IF($B$3=Common!$E$117,Single.Stream!J77,Single.Stream!H77)</f>
        <v>0.85</v>
      </c>
      <c r="G149" s="162">
        <f>IF($B$3=Common!$E$117,Single.Stream!K77,Single.Stream!I77)</f>
        <v>0.91</v>
      </c>
      <c r="H149" s="71"/>
      <c r="I149" s="73"/>
      <c r="J149" s="166"/>
      <c r="K149" s="49"/>
      <c r="L149" s="50"/>
      <c r="M149" s="71"/>
      <c r="N149" s="49"/>
      <c r="O149" s="162">
        <f>IF($B$3=Common!$E$117,Single.Stream!Q77,Single.Stream!P77)</f>
        <v>0</v>
      </c>
      <c r="P149" s="49"/>
      <c r="Q149" s="162">
        <f>IF($B$7=Common!$E$117,Single.Stream!O77,Single.Stream!N77)</f>
        <v>0</v>
      </c>
      <c r="R149" s="49"/>
      <c r="S149" s="162">
        <f>IF($B$5=Common!$E$117,Single.Stream!E77,Single.Stream!D77)</f>
        <v>0</v>
      </c>
      <c r="T149" s="49"/>
      <c r="U149" s="162">
        <f>IF($B$4=Common!$E$117,Single.Stream!C77,Single.Stream!B77)</f>
        <v>0</v>
      </c>
      <c r="V149" s="50"/>
      <c r="W149" s="50"/>
      <c r="X149" s="76"/>
      <c r="Y149" s="76"/>
    </row>
    <row r="150" spans="1:25" x14ac:dyDescent="0.35">
      <c r="A150" t="str">
        <f>Common!A87</f>
        <v>Folding Containers</v>
      </c>
      <c r="B150" s="78"/>
      <c r="C150" s="49"/>
      <c r="D150" s="162">
        <f>IF($B$6=Common!$E$117,Single.Stream!M78,Single.Stream!L78)</f>
        <v>0</v>
      </c>
      <c r="E150" s="161">
        <f>IF($B$2=Common!$E$117,Single.Stream!G78,Single.Stream!F78)</f>
        <v>0</v>
      </c>
      <c r="F150" s="162">
        <f>IF($B$3=Common!$E$117,Single.Stream!J78,Single.Stream!H78)</f>
        <v>0.85</v>
      </c>
      <c r="G150" s="162">
        <f>IF($B$3=Common!$E$117,Single.Stream!K78,Single.Stream!I78)</f>
        <v>0.91</v>
      </c>
      <c r="H150" s="71"/>
      <c r="I150" s="73"/>
      <c r="J150" s="166"/>
      <c r="K150" s="49"/>
      <c r="L150" s="50"/>
      <c r="M150" s="71"/>
      <c r="N150" s="49"/>
      <c r="O150" s="162">
        <f>IF($B$3=Common!$E$117,Single.Stream!Q78,Single.Stream!P78)</f>
        <v>0</v>
      </c>
      <c r="P150" s="49"/>
      <c r="Q150" s="162">
        <f>IF($B$7=Common!$E$117,Single.Stream!O78,Single.Stream!N78)</f>
        <v>0</v>
      </c>
      <c r="R150" s="49"/>
      <c r="S150" s="162">
        <f>IF($B$5=Common!$E$117,Single.Stream!E78,Single.Stream!D78)</f>
        <v>0</v>
      </c>
      <c r="T150" s="49"/>
      <c r="U150" s="162">
        <f>IF($B$4=Common!$E$117,Single.Stream!C78,Single.Stream!B78)</f>
        <v>0</v>
      </c>
      <c r="V150" s="50"/>
      <c r="W150" s="50"/>
      <c r="X150" s="76"/>
      <c r="Y150" s="76"/>
    </row>
    <row r="151" spans="1:25" x14ac:dyDescent="0.35">
      <c r="A151" t="str">
        <f>Common!A88</f>
        <v xml:space="preserve">Paper Bags </v>
      </c>
      <c r="B151" s="78"/>
      <c r="C151" s="49"/>
      <c r="D151" s="162">
        <f>IF($B$6=Common!$E$117,Single.Stream!M79,Single.Stream!L79)</f>
        <v>0</v>
      </c>
      <c r="E151" s="161">
        <f>IF($B$2=Common!$E$117,Single.Stream!G79,Single.Stream!F79)</f>
        <v>0</v>
      </c>
      <c r="F151" s="162">
        <f>IF($B$3=Common!$E$117,Single.Stream!J79,Single.Stream!H79)</f>
        <v>0.85</v>
      </c>
      <c r="G151" s="162">
        <f>IF($B$3=Common!$E$117,Single.Stream!K79,Single.Stream!I79)</f>
        <v>0.91</v>
      </c>
      <c r="H151" s="71"/>
      <c r="I151" s="73"/>
      <c r="J151" s="166"/>
      <c r="K151" s="49"/>
      <c r="L151" s="50"/>
      <c r="M151" s="71"/>
      <c r="N151" s="49"/>
      <c r="O151" s="162">
        <f>IF($B$3=Common!$E$117,Single.Stream!Q79,Single.Stream!P79)</f>
        <v>0</v>
      </c>
      <c r="P151" s="49"/>
      <c r="Q151" s="162">
        <f>IF($B$7=Common!$E$117,Single.Stream!O79,Single.Stream!N79)</f>
        <v>0</v>
      </c>
      <c r="R151" s="49"/>
      <c r="S151" s="162">
        <f>IF($B$5=Common!$E$117,Single.Stream!E79,Single.Stream!D79)</f>
        <v>0</v>
      </c>
      <c r="T151" s="49"/>
      <c r="U151" s="162">
        <f>IF($B$4=Common!$E$117,Single.Stream!C79,Single.Stream!B79)</f>
        <v>0</v>
      </c>
      <c r="V151" s="50"/>
      <c r="W151" s="50"/>
      <c r="X151" s="76"/>
      <c r="Y151" s="76"/>
    </row>
    <row r="152" spans="1:25" x14ac:dyDescent="0.35">
      <c r="A152" t="str">
        <f>Common!A89</f>
        <v>Mixed Paper</v>
      </c>
      <c r="B152" s="78"/>
      <c r="C152" s="49"/>
      <c r="D152" s="162">
        <f>IF($B$6=Common!$E$117,Single.Stream!M80,Single.Stream!L80)</f>
        <v>0</v>
      </c>
      <c r="E152" s="161">
        <f>IF($B$2=Common!$E$117,Single.Stream!G80,Single.Stream!F80)</f>
        <v>0</v>
      </c>
      <c r="F152" s="162">
        <f>IF($B$3=Common!$E$117,Single.Stream!J80,Single.Stream!H80)</f>
        <v>0.85</v>
      </c>
      <c r="G152" s="162">
        <f>IF($B$3=Common!$E$117,Single.Stream!K80,Single.Stream!I80)</f>
        <v>0.91</v>
      </c>
      <c r="H152" s="71"/>
      <c r="I152" s="73"/>
      <c r="J152" s="166"/>
      <c r="K152" s="49"/>
      <c r="L152" s="50"/>
      <c r="M152" s="71"/>
      <c r="N152" s="49"/>
      <c r="O152" s="162">
        <f>IF($B$3=Common!$E$117,Single.Stream!Q80,Single.Stream!P80)</f>
        <v>0</v>
      </c>
      <c r="P152" s="49"/>
      <c r="Q152" s="162">
        <f>IF($B$7=Common!$E$117,Single.Stream!O80,Single.Stream!N80)</f>
        <v>0</v>
      </c>
      <c r="R152" s="49"/>
      <c r="S152" s="162">
        <f>IF($B$5=Common!$E$117,Single.Stream!E80,Single.Stream!D80)</f>
        <v>0</v>
      </c>
      <c r="T152" s="49"/>
      <c r="U152" s="162">
        <f>IF($B$4=Common!$E$117,Single.Stream!C80,Single.Stream!B80)</f>
        <v>0</v>
      </c>
      <c r="V152" s="50"/>
      <c r="W152" s="50"/>
      <c r="X152" s="76"/>
      <c r="Y152" s="76"/>
    </row>
    <row r="153" spans="1:25" x14ac:dyDescent="0.35">
      <c r="A153" t="str">
        <f>Common!A90</f>
        <v>Paper - Non-recyclable</v>
      </c>
      <c r="B153" s="78"/>
      <c r="C153" s="49"/>
      <c r="D153" s="162">
        <f>IF($B$6=Common!$E$117,Single.Stream!M81,Single.Stream!L81)</f>
        <v>0</v>
      </c>
      <c r="E153" s="161">
        <f>IF($B$2=Common!$E$117,Single.Stream!G81,Single.Stream!F81)</f>
        <v>0</v>
      </c>
      <c r="F153" s="162">
        <f>IF($B$3=Common!$E$117,Single.Stream!J81,Single.Stream!H81)</f>
        <v>0</v>
      </c>
      <c r="G153" s="162">
        <f>IF($B$3=Common!$E$117,Single.Stream!K81,Single.Stream!I81)</f>
        <v>0</v>
      </c>
      <c r="H153" s="71"/>
      <c r="I153" s="73"/>
      <c r="J153" s="166"/>
      <c r="K153" s="49"/>
      <c r="L153" s="50"/>
      <c r="M153" s="71"/>
      <c r="N153" s="49"/>
      <c r="O153" s="162">
        <f>IF($B$3=Common!$E$117,Single.Stream!Q81,Single.Stream!P81)</f>
        <v>0</v>
      </c>
      <c r="P153" s="49"/>
      <c r="Q153" s="162">
        <f>IF($B$7=Common!$E$117,Single.Stream!O81,Single.Stream!N81)</f>
        <v>0</v>
      </c>
      <c r="R153" s="49"/>
      <c r="S153" s="162">
        <f>IF($B$5=Common!$E$117,Single.Stream!E81,Single.Stream!D81)</f>
        <v>0</v>
      </c>
      <c r="T153" s="49"/>
      <c r="U153" s="162">
        <f>IF($B$4=Common!$E$117,Single.Stream!C81,Single.Stream!B81)</f>
        <v>0</v>
      </c>
      <c r="V153" s="50"/>
      <c r="W153" s="50"/>
      <c r="X153" s="76"/>
      <c r="Y153" s="76"/>
    </row>
    <row r="154" spans="1:25" x14ac:dyDescent="0.35">
      <c r="A154" t="str">
        <f>Common!A91</f>
        <v>HDPE - Translucent Containers</v>
      </c>
      <c r="B154" s="78"/>
      <c r="C154" s="49"/>
      <c r="D154" s="162">
        <f>IF($B$6=Common!$E$117,Single.Stream!M82,Single.Stream!L82)</f>
        <v>0</v>
      </c>
      <c r="E154" s="161">
        <f>IF($B$2=Common!$E$117,Single.Stream!G82,Single.Stream!F82)</f>
        <v>0</v>
      </c>
      <c r="F154" s="162">
        <f>IF($B$3=Common!$E$117,Single.Stream!J82,Single.Stream!H82)</f>
        <v>0</v>
      </c>
      <c r="G154" s="162">
        <f>IF($B$3=Common!$E$117,Single.Stream!K82,Single.Stream!I82)</f>
        <v>0</v>
      </c>
      <c r="H154" s="71"/>
      <c r="I154" s="73"/>
      <c r="J154" s="166"/>
      <c r="K154" s="49">
        <f>'Important variables and results'!$B$1</f>
        <v>0.05</v>
      </c>
      <c r="L154" s="50">
        <v>0.97</v>
      </c>
      <c r="M154" s="71"/>
      <c r="N154" s="49"/>
      <c r="O154" s="162">
        <f>IF($B$3=Common!$E$117,Single.Stream!Q82,Single.Stream!P82)</f>
        <v>0</v>
      </c>
      <c r="P154" s="49"/>
      <c r="Q154" s="162">
        <f>IF($B$7=Common!$E$117,Single.Stream!O82,Single.Stream!N82)</f>
        <v>0.98</v>
      </c>
      <c r="R154" s="49"/>
      <c r="S154" s="162">
        <f>IF($B$5=Common!$E$117,Single.Stream!E82,Single.Stream!D82)</f>
        <v>0</v>
      </c>
      <c r="T154" s="49"/>
      <c r="U154" s="162">
        <f>IF($B$4=Common!$E$117,Single.Stream!C82,Single.Stream!B82)</f>
        <v>0</v>
      </c>
      <c r="V154" s="50"/>
      <c r="W154" s="50"/>
      <c r="X154" s="76"/>
      <c r="Y154" s="76"/>
    </row>
    <row r="155" spans="1:25" x14ac:dyDescent="0.35">
      <c r="A155" t="str">
        <f>Common!A92</f>
        <v>HDPE - Pigmented Containers</v>
      </c>
      <c r="B155" s="78"/>
      <c r="C155" s="49"/>
      <c r="D155" s="162">
        <f>IF($B$6=Common!$E$117,Single.Stream!M83,Single.Stream!L83)</f>
        <v>0</v>
      </c>
      <c r="E155" s="161">
        <f>IF($B$2=Common!$E$117,Single.Stream!G83,Single.Stream!F83)</f>
        <v>0</v>
      </c>
      <c r="F155" s="162">
        <f>IF($B$3=Common!$E$117,Single.Stream!J83,Single.Stream!H83)</f>
        <v>0</v>
      </c>
      <c r="G155" s="162">
        <f>IF($B$3=Common!$E$117,Single.Stream!K83,Single.Stream!I83)</f>
        <v>0</v>
      </c>
      <c r="H155" s="71"/>
      <c r="I155" s="73"/>
      <c r="J155" s="166"/>
      <c r="K155" s="49">
        <f>'Important variables and results'!$B$1</f>
        <v>0.05</v>
      </c>
      <c r="L155" s="50">
        <v>0.97</v>
      </c>
      <c r="M155" s="71"/>
      <c r="N155" s="49"/>
      <c r="O155" s="162">
        <f>IF($B$3=Common!$E$117,Single.Stream!Q83,Single.Stream!P83)</f>
        <v>0</v>
      </c>
      <c r="P155" s="49"/>
      <c r="Q155" s="162">
        <f>IF($B$7=Common!$E$117,Single.Stream!O83,Single.Stream!N83)</f>
        <v>0.98</v>
      </c>
      <c r="R155" s="49"/>
      <c r="S155" s="162">
        <f>IF($B$5=Common!$E$117,Single.Stream!E83,Single.Stream!D83)</f>
        <v>0</v>
      </c>
      <c r="T155" s="49"/>
      <c r="U155" s="162">
        <f>IF($B$4=Common!$E$117,Single.Stream!C83,Single.Stream!B83)</f>
        <v>0</v>
      </c>
      <c r="V155" s="50"/>
      <c r="W155" s="50"/>
      <c r="X155" s="76"/>
      <c r="Y155" s="76"/>
    </row>
    <row r="156" spans="1:25" x14ac:dyDescent="0.35">
      <c r="A156" t="str">
        <f>Common!A93</f>
        <v>PET - Containers</v>
      </c>
      <c r="B156" s="78"/>
      <c r="C156" s="49"/>
      <c r="D156" s="162">
        <f>IF($B$6=Common!$E$117,Single.Stream!M84,Single.Stream!L84)</f>
        <v>0</v>
      </c>
      <c r="E156" s="161">
        <f>IF($B$2=Common!$E$117,Single.Stream!G84,Single.Stream!F84)</f>
        <v>0</v>
      </c>
      <c r="F156" s="162">
        <f>IF($B$3=Common!$E$117,Single.Stream!J84,Single.Stream!H84)</f>
        <v>0</v>
      </c>
      <c r="G156" s="162">
        <f>IF($B$3=Common!$E$117,Single.Stream!K84,Single.Stream!I84)</f>
        <v>0</v>
      </c>
      <c r="H156" s="71"/>
      <c r="I156" s="73"/>
      <c r="J156" s="166"/>
      <c r="K156" s="49">
        <f>'Important variables and results'!$B$1</f>
        <v>0.05</v>
      </c>
      <c r="L156" s="50">
        <v>0.97</v>
      </c>
      <c r="M156" s="71"/>
      <c r="N156" s="49"/>
      <c r="O156" s="162">
        <f>IF($B$3=Common!$E$117,Single.Stream!Q84,Single.Stream!P84)</f>
        <v>0.98</v>
      </c>
      <c r="P156" s="49"/>
      <c r="Q156" s="162">
        <f>IF($B$7=Common!$E$117,Single.Stream!O84,Single.Stream!N84)</f>
        <v>0</v>
      </c>
      <c r="R156" s="49"/>
      <c r="S156" s="162">
        <f>IF($B$5=Common!$E$117,Single.Stream!E84,Single.Stream!D84)</f>
        <v>0</v>
      </c>
      <c r="T156" s="49"/>
      <c r="U156" s="162">
        <f>IF($B$4=Common!$E$117,Single.Stream!C84,Single.Stream!B84)</f>
        <v>0</v>
      </c>
      <c r="V156" s="50"/>
      <c r="W156" s="50"/>
      <c r="X156" s="76"/>
      <c r="Y156" s="76"/>
    </row>
    <row r="157" spans="1:25" x14ac:dyDescent="0.35">
      <c r="A157" t="str">
        <f>Common!A94</f>
        <v>Plastic - Other # 1, Polypropylene</v>
      </c>
      <c r="B157" s="78"/>
      <c r="C157" s="49"/>
      <c r="D157" s="162">
        <f>IF($B$6=Common!$E$117,Single.Stream!M85,Single.Stream!L85)</f>
        <v>0</v>
      </c>
      <c r="E157" s="161">
        <f>IF($B$2=Common!$E$117,Single.Stream!G85,Single.Stream!F85)</f>
        <v>0</v>
      </c>
      <c r="F157" s="162">
        <f>IF($B$3=Common!$E$117,Single.Stream!J85,Single.Stream!H85)</f>
        <v>0</v>
      </c>
      <c r="G157" s="162">
        <f>IF($B$3=Common!$E$117,Single.Stream!K85,Single.Stream!I85)</f>
        <v>0</v>
      </c>
      <c r="H157" s="71"/>
      <c r="I157" s="73"/>
      <c r="J157" s="166"/>
      <c r="K157" s="49">
        <f>'Important variables and results'!$B$1</f>
        <v>0.05</v>
      </c>
      <c r="L157" s="50">
        <v>0.97</v>
      </c>
      <c r="M157" s="71"/>
      <c r="N157" s="49"/>
      <c r="O157" s="162">
        <f>IF($B$3=Common!$E$117,Single.Stream!Q85,Single.Stream!P85)</f>
        <v>0</v>
      </c>
      <c r="P157" s="49"/>
      <c r="Q157" s="162">
        <f>IF($B$7=Common!$E$117,Single.Stream!O85,Single.Stream!N85)</f>
        <v>0</v>
      </c>
      <c r="R157" s="49"/>
      <c r="S157" s="162">
        <f>IF($B$5=Common!$E$117,Single.Stream!E85,Single.Stream!D85)</f>
        <v>0</v>
      </c>
      <c r="T157" s="49"/>
      <c r="U157" s="162">
        <f>IF($B$4=Common!$E$117,Single.Stream!C85,Single.Stream!B85)</f>
        <v>0</v>
      </c>
      <c r="V157" s="50"/>
      <c r="W157" s="50"/>
      <c r="X157" s="76"/>
      <c r="Y157" s="76"/>
    </row>
    <row r="158" spans="1:25" x14ac:dyDescent="0.35">
      <c r="A158" t="str">
        <f>Common!A95</f>
        <v>Plastic - Other # 2</v>
      </c>
      <c r="B158" s="78"/>
      <c r="C158" s="49"/>
      <c r="D158" s="162">
        <f>IF($B$6=Common!$E$117,Single.Stream!M86,Single.Stream!L86)</f>
        <v>0</v>
      </c>
      <c r="E158" s="161">
        <f>IF($B$2=Common!$E$117,Single.Stream!G86,Single.Stream!F86)</f>
        <v>0</v>
      </c>
      <c r="F158" s="162">
        <f>IF($B$3=Common!$E$117,Single.Stream!J86,Single.Stream!H86)</f>
        <v>0</v>
      </c>
      <c r="G158" s="162">
        <f>IF($B$3=Common!$E$117,Single.Stream!K86,Single.Stream!I86)</f>
        <v>0</v>
      </c>
      <c r="H158" s="71"/>
      <c r="I158" s="73"/>
      <c r="J158" s="166"/>
      <c r="K158" s="49">
        <f>'Important variables and results'!$B$1</f>
        <v>0.05</v>
      </c>
      <c r="L158" s="50">
        <v>0.97</v>
      </c>
      <c r="M158" s="71"/>
      <c r="N158" s="49"/>
      <c r="O158" s="162">
        <f>IF($B$3=Common!$E$117,Single.Stream!Q86,Single.Stream!P86)</f>
        <v>0</v>
      </c>
      <c r="P158" s="49"/>
      <c r="Q158" s="162">
        <f>IF($B$7=Common!$E$117,Single.Stream!O86,Single.Stream!N86)</f>
        <v>0</v>
      </c>
      <c r="R158" s="49"/>
      <c r="S158" s="162">
        <f>IF($B$5=Common!$E$117,Single.Stream!E86,Single.Stream!D86)</f>
        <v>0</v>
      </c>
      <c r="T158" s="49"/>
      <c r="U158" s="162">
        <f>IF($B$4=Common!$E$117,Single.Stream!C86,Single.Stream!B86)</f>
        <v>0</v>
      </c>
      <c r="V158" s="50"/>
      <c r="W158" s="50"/>
      <c r="X158" s="76"/>
      <c r="Y158" s="76"/>
    </row>
    <row r="159" spans="1:25" x14ac:dyDescent="0.35">
      <c r="A159" t="str">
        <f>Common!A96</f>
        <v>Mixed Plastic</v>
      </c>
      <c r="B159" s="78"/>
      <c r="C159" s="49"/>
      <c r="D159" s="162">
        <f>IF($B$6=Common!$E$117,Single.Stream!M87,Single.Stream!L87)</f>
        <v>0</v>
      </c>
      <c r="E159" s="161">
        <f>IF($B$2=Common!$E$117,Single.Stream!G87,Single.Stream!F87)</f>
        <v>0</v>
      </c>
      <c r="F159" s="162">
        <f>IF($B$3=Common!$E$117,Single.Stream!J87,Single.Stream!H87)</f>
        <v>0</v>
      </c>
      <c r="G159" s="162">
        <f>IF($B$3=Common!$E$117,Single.Stream!K87,Single.Stream!I87)</f>
        <v>0</v>
      </c>
      <c r="H159" s="49"/>
      <c r="I159" s="73"/>
      <c r="J159" s="166"/>
      <c r="K159" s="49">
        <f>'Important variables and results'!$B$1</f>
        <v>0.05</v>
      </c>
      <c r="L159" s="50">
        <v>0.97</v>
      </c>
      <c r="M159" s="71"/>
      <c r="N159" s="49"/>
      <c r="O159" s="162">
        <f>IF($B$3=Common!$E$117,Single.Stream!Q87,Single.Stream!P87)</f>
        <v>0</v>
      </c>
      <c r="P159" s="49"/>
      <c r="Q159" s="162">
        <f>IF($B$7=Common!$E$117,Single.Stream!O87,Single.Stream!N87)</f>
        <v>0</v>
      </c>
      <c r="R159" s="49"/>
      <c r="S159" s="162">
        <f>IF($B$5=Common!$E$117,Single.Stream!E87,Single.Stream!D87)</f>
        <v>0</v>
      </c>
      <c r="T159" s="49"/>
      <c r="U159" s="162">
        <f>IF($B$4=Common!$E$117,Single.Stream!C87,Single.Stream!B87)</f>
        <v>0</v>
      </c>
      <c r="V159" s="50"/>
      <c r="W159" s="50"/>
      <c r="X159" s="76"/>
      <c r="Y159" s="76"/>
    </row>
    <row r="160" spans="1:25" x14ac:dyDescent="0.35">
      <c r="A160" t="str">
        <f>Common!A97</f>
        <v>Plastic Film</v>
      </c>
      <c r="B160" s="78"/>
      <c r="C160" s="49">
        <v>0.9</v>
      </c>
      <c r="D160" s="162">
        <f>IF($B$6=Common!$E$117,Single.Stream!M88,Single.Stream!L88)</f>
        <v>1</v>
      </c>
      <c r="E160" s="161">
        <f>IF($B$2=Common!$E$117,Single.Stream!G88,Single.Stream!F88)</f>
        <v>0</v>
      </c>
      <c r="F160" s="162">
        <f>IF($B$3=Common!$E$117,Single.Stream!J88,Single.Stream!H88)</f>
        <v>0</v>
      </c>
      <c r="G160" s="162">
        <f>IF($B$3=Common!$E$117,Single.Stream!K88,Single.Stream!I88)</f>
        <v>0</v>
      </c>
      <c r="H160" s="71"/>
      <c r="I160" s="73"/>
      <c r="J160" s="166"/>
      <c r="K160" s="49"/>
      <c r="L160" s="50"/>
      <c r="M160" s="71"/>
      <c r="N160" s="49"/>
      <c r="O160" s="162">
        <f>IF($B$3=Common!$E$117,Single.Stream!Q88,Single.Stream!P88)</f>
        <v>0</v>
      </c>
      <c r="P160" s="49"/>
      <c r="Q160" s="162">
        <f>IF($B$7=Common!$E$117,Single.Stream!O88,Single.Stream!N88)</f>
        <v>0</v>
      </c>
      <c r="R160" s="49"/>
      <c r="S160" s="162">
        <f>IF($B$5=Common!$E$117,Single.Stream!E88,Single.Stream!D88)</f>
        <v>0</v>
      </c>
      <c r="T160" s="49"/>
      <c r="U160" s="162">
        <f>IF($B$4=Common!$E$117,Single.Stream!C88,Single.Stream!B88)</f>
        <v>0</v>
      </c>
      <c r="V160" s="50"/>
      <c r="W160" s="50"/>
      <c r="X160" s="76"/>
      <c r="Y160" s="76"/>
    </row>
    <row r="161" spans="1:25" x14ac:dyDescent="0.35">
      <c r="A161" t="str">
        <f>Common!A98</f>
        <v xml:space="preserve">Plastic - Non-Recyclable </v>
      </c>
      <c r="B161" s="78"/>
      <c r="C161" s="49"/>
      <c r="D161" s="162">
        <f>IF($B$6=Common!$E$117,Single.Stream!M89,Single.Stream!L89)</f>
        <v>0</v>
      </c>
      <c r="E161" s="161">
        <f>IF($B$2=Common!$E$117,Single.Stream!G89,Single.Stream!F89)</f>
        <v>0</v>
      </c>
      <c r="F161" s="162">
        <f>IF($B$3=Common!$E$117,Single.Stream!J89,Single.Stream!H89)</f>
        <v>0</v>
      </c>
      <c r="G161" s="162">
        <f>IF($B$3=Common!$E$117,Single.Stream!K89,Single.Stream!I89)</f>
        <v>0</v>
      </c>
      <c r="H161" s="71"/>
      <c r="I161" s="73"/>
      <c r="J161" s="166"/>
      <c r="K161" s="49"/>
      <c r="L161" s="50"/>
      <c r="M161" s="71"/>
      <c r="N161" s="49"/>
      <c r="O161" s="162">
        <f>IF($B$3=Common!$E$117,Single.Stream!Q89,Single.Stream!P89)</f>
        <v>0</v>
      </c>
      <c r="P161" s="49"/>
      <c r="Q161" s="162">
        <f>IF($B$7=Common!$E$117,Single.Stream!O89,Single.Stream!N89)</f>
        <v>0</v>
      </c>
      <c r="R161" s="49"/>
      <c r="S161" s="162">
        <f>IF($B$5=Common!$E$117,Single.Stream!E89,Single.Stream!D89)</f>
        <v>0</v>
      </c>
      <c r="T161" s="49"/>
      <c r="U161" s="162">
        <f>IF($B$4=Common!$E$117,Single.Stream!C89,Single.Stream!B89)</f>
        <v>0</v>
      </c>
      <c r="V161" s="50"/>
      <c r="W161" s="50"/>
      <c r="X161" s="76"/>
      <c r="Y161" s="76"/>
    </row>
    <row r="162" spans="1:25" x14ac:dyDescent="0.35">
      <c r="A162" t="str">
        <f>Common!A99</f>
        <v>Ferrous Cans</v>
      </c>
      <c r="B162" s="78"/>
      <c r="C162" s="49"/>
      <c r="D162" s="162">
        <f>IF($B$6=Common!$E$117,Single.Stream!M90,Single.Stream!L90)</f>
        <v>0</v>
      </c>
      <c r="E162" s="161">
        <f>IF($B$2=Common!$E$117,Single.Stream!G90,Single.Stream!F90)</f>
        <v>0</v>
      </c>
      <c r="F162" s="162">
        <f>IF($B$3=Common!$E$117,Single.Stream!J90,Single.Stream!H90)</f>
        <v>0</v>
      </c>
      <c r="G162" s="162">
        <f>IF($B$3=Common!$E$117,Single.Stream!K90,Single.Stream!I90)</f>
        <v>0</v>
      </c>
      <c r="H162" s="71"/>
      <c r="I162" s="73"/>
      <c r="J162" s="166"/>
      <c r="K162" s="49"/>
      <c r="L162" s="50"/>
      <c r="M162" s="71"/>
      <c r="N162" s="49"/>
      <c r="O162" s="162">
        <f>IF($B$3=Common!$E$117,Single.Stream!Q90,Single.Stream!P90)</f>
        <v>0</v>
      </c>
      <c r="P162" s="49"/>
      <c r="Q162" s="162">
        <f>IF($B$7=Common!$E$117,Single.Stream!O90,Single.Stream!N90)</f>
        <v>0</v>
      </c>
      <c r="R162" s="49"/>
      <c r="S162" s="162">
        <f>IF($B$5=Common!$E$117,Single.Stream!E90,Single.Stream!D90)</f>
        <v>0.98</v>
      </c>
      <c r="T162" s="49"/>
      <c r="U162" s="162">
        <f>IF($B$4=Common!$E$117,Single.Stream!C90,Single.Stream!B90)</f>
        <v>0</v>
      </c>
      <c r="V162" s="50"/>
      <c r="W162" s="50"/>
      <c r="X162" s="76"/>
      <c r="Y162" s="76"/>
    </row>
    <row r="163" spans="1:25" x14ac:dyDescent="0.35">
      <c r="A163" t="str">
        <f>Common!A100</f>
        <v>Ferrous Metal - Other</v>
      </c>
      <c r="B163" s="78"/>
      <c r="C163" s="49"/>
      <c r="D163" s="162">
        <f>IF($B$6=Common!$E$117,Single.Stream!M91,Single.Stream!L91)</f>
        <v>0</v>
      </c>
      <c r="E163" s="161">
        <f>IF($B$2=Common!$E$117,Single.Stream!G91,Single.Stream!F91)</f>
        <v>0</v>
      </c>
      <c r="F163" s="162">
        <f>IF($B$3=Common!$E$117,Single.Stream!J91,Single.Stream!H91)</f>
        <v>0</v>
      </c>
      <c r="G163" s="162">
        <f>IF($B$3=Common!$E$117,Single.Stream!K91,Single.Stream!I91)</f>
        <v>0</v>
      </c>
      <c r="H163" s="71"/>
      <c r="I163" s="73"/>
      <c r="J163" s="166"/>
      <c r="K163" s="49"/>
      <c r="L163" s="50"/>
      <c r="M163" s="71"/>
      <c r="N163" s="49"/>
      <c r="O163" s="162">
        <f>IF($B$3=Common!$E$117,Single.Stream!Q91,Single.Stream!P91)</f>
        <v>0</v>
      </c>
      <c r="P163" s="49"/>
      <c r="Q163" s="162">
        <f>IF($B$7=Common!$E$117,Single.Stream!O91,Single.Stream!N91)</f>
        <v>0</v>
      </c>
      <c r="R163" s="49"/>
      <c r="S163" s="162">
        <f>IF($B$5=Common!$E$117,Single.Stream!E91,Single.Stream!D91)</f>
        <v>0.98</v>
      </c>
      <c r="T163" s="49"/>
      <c r="U163" s="162">
        <f>IF($B$4=Common!$E$117,Single.Stream!C91,Single.Stream!B91)</f>
        <v>0</v>
      </c>
      <c r="V163" s="50"/>
      <c r="W163" s="50"/>
      <c r="X163" s="76"/>
      <c r="Y163" s="76"/>
    </row>
    <row r="164" spans="1:25" x14ac:dyDescent="0.35">
      <c r="A164" t="str">
        <f>Common!A101</f>
        <v>Aluminum Cans</v>
      </c>
      <c r="B164" s="78"/>
      <c r="C164" s="49"/>
      <c r="D164" s="162">
        <f>IF($B$6=Common!$E$117,Single.Stream!M92,Single.Stream!L92)</f>
        <v>0</v>
      </c>
      <c r="E164" s="161">
        <f>IF($B$2=Common!$E$117,Single.Stream!G92,Single.Stream!F92)</f>
        <v>0</v>
      </c>
      <c r="F164" s="162">
        <f>IF($B$3=Common!$E$117,Single.Stream!J92,Single.Stream!H92)</f>
        <v>0</v>
      </c>
      <c r="G164" s="162">
        <f>IF($B$3=Common!$E$117,Single.Stream!K92,Single.Stream!I92)</f>
        <v>0</v>
      </c>
      <c r="H164" s="71"/>
      <c r="I164" s="73"/>
      <c r="J164" s="166"/>
      <c r="K164" s="49"/>
      <c r="L164" s="50"/>
      <c r="M164" s="71"/>
      <c r="N164" s="49"/>
      <c r="O164" s="162">
        <f>IF($B$3=Common!$E$117,Single.Stream!Q92,Single.Stream!P92)</f>
        <v>0</v>
      </c>
      <c r="P164" s="49"/>
      <c r="Q164" s="162">
        <f>IF($B$7=Common!$E$117,Single.Stream!O92,Single.Stream!N92)</f>
        <v>0</v>
      </c>
      <c r="R164" s="49"/>
      <c r="S164" s="162">
        <f>IF($B$5=Common!$E$117,Single.Stream!E92,Single.Stream!D92)</f>
        <v>0</v>
      </c>
      <c r="T164" s="49"/>
      <c r="U164" s="162">
        <f>IF($B$4=Common!$E$117,Single.Stream!C92,Single.Stream!B92)</f>
        <v>0.97</v>
      </c>
      <c r="V164" s="50"/>
      <c r="W164" s="50"/>
      <c r="X164" s="76"/>
      <c r="Y164" s="76"/>
    </row>
    <row r="165" spans="1:25" x14ac:dyDescent="0.35">
      <c r="A165" t="str">
        <f>Common!A102</f>
        <v>Aluminum - Foil</v>
      </c>
      <c r="B165" s="78"/>
      <c r="C165" s="49"/>
      <c r="D165" s="162">
        <f>IF($B$6=Common!$E$117,Single.Stream!M93,Single.Stream!L93)</f>
        <v>0</v>
      </c>
      <c r="E165" s="161">
        <f>IF($B$2=Common!$E$117,Single.Stream!G93,Single.Stream!F93)</f>
        <v>0</v>
      </c>
      <c r="F165" s="162">
        <f>IF($B$3=Common!$E$117,Single.Stream!J93,Single.Stream!H93)</f>
        <v>0</v>
      </c>
      <c r="G165" s="162">
        <f>IF($B$3=Common!$E$117,Single.Stream!K93,Single.Stream!I93)</f>
        <v>0</v>
      </c>
      <c r="H165" s="71"/>
      <c r="I165" s="73"/>
      <c r="J165" s="166"/>
      <c r="K165" s="49"/>
      <c r="L165" s="50"/>
      <c r="M165" s="71"/>
      <c r="N165" s="49"/>
      <c r="O165" s="162">
        <f>IF($B$3=Common!$E$117,Single.Stream!Q93,Single.Stream!P93)</f>
        <v>0</v>
      </c>
      <c r="P165" s="49"/>
      <c r="Q165" s="162">
        <f>IF($B$7=Common!$E$117,Single.Stream!O93,Single.Stream!N93)</f>
        <v>0</v>
      </c>
      <c r="R165" s="49"/>
      <c r="S165" s="162">
        <f>IF($B$5=Common!$E$117,Single.Stream!E93,Single.Stream!D93)</f>
        <v>0</v>
      </c>
      <c r="T165" s="49"/>
      <c r="U165" s="162">
        <f>IF($B$4=Common!$E$117,Single.Stream!C93,Single.Stream!B93)</f>
        <v>0.97</v>
      </c>
      <c r="V165" s="50"/>
      <c r="W165" s="50"/>
      <c r="X165" s="76"/>
      <c r="Y165" s="76"/>
    </row>
    <row r="166" spans="1:25" x14ac:dyDescent="0.35">
      <c r="A166" t="str">
        <f>Common!A103</f>
        <v>Aluminum - Other</v>
      </c>
      <c r="B166" s="78"/>
      <c r="C166" s="49"/>
      <c r="D166" s="162">
        <f>IF($B$6=Common!$E$117,Single.Stream!M94,Single.Stream!L94)</f>
        <v>0</v>
      </c>
      <c r="E166" s="161">
        <f>IF($B$2=Common!$E$117,Single.Stream!G94,Single.Stream!F94)</f>
        <v>0</v>
      </c>
      <c r="F166" s="162">
        <f>IF($B$3=Common!$E$117,Single.Stream!J94,Single.Stream!H94)</f>
        <v>0</v>
      </c>
      <c r="G166" s="162">
        <f>IF($B$3=Common!$E$117,Single.Stream!K94,Single.Stream!I94)</f>
        <v>0</v>
      </c>
      <c r="H166" s="71"/>
      <c r="I166" s="73"/>
      <c r="J166" s="166"/>
      <c r="K166" s="49"/>
      <c r="L166" s="50"/>
      <c r="M166" s="71"/>
      <c r="N166" s="49"/>
      <c r="O166" s="162">
        <f>IF($B$3=Common!$E$117,Single.Stream!Q94,Single.Stream!P94)</f>
        <v>0</v>
      </c>
      <c r="P166" s="49"/>
      <c r="Q166" s="162">
        <f>IF($B$7=Common!$E$117,Single.Stream!O94,Single.Stream!N94)</f>
        <v>0</v>
      </c>
      <c r="R166" s="49"/>
      <c r="S166" s="162">
        <f>IF($B$5=Common!$E$117,Single.Stream!E94,Single.Stream!D94)</f>
        <v>0</v>
      </c>
      <c r="T166" s="49"/>
      <c r="U166" s="162">
        <f>IF($B$4=Common!$E$117,Single.Stream!C94,Single.Stream!B94)</f>
        <v>0.97</v>
      </c>
      <c r="V166" s="50"/>
      <c r="W166" s="50"/>
      <c r="X166" s="76"/>
      <c r="Y166" s="76"/>
    </row>
    <row r="167" spans="1:25" x14ac:dyDescent="0.35">
      <c r="A167" t="str">
        <f>Common!A104</f>
        <v xml:space="preserve">Ferrous - Non-recyclable </v>
      </c>
      <c r="B167" s="78"/>
      <c r="C167" s="49"/>
      <c r="D167" s="162">
        <f>IF($B$6=Common!$E$117,Single.Stream!M95,Single.Stream!L95)</f>
        <v>0</v>
      </c>
      <c r="E167" s="161">
        <f>IF($B$2=Common!$E$117,Single.Stream!G95,Single.Stream!F95)</f>
        <v>0</v>
      </c>
      <c r="F167" s="162">
        <f>IF($B$3=Common!$E$117,Single.Stream!J95,Single.Stream!H95)</f>
        <v>0</v>
      </c>
      <c r="G167" s="162">
        <f>IF($B$3=Common!$E$117,Single.Stream!K95,Single.Stream!I95)</f>
        <v>0</v>
      </c>
      <c r="H167" s="71"/>
      <c r="I167" s="73"/>
      <c r="J167" s="166"/>
      <c r="K167" s="49"/>
      <c r="L167" s="50"/>
      <c r="M167" s="71"/>
      <c r="N167" s="49"/>
      <c r="O167" s="162">
        <f>IF($B$3=Common!$E$117,Single.Stream!Q95,Single.Stream!P95)</f>
        <v>0</v>
      </c>
      <c r="P167" s="49"/>
      <c r="Q167" s="162">
        <f>IF($B$7=Common!$E$117,Single.Stream!O95,Single.Stream!N95)</f>
        <v>0</v>
      </c>
      <c r="R167" s="49"/>
      <c r="S167" s="162">
        <f>IF($B$5=Common!$E$117,Single.Stream!E95,Single.Stream!D95)</f>
        <v>0.98</v>
      </c>
      <c r="T167" s="49"/>
      <c r="U167" s="162">
        <f>IF($B$4=Common!$E$117,Single.Stream!C95,Single.Stream!B95)</f>
        <v>0</v>
      </c>
      <c r="V167" s="50"/>
      <c r="W167" s="50"/>
      <c r="X167" s="76"/>
      <c r="Y167" s="76"/>
    </row>
    <row r="168" spans="1:25" x14ac:dyDescent="0.35">
      <c r="A168" t="str">
        <f>Common!A105</f>
        <v xml:space="preserve">Al - Non-recyclable </v>
      </c>
      <c r="B168" s="78"/>
      <c r="C168" s="49"/>
      <c r="D168" s="162">
        <f>IF($B$6=Common!$E$117,Single.Stream!M96,Single.Stream!L96)</f>
        <v>0</v>
      </c>
      <c r="E168" s="161">
        <f>IF($B$2=Common!$E$117,Single.Stream!G96,Single.Stream!F96)</f>
        <v>0</v>
      </c>
      <c r="F168" s="162">
        <f>IF($B$3=Common!$E$117,Single.Stream!J96,Single.Stream!H96)</f>
        <v>0</v>
      </c>
      <c r="G168" s="162">
        <f>IF($B$3=Common!$E$117,Single.Stream!K96,Single.Stream!I96)</f>
        <v>0</v>
      </c>
      <c r="H168" s="71"/>
      <c r="I168" s="73"/>
      <c r="J168" s="166"/>
      <c r="K168" s="49"/>
      <c r="L168" s="50"/>
      <c r="M168" s="71"/>
      <c r="N168" s="49"/>
      <c r="O168" s="162">
        <f>IF($B$3=Common!$E$117,Single.Stream!Q96,Single.Stream!P96)</f>
        <v>0</v>
      </c>
      <c r="P168" s="49"/>
      <c r="Q168" s="162">
        <f>IF($B$7=Common!$E$117,Single.Stream!O96,Single.Stream!N96)</f>
        <v>0</v>
      </c>
      <c r="R168" s="49"/>
      <c r="S168" s="162">
        <f>IF($B$5=Common!$E$117,Single.Stream!E96,Single.Stream!D96)</f>
        <v>0</v>
      </c>
      <c r="T168" s="49"/>
      <c r="U168" s="162">
        <f>IF($B$4=Common!$E$117,Single.Stream!C96,Single.Stream!B96)</f>
        <v>0.97</v>
      </c>
      <c r="V168" s="50"/>
      <c r="W168" s="50"/>
      <c r="X168" s="76"/>
      <c r="Y168" s="76"/>
    </row>
    <row r="169" spans="1:25" x14ac:dyDescent="0.35">
      <c r="A169" t="str">
        <f>Common!A106</f>
        <v>Glass - Brown</v>
      </c>
      <c r="B169" s="78"/>
      <c r="C169" s="49"/>
      <c r="D169" s="162">
        <f>IF($B$6=Common!$E$117,Single.Stream!M97,Single.Stream!L97)</f>
        <v>0</v>
      </c>
      <c r="E169" s="161">
        <f>IF($B$2=Common!$E$117,Single.Stream!G97,Single.Stream!F97)</f>
        <v>0</v>
      </c>
      <c r="F169" s="162">
        <f>IF($B$3=Common!$E$117,Single.Stream!J97,Single.Stream!H97)</f>
        <v>0</v>
      </c>
      <c r="G169" s="162">
        <f>IF($B$3=Common!$E$117,Single.Stream!K97,Single.Stream!I97)</f>
        <v>0</v>
      </c>
      <c r="H169" s="71"/>
      <c r="I169" s="73"/>
      <c r="J169" s="166"/>
      <c r="K169" s="49">
        <v>0.97</v>
      </c>
      <c r="L169" s="50">
        <v>0.03</v>
      </c>
      <c r="M169" s="71">
        <v>0.98</v>
      </c>
      <c r="N169" s="49"/>
      <c r="O169" s="162">
        <f>IF($B$3=Common!$E$117,Single.Stream!Q97,Single.Stream!P97)</f>
        <v>0</v>
      </c>
      <c r="P169" s="49"/>
      <c r="Q169" s="162">
        <f>IF($B$7=Common!$E$117,Single.Stream!O97,Single.Stream!N97)</f>
        <v>0</v>
      </c>
      <c r="R169" s="49"/>
      <c r="S169" s="162">
        <f>IF($B$5=Common!$E$117,Single.Stream!E97,Single.Stream!D97)</f>
        <v>0</v>
      </c>
      <c r="T169" s="49"/>
      <c r="U169" s="162">
        <f>IF($B$4=Common!$E$117,Single.Stream!C97,Single.Stream!B97)</f>
        <v>0</v>
      </c>
      <c r="V169" s="50"/>
      <c r="W169" s="50"/>
      <c r="X169" s="76"/>
      <c r="Y169" s="76"/>
    </row>
    <row r="170" spans="1:25" x14ac:dyDescent="0.35">
      <c r="A170" t="str">
        <f>Common!A107</f>
        <v>Glass - Green</v>
      </c>
      <c r="B170" s="78"/>
      <c r="C170" s="49"/>
      <c r="D170" s="162">
        <f>IF($B$6=Common!$E$117,Single.Stream!M98,Single.Stream!L98)</f>
        <v>0</v>
      </c>
      <c r="E170" s="161">
        <f>IF($B$2=Common!$E$117,Single.Stream!G98,Single.Stream!F98)</f>
        <v>0</v>
      </c>
      <c r="F170" s="162">
        <f>IF($B$3=Common!$E$117,Single.Stream!J98,Single.Stream!H98)</f>
        <v>0</v>
      </c>
      <c r="G170" s="162">
        <f>IF($B$3=Common!$E$117,Single.Stream!K98,Single.Stream!I98)</f>
        <v>0</v>
      </c>
      <c r="H170" s="71"/>
      <c r="I170" s="73"/>
      <c r="J170" s="166"/>
      <c r="K170" s="49">
        <v>0.97</v>
      </c>
      <c r="L170" s="50">
        <v>0.03</v>
      </c>
      <c r="M170" s="71">
        <v>0.98</v>
      </c>
      <c r="N170" s="49"/>
      <c r="O170" s="162">
        <f>IF($B$3=Common!$E$117,Single.Stream!Q98,Single.Stream!P98)</f>
        <v>0</v>
      </c>
      <c r="P170" s="49"/>
      <c r="Q170" s="162">
        <f>IF($B$7=Common!$E$117,Single.Stream!O98,Single.Stream!N98)</f>
        <v>0</v>
      </c>
      <c r="R170" s="49"/>
      <c r="S170" s="162">
        <f>IF($B$5=Common!$E$117,Single.Stream!E98,Single.Stream!D98)</f>
        <v>0</v>
      </c>
      <c r="T170" s="49"/>
      <c r="U170" s="162">
        <f>IF($B$4=Common!$E$117,Single.Stream!C98,Single.Stream!B98)</f>
        <v>0</v>
      </c>
      <c r="V170" s="50"/>
      <c r="W170" s="50"/>
      <c r="X170" s="76"/>
      <c r="Y170" s="76"/>
    </row>
    <row r="171" spans="1:25" x14ac:dyDescent="0.35">
      <c r="A171" t="str">
        <f>Common!A108</f>
        <v>Glass - Clear</v>
      </c>
      <c r="B171" s="78"/>
      <c r="C171" s="49"/>
      <c r="D171" s="162">
        <f>IF($B$6=Common!$E$117,Single.Stream!M99,Single.Stream!L99)</f>
        <v>0</v>
      </c>
      <c r="E171" s="161">
        <f>IF($B$2=Common!$E$117,Single.Stream!G99,Single.Stream!F99)</f>
        <v>0</v>
      </c>
      <c r="F171" s="162">
        <f>IF($B$3=Common!$E$117,Single.Stream!J99,Single.Stream!H99)</f>
        <v>0</v>
      </c>
      <c r="G171" s="162">
        <f>IF($B$3=Common!$E$117,Single.Stream!K99,Single.Stream!I99)</f>
        <v>0</v>
      </c>
      <c r="H171" s="71"/>
      <c r="I171" s="73"/>
      <c r="J171" s="166"/>
      <c r="K171" s="49">
        <v>0.97</v>
      </c>
      <c r="L171" s="50">
        <v>0.03</v>
      </c>
      <c r="M171" s="71">
        <v>0.98</v>
      </c>
      <c r="N171" s="49"/>
      <c r="O171" s="162">
        <f>IF($B$3=Common!$E$117,Single.Stream!Q99,Single.Stream!P99)</f>
        <v>0</v>
      </c>
      <c r="P171" s="49"/>
      <c r="Q171" s="162">
        <f>IF($B$7=Common!$E$117,Single.Stream!O99,Single.Stream!N99)</f>
        <v>0</v>
      </c>
      <c r="R171" s="49"/>
      <c r="S171" s="162">
        <f>IF($B$5=Common!$E$117,Single.Stream!E99,Single.Stream!D99)</f>
        <v>0</v>
      </c>
      <c r="T171" s="49"/>
      <c r="U171" s="162">
        <f>IF($B$4=Common!$E$117,Single.Stream!C99,Single.Stream!B99)</f>
        <v>0</v>
      </c>
      <c r="V171" s="50"/>
      <c r="W171" s="50"/>
      <c r="X171" s="76"/>
      <c r="Y171" s="76"/>
    </row>
    <row r="172" spans="1:25" x14ac:dyDescent="0.35">
      <c r="A172" t="str">
        <f>Common!A109</f>
        <v>Mixed Glass</v>
      </c>
      <c r="B172" s="78"/>
      <c r="C172" s="49"/>
      <c r="D172" s="162">
        <f>IF($B$6=Common!$E$117,Single.Stream!M100,Single.Stream!L100)</f>
        <v>0</v>
      </c>
      <c r="E172" s="161">
        <f>IF($B$2=Common!$E$117,Single.Stream!G100,Single.Stream!F100)</f>
        <v>0</v>
      </c>
      <c r="F172" s="162">
        <f>IF($B$3=Common!$E$117,Single.Stream!J100,Single.Stream!H100)</f>
        <v>0</v>
      </c>
      <c r="G172" s="162">
        <f>IF($B$3=Common!$E$117,Single.Stream!K100,Single.Stream!I100)</f>
        <v>0</v>
      </c>
      <c r="H172" s="71"/>
      <c r="I172" s="73"/>
      <c r="J172" s="166"/>
      <c r="K172" s="49">
        <v>0.97</v>
      </c>
      <c r="L172" s="50">
        <v>0.03</v>
      </c>
      <c r="M172" s="71"/>
      <c r="N172" s="49"/>
      <c r="O172" s="162">
        <f>IF($B$3=Common!$E$117,Single.Stream!Q100,Single.Stream!P100)</f>
        <v>0</v>
      </c>
      <c r="P172" s="49"/>
      <c r="Q172" s="162">
        <f>IF($B$7=Common!$E$117,Single.Stream!O100,Single.Stream!N100)</f>
        <v>0</v>
      </c>
      <c r="R172" s="49"/>
      <c r="S172" s="162">
        <f>IF($B$5=Common!$E$117,Single.Stream!E100,Single.Stream!D100)</f>
        <v>0</v>
      </c>
      <c r="T172" s="49"/>
      <c r="U172" s="162">
        <f>IF($B$4=Common!$E$117,Single.Stream!C100,Single.Stream!B100)</f>
        <v>0</v>
      </c>
      <c r="V172" s="50"/>
      <c r="W172" s="50"/>
      <c r="X172" s="76"/>
      <c r="Y172" s="76"/>
    </row>
    <row r="173" spans="1:25" x14ac:dyDescent="0.35">
      <c r="A173" t="str">
        <f>Common!A110</f>
        <v>Glass - Non-recyclable</v>
      </c>
      <c r="B173" s="78"/>
      <c r="C173" s="49"/>
      <c r="D173" s="162">
        <f>IF($B$6=Common!$E$117,Single.Stream!M101,Single.Stream!L101)</f>
        <v>0</v>
      </c>
      <c r="E173" s="161">
        <f>IF($B$2=Common!$E$117,Single.Stream!G101,Single.Stream!F101)</f>
        <v>0</v>
      </c>
      <c r="F173" s="162">
        <f>IF($B$3=Common!$E$117,Single.Stream!J101,Single.Stream!H101)</f>
        <v>0</v>
      </c>
      <c r="G173" s="162">
        <f>IF($B$3=Common!$E$117,Single.Stream!K101,Single.Stream!I101)</f>
        <v>0</v>
      </c>
      <c r="H173" s="71"/>
      <c r="I173" s="73"/>
      <c r="J173" s="166"/>
      <c r="K173" s="49">
        <v>0.97</v>
      </c>
      <c r="L173" s="50">
        <v>0.03</v>
      </c>
      <c r="M173" s="71"/>
      <c r="N173" s="49"/>
      <c r="O173" s="162">
        <f>IF($B$3=Common!$E$117,Single.Stream!Q101,Single.Stream!P101)</f>
        <v>0</v>
      </c>
      <c r="P173" s="49"/>
      <c r="Q173" s="162">
        <f>IF($B$7=Common!$E$117,Single.Stream!O101,Single.Stream!N101)</f>
        <v>0</v>
      </c>
      <c r="R173" s="49"/>
      <c r="S173" s="162">
        <f>IF($B$5=Common!$E$117,Single.Stream!E101,Single.Stream!D101)</f>
        <v>0</v>
      </c>
      <c r="T173" s="49"/>
      <c r="U173" s="162">
        <f>IF($B$4=Common!$E$117,Single.Stream!C101,Single.Stream!B101)</f>
        <v>0</v>
      </c>
      <c r="V173" s="50"/>
      <c r="W173" s="50"/>
      <c r="X173" s="76"/>
      <c r="Y173" s="76"/>
    </row>
    <row r="174" spans="1:25" x14ac:dyDescent="0.35">
      <c r="A174" t="str">
        <f>Common!A111</f>
        <v>Misc. Organic</v>
      </c>
      <c r="B174" s="78"/>
      <c r="C174" s="49"/>
      <c r="D174" s="162">
        <f>IF($B$6=Common!$E$117,Single.Stream!M102,Single.Stream!L102)</f>
        <v>0</v>
      </c>
      <c r="E174" s="161">
        <f>IF($B$2=Common!$E$117,Single.Stream!G102,Single.Stream!F102)</f>
        <v>0</v>
      </c>
      <c r="F174" s="162">
        <f>IF($B$3=Common!$E$117,Single.Stream!J102,Single.Stream!H102)</f>
        <v>0</v>
      </c>
      <c r="G174" s="162">
        <f>IF($B$3=Common!$E$117,Single.Stream!K102,Single.Stream!I102)</f>
        <v>0</v>
      </c>
      <c r="H174" s="71"/>
      <c r="I174" s="73"/>
      <c r="J174" s="166"/>
      <c r="K174" s="49"/>
      <c r="L174" s="50"/>
      <c r="M174" s="71"/>
      <c r="N174" s="49"/>
      <c r="O174" s="162">
        <f>IF($B$3=Common!$E$117,Single.Stream!Q102,Single.Stream!P102)</f>
        <v>0</v>
      </c>
      <c r="P174" s="49"/>
      <c r="Q174" s="162">
        <f>IF($B$7=Common!$E$117,Single.Stream!O102,Single.Stream!N102)</f>
        <v>0</v>
      </c>
      <c r="R174" s="49"/>
      <c r="S174" s="162">
        <f>IF($B$5=Common!$E$117,Single.Stream!E102,Single.Stream!D102)</f>
        <v>0</v>
      </c>
      <c r="T174" s="49"/>
      <c r="U174" s="162">
        <f>IF($B$4=Common!$E$117,Single.Stream!C102,Single.Stream!B102)</f>
        <v>0</v>
      </c>
      <c r="V174" s="50"/>
      <c r="W174" s="50"/>
      <c r="X174" s="76"/>
      <c r="Y174" s="76"/>
    </row>
    <row r="175" spans="1:25" x14ac:dyDescent="0.35">
      <c r="A175" t="str">
        <f>Common!A112</f>
        <v>Misc. Inorganic</v>
      </c>
      <c r="B175" s="78"/>
      <c r="C175" s="49"/>
      <c r="D175" s="162">
        <f>IF($B$6=Common!$E$117,Single.Stream!M103,Single.Stream!L103)</f>
        <v>0</v>
      </c>
      <c r="E175" s="161">
        <f>IF($B$2=Common!$E$117,Single.Stream!G103,Single.Stream!F103)</f>
        <v>0</v>
      </c>
      <c r="F175" s="162">
        <f>IF($B$3=Common!$E$117,Single.Stream!J103,Single.Stream!H103)</f>
        <v>0</v>
      </c>
      <c r="G175" s="162">
        <f>IF($B$3=Common!$E$117,Single.Stream!K103,Single.Stream!I103)</f>
        <v>0</v>
      </c>
      <c r="H175" s="71"/>
      <c r="I175" s="73"/>
      <c r="J175" s="166"/>
      <c r="K175" s="49"/>
      <c r="L175" s="50"/>
      <c r="M175" s="71"/>
      <c r="N175" s="49"/>
      <c r="O175" s="162">
        <f>IF($B$3=Common!$E$117,Single.Stream!Q103,Single.Stream!P103)</f>
        <v>0</v>
      </c>
      <c r="P175" s="49"/>
      <c r="Q175" s="162">
        <f>IF($B$7=Common!$E$117,Single.Stream!O103,Single.Stream!N103)</f>
        <v>0</v>
      </c>
      <c r="R175" s="49"/>
      <c r="S175" s="162">
        <f>IF($B$5=Common!$E$117,Single.Stream!E103,Single.Stream!D103)</f>
        <v>0</v>
      </c>
      <c r="T175" s="49"/>
      <c r="U175" s="162">
        <f>IF($B$4=Common!$E$117,Single.Stream!C103,Single.Stream!B103)</f>
        <v>0</v>
      </c>
      <c r="V175" s="50"/>
      <c r="W175" s="50"/>
      <c r="X175" s="76"/>
      <c r="Y175" s="76"/>
    </row>
    <row r="176" spans="1:25" x14ac:dyDescent="0.35">
      <c r="A176" t="str">
        <f>Common!A113</f>
        <v>E-waste</v>
      </c>
      <c r="B176" s="79"/>
      <c r="C176" s="69"/>
      <c r="D176" s="164">
        <f>IF($B$6=Common!$E$117,Single.Stream!M104,Single.Stream!L104)</f>
        <v>0</v>
      </c>
      <c r="E176" s="163">
        <f>IF($B$2=Common!$E$117,Single.Stream!G104,Single.Stream!F104)</f>
        <v>0</v>
      </c>
      <c r="F176" s="164">
        <f>IF($B$3=Common!$E$117,Single.Stream!J104,Single.Stream!H104)</f>
        <v>0</v>
      </c>
      <c r="G176" s="164">
        <f>IF($B$3=Common!$E$117,Single.Stream!K104,Single.Stream!I104)</f>
        <v>0</v>
      </c>
      <c r="H176" s="72"/>
      <c r="I176" s="74"/>
      <c r="J176" s="167"/>
      <c r="K176" s="69"/>
      <c r="L176" s="70"/>
      <c r="M176" s="72"/>
      <c r="N176" s="69"/>
      <c r="O176" s="164">
        <f>IF($B$3=Common!$E$117,Single.Stream!Q104,Single.Stream!P104)</f>
        <v>0</v>
      </c>
      <c r="P176" s="69"/>
      <c r="Q176" s="164">
        <f>IF($B$7=Common!$E$117,Single.Stream!O104,Single.Stream!N104)</f>
        <v>0</v>
      </c>
      <c r="R176" s="69"/>
      <c r="S176" s="164">
        <f>IF($B$5=Common!$E$117,Single.Stream!E104,Single.Stream!D104)</f>
        <v>0</v>
      </c>
      <c r="T176" s="69"/>
      <c r="U176" s="164">
        <f>IF($B$4=Common!$E$117,Single.Stream!C104,Single.Stream!B104)</f>
        <v>0</v>
      </c>
      <c r="V176" s="70"/>
      <c r="W176" s="70"/>
      <c r="X176" s="77"/>
      <c r="Y176" s="77"/>
    </row>
    <row r="177" spans="1:20" s="12" customFormat="1" x14ac:dyDescent="0.35">
      <c r="A177" s="128"/>
      <c r="H177" s="129"/>
      <c r="L177" s="146"/>
      <c r="M177" s="147"/>
      <c r="P177" s="131"/>
      <c r="Q177" s="131"/>
      <c r="R177" s="131"/>
      <c r="S177" s="131"/>
      <c r="T177" s="131"/>
    </row>
    <row r="178" spans="1:20" s="12" customFormat="1" x14ac:dyDescent="0.35">
      <c r="A178" s="128"/>
      <c r="H178" s="129"/>
      <c r="L178" s="146"/>
      <c r="M178" s="147"/>
      <c r="P178" s="131"/>
      <c r="Q178" s="131"/>
      <c r="R178" s="131"/>
      <c r="S178" s="131"/>
      <c r="T178" s="131"/>
    </row>
    <row r="179" spans="1:20" x14ac:dyDescent="0.35">
      <c r="A179" s="20" t="s">
        <v>31</v>
      </c>
      <c r="K179" s="12"/>
      <c r="L179" s="12"/>
      <c r="M179" s="12"/>
      <c r="N179" s="12"/>
      <c r="O179" s="12"/>
      <c r="P179" s="12"/>
    </row>
    <row r="180" spans="1:20" ht="29" x14ac:dyDescent="0.35">
      <c r="A180" s="27" t="s">
        <v>32</v>
      </c>
      <c r="B180" s="48">
        <f>Common!C20*Common!C21*Common!C22</f>
        <v>0.49746205228777451</v>
      </c>
      <c r="F180" s="21"/>
      <c r="G180" s="62"/>
      <c r="H180" s="63"/>
      <c r="I180" s="63"/>
      <c r="J180" s="64"/>
      <c r="K180" s="64"/>
      <c r="L180" s="12"/>
      <c r="M180" s="12"/>
      <c r="N180" s="12"/>
      <c r="O180" s="12"/>
      <c r="P180" s="12"/>
    </row>
    <row r="181" spans="1:20" ht="29" x14ac:dyDescent="0.35">
      <c r="A181" s="27" t="s">
        <v>33</v>
      </c>
      <c r="B181" s="48">
        <f>Common!C23*Common!C20*(1-Common!C21)</f>
        <v>0.47369889390565789</v>
      </c>
      <c r="D181" s="28"/>
      <c r="F181" s="21"/>
      <c r="G181" s="61"/>
      <c r="H181" s="61"/>
      <c r="I181" s="61"/>
      <c r="J181" s="65"/>
      <c r="K181" s="66"/>
    </row>
    <row r="182" spans="1:20" x14ac:dyDescent="0.35">
      <c r="A182" s="27"/>
      <c r="B182" s="48"/>
      <c r="D182" s="28"/>
      <c r="F182" s="67"/>
      <c r="G182" s="61"/>
      <c r="H182" s="61"/>
      <c r="I182" s="61"/>
      <c r="J182" s="65"/>
      <c r="K182" s="66"/>
    </row>
    <row r="183" spans="1:20" ht="43.5" x14ac:dyDescent="0.35">
      <c r="A183" s="47" t="s">
        <v>67</v>
      </c>
      <c r="B183" s="81" t="str">
        <f>Common!CW64</f>
        <v>Medium Duty/Collection Vehicle</v>
      </c>
      <c r="C183" s="81" t="str">
        <f>Common!CX64</f>
        <v>Heavy-duty Truck</v>
      </c>
      <c r="D183" s="81" t="str">
        <f>Common!CY64</f>
        <v>Rail</v>
      </c>
      <c r="E183" s="81" t="str">
        <f>Common!CZ64</f>
        <v>Barge</v>
      </c>
      <c r="F183" s="81" t="str">
        <f>Common!DA64</f>
        <v>Ocean Freighter</v>
      </c>
      <c r="G183" s="16" t="s">
        <v>351</v>
      </c>
      <c r="I183" s="61"/>
      <c r="J183" s="61"/>
      <c r="K183" s="66"/>
    </row>
    <row r="184" spans="1:20" x14ac:dyDescent="0.35">
      <c r="A184" s="27" t="s">
        <v>68</v>
      </c>
      <c r="B184" s="55">
        <v>0</v>
      </c>
      <c r="C184" s="55">
        <v>0</v>
      </c>
      <c r="D184" s="55">
        <v>0</v>
      </c>
      <c r="E184" s="55">
        <v>0</v>
      </c>
      <c r="F184" s="55">
        <v>0</v>
      </c>
      <c r="G184" s="264">
        <v>0</v>
      </c>
      <c r="H184" s="61"/>
      <c r="I184" s="61"/>
      <c r="J184" s="65"/>
      <c r="K184" s="66"/>
    </row>
    <row r="185" spans="1:20" x14ac:dyDescent="0.35">
      <c r="A185" s="27" t="s">
        <v>69</v>
      </c>
      <c r="B185" s="55">
        <v>0</v>
      </c>
      <c r="C185" s="55">
        <v>0</v>
      </c>
      <c r="D185" s="55">
        <v>0</v>
      </c>
      <c r="E185" s="55">
        <v>0</v>
      </c>
      <c r="F185" s="55">
        <v>0</v>
      </c>
      <c r="G185" s="264">
        <v>0</v>
      </c>
      <c r="H185" s="61"/>
      <c r="I185" s="61"/>
      <c r="J185" s="61"/>
      <c r="K185" s="66"/>
    </row>
    <row r="186" spans="1:20" x14ac:dyDescent="0.35">
      <c r="A186" s="27" t="s">
        <v>216</v>
      </c>
      <c r="B186" s="55">
        <v>0</v>
      </c>
      <c r="C186" s="55">
        <v>0</v>
      </c>
      <c r="D186" s="55">
        <v>0</v>
      </c>
      <c r="E186" s="55">
        <v>0</v>
      </c>
      <c r="F186" s="55">
        <v>0</v>
      </c>
      <c r="G186" s="264">
        <v>0</v>
      </c>
      <c r="H186" s="61"/>
      <c r="I186" s="61"/>
      <c r="J186" s="61"/>
      <c r="K186" s="66"/>
    </row>
    <row r="187" spans="1:20" x14ac:dyDescent="0.35">
      <c r="A187" s="27"/>
      <c r="B187" s="12"/>
      <c r="C187" s="12"/>
      <c r="D187" s="12"/>
      <c r="F187" s="21"/>
      <c r="G187" s="61"/>
      <c r="H187" s="61"/>
      <c r="I187" s="61"/>
      <c r="J187" s="61"/>
      <c r="K187" s="66"/>
    </row>
    <row r="188" spans="1:20" x14ac:dyDescent="0.35">
      <c r="A188" s="20" t="s">
        <v>108</v>
      </c>
      <c r="C188" s="20"/>
      <c r="F188" s="21"/>
      <c r="G188" s="61"/>
      <c r="H188" s="61"/>
      <c r="I188" s="61"/>
      <c r="J188" s="61"/>
      <c r="K188" s="66"/>
    </row>
    <row r="189" spans="1:20" x14ac:dyDescent="0.35">
      <c r="A189" s="139" t="s">
        <v>116</v>
      </c>
      <c r="B189" t="s">
        <v>117</v>
      </c>
      <c r="C189" s="121">
        <f>20*2.205/3.281</f>
        <v>13.441024078024991</v>
      </c>
      <c r="D189" s="12"/>
      <c r="F189" s="21"/>
      <c r="G189" s="61"/>
      <c r="H189" s="61"/>
      <c r="I189" s="61"/>
      <c r="J189" s="61"/>
      <c r="K189" s="66"/>
    </row>
    <row r="190" spans="1:20" x14ac:dyDescent="0.35">
      <c r="A190" s="16" t="s">
        <v>118</v>
      </c>
      <c r="B190" t="s">
        <v>119</v>
      </c>
      <c r="C190" s="122">
        <v>2.105</v>
      </c>
      <c r="F190" s="21"/>
      <c r="G190" s="61"/>
      <c r="H190" s="61"/>
      <c r="I190" s="61"/>
      <c r="J190" s="61"/>
      <c r="K190" s="66"/>
    </row>
    <row r="191" spans="1:20" x14ac:dyDescent="0.35">
      <c r="A191" s="16"/>
      <c r="B191" t="s">
        <v>152</v>
      </c>
      <c r="C191" s="136">
        <f>C190/C189</f>
        <v>0.15661009070294785</v>
      </c>
      <c r="F191" s="21"/>
      <c r="G191" s="61"/>
      <c r="H191" s="61"/>
      <c r="I191" s="61"/>
      <c r="J191" s="61"/>
      <c r="K191" s="66"/>
    </row>
    <row r="192" spans="1:20" x14ac:dyDescent="0.35">
      <c r="A192" s="140"/>
      <c r="C192" t="s">
        <v>109</v>
      </c>
      <c r="D192" t="s">
        <v>153</v>
      </c>
      <c r="F192" s="21"/>
      <c r="G192" s="61"/>
      <c r="H192" s="61"/>
      <c r="I192" s="61"/>
      <c r="J192" s="61"/>
      <c r="K192" s="66"/>
    </row>
    <row r="193" spans="1:26" x14ac:dyDescent="0.35">
      <c r="A193" s="139" t="s">
        <v>110</v>
      </c>
      <c r="B193" t="s">
        <v>111</v>
      </c>
      <c r="C193" s="121">
        <f>45/12/3.281</f>
        <v>1.1429442243218531</v>
      </c>
      <c r="D193" s="26">
        <v>1</v>
      </c>
      <c r="F193" s="21"/>
      <c r="G193" s="61"/>
      <c r="H193" s="61"/>
      <c r="I193" s="61"/>
      <c r="J193" s="61"/>
      <c r="K193" s="66"/>
    </row>
    <row r="194" spans="1:26" x14ac:dyDescent="0.35">
      <c r="A194" s="139" t="s">
        <v>112</v>
      </c>
      <c r="B194" t="s">
        <v>111</v>
      </c>
      <c r="C194" s="121">
        <f>64/12/3.281</f>
        <v>1.6255206745910797</v>
      </c>
      <c r="D194" s="26">
        <v>2</v>
      </c>
      <c r="F194" s="21"/>
      <c r="G194" s="61"/>
      <c r="H194" s="61"/>
      <c r="I194" s="61"/>
      <c r="J194" s="61"/>
      <c r="K194" s="66"/>
    </row>
    <row r="195" spans="1:26" x14ac:dyDescent="0.35">
      <c r="A195" s="139" t="s">
        <v>113</v>
      </c>
      <c r="B195" t="s">
        <v>111</v>
      </c>
      <c r="C195" s="121">
        <f>31/12/3.281</f>
        <v>0.78736157675505436</v>
      </c>
      <c r="D195" s="26">
        <v>1</v>
      </c>
      <c r="F195" s="21"/>
      <c r="G195" s="61"/>
      <c r="H195" s="61"/>
      <c r="I195" s="61"/>
      <c r="J195" s="61"/>
      <c r="K195" s="66"/>
    </row>
    <row r="196" spans="1:26" x14ac:dyDescent="0.35">
      <c r="A196" s="139" t="s">
        <v>114</v>
      </c>
      <c r="B196" t="s">
        <v>115</v>
      </c>
      <c r="C196" s="26">
        <v>6</v>
      </c>
      <c r="D196" s="26">
        <v>5</v>
      </c>
      <c r="F196" s="21"/>
      <c r="G196" s="61"/>
      <c r="H196" s="61"/>
      <c r="I196" s="61"/>
      <c r="J196" s="61"/>
      <c r="K196" s="66"/>
    </row>
    <row r="197" spans="1:26" x14ac:dyDescent="0.35">
      <c r="A197" s="139" t="s">
        <v>158</v>
      </c>
      <c r="B197" t="s">
        <v>159</v>
      </c>
      <c r="C197" s="32">
        <f>C193*C194*C195</f>
        <v>1.4628229061954878</v>
      </c>
      <c r="D197">
        <f>D193*D194*D195</f>
        <v>2</v>
      </c>
      <c r="F197" s="21"/>
      <c r="G197" s="61"/>
      <c r="H197" s="61"/>
      <c r="I197" s="61"/>
      <c r="J197" s="61"/>
      <c r="K197" s="66"/>
    </row>
    <row r="198" spans="1:26" x14ac:dyDescent="0.35">
      <c r="A198" s="139"/>
      <c r="B198" t="s">
        <v>155</v>
      </c>
      <c r="C198" s="137">
        <f>C196*2*(C195+C193)</f>
        <v>23.163669612922888</v>
      </c>
      <c r="D198" s="137">
        <f>D196*2*(D195+D193)</f>
        <v>20</v>
      </c>
      <c r="F198" s="21"/>
      <c r="G198" s="61"/>
      <c r="H198" s="61"/>
      <c r="I198" s="61"/>
      <c r="J198" s="61"/>
      <c r="K198" s="66"/>
    </row>
    <row r="199" spans="1:26" x14ac:dyDescent="0.35">
      <c r="A199" s="139"/>
      <c r="B199" s="21" t="s">
        <v>154</v>
      </c>
      <c r="C199" s="171">
        <f>$C$191*C198</f>
        <v>3.6276643990929704</v>
      </c>
      <c r="D199" s="171">
        <f>$C$191*D198</f>
        <v>3.1322018140589569</v>
      </c>
      <c r="F199" s="21"/>
      <c r="G199" s="61"/>
      <c r="H199" s="61"/>
      <c r="I199" s="61"/>
      <c r="J199" s="61"/>
      <c r="K199" s="66"/>
    </row>
    <row r="200" spans="1:26" x14ac:dyDescent="0.35">
      <c r="A200" s="27"/>
      <c r="F200" s="21"/>
      <c r="G200" s="61"/>
      <c r="H200" s="61"/>
      <c r="I200" s="61"/>
      <c r="J200" s="61"/>
      <c r="K200" s="66"/>
      <c r="L200" s="16"/>
    </row>
    <row r="201" spans="1:26" x14ac:dyDescent="0.35">
      <c r="A201" s="20" t="s">
        <v>18</v>
      </c>
      <c r="F201" s="144" t="s">
        <v>348</v>
      </c>
      <c r="G201" s="141"/>
      <c r="H201" s="141"/>
      <c r="I201" s="145"/>
      <c r="J201" s="235"/>
      <c r="K201" s="7"/>
      <c r="L201" s="115" t="s">
        <v>67</v>
      </c>
      <c r="M201" s="7"/>
      <c r="N201" s="7"/>
      <c r="O201" s="7"/>
      <c r="P201" s="6"/>
      <c r="Q201" s="8" t="s">
        <v>347</v>
      </c>
      <c r="R201" s="6"/>
    </row>
    <row r="202" spans="1:26" s="16" customFormat="1" ht="58" x14ac:dyDescent="0.35">
      <c r="A202" s="47"/>
      <c r="B202" s="16" t="s">
        <v>15</v>
      </c>
      <c r="C202" s="16" t="s">
        <v>54</v>
      </c>
      <c r="D202" s="16" t="s">
        <v>350</v>
      </c>
      <c r="E202" s="16" t="s">
        <v>202</v>
      </c>
      <c r="F202" s="236" t="s">
        <v>151</v>
      </c>
      <c r="G202" s="232" t="s">
        <v>142</v>
      </c>
      <c r="H202" s="30" t="s">
        <v>157</v>
      </c>
      <c r="I202" s="45" t="s">
        <v>161</v>
      </c>
      <c r="J202" s="45" t="s">
        <v>160</v>
      </c>
      <c r="K202" s="45" t="s">
        <v>243</v>
      </c>
      <c r="L202" s="230" t="str">
        <f>B183</f>
        <v>Medium Duty/Collection Vehicle</v>
      </c>
      <c r="M202" s="81" t="str">
        <f t="shared" ref="M202:P202" si="17">C183</f>
        <v>Heavy-duty Truck</v>
      </c>
      <c r="N202" s="81" t="str">
        <f t="shared" si="17"/>
        <v>Rail</v>
      </c>
      <c r="O202" s="81" t="str">
        <f t="shared" si="17"/>
        <v>Barge</v>
      </c>
      <c r="P202" s="231" t="str">
        <f t="shared" si="17"/>
        <v>Ocean Freighter</v>
      </c>
      <c r="Q202" s="230" t="str">
        <f>L202</f>
        <v>Medium Duty/Collection Vehicle</v>
      </c>
      <c r="R202" s="231" t="str">
        <f>M202</f>
        <v>Heavy-duty Truck</v>
      </c>
      <c r="T202" s="16">
        <v>0.14099999999999999</v>
      </c>
      <c r="U202" s="16" t="s">
        <v>357</v>
      </c>
    </row>
    <row r="203" spans="1:26" x14ac:dyDescent="0.35">
      <c r="A203" t="str">
        <f t="shared" ref="A203:A243" si="18">A136</f>
        <v>Yard Trimmings, Leaves</v>
      </c>
      <c r="B203" s="32">
        <f t="array" ref="B203">(SUMPRODUCT('SS Material Flow'!$C139:$Y139,'SS Material Flow'!$C$134:$Y$134,IF('SS Material Flow'!$C$180:$Y$180&gt;0,1/'SS Material Flow'!$C$180:$Y$180,0),TRANSPOSE(J$109:J$131))+(SUM('SS Material Flow'!$B93:$D93,'SS Material Flow'!$F93:$J93,'SS Material Flow'!$L93:$X93)*Single.Stream!J$108))/'SS Material Flow'!$B93+$B$180+$B$181+J$132</f>
        <v>3.5917727575846561</v>
      </c>
      <c r="C203" s="32">
        <f t="array" ref="C203">(SUMPRODUCT('SS Material Flow'!$C139:$Y139,'SS Material Flow'!$C$134:$Y$134,IF('SS Material Flow'!$C$180:$Y$180&gt;0,1/'SS Material Flow'!$C$180:$Y$180,0),TRANSPOSE(K$109:K$131))+(SUM('SS Material Flow'!$B93:$D93,'SS Material Flow'!$F93:$J93,'SS Material Flow'!$L93:$X93)*Single.Stream!K$108))/'SS Material Flow'!$B93+K$132</f>
        <v>0.7</v>
      </c>
      <c r="D203" s="32">
        <f t="array" ref="D203">(SUMPRODUCT('SS Material Flow'!$C139:$Y139,'SS Material Flow'!$C$134:$Y$134,IF('SS Material Flow'!$C$180:$Y$180&gt;0,1/'SS Material Flow'!$C$180:$Y$180,0),TRANSPOSE(L$109:L$131))+(SUM('SS Material Flow'!$B93:$D93,'SS Material Flow'!$F93:$J93,'SS Material Flow'!$L93:$X93)*Single.Stream!L$108))/'SS Material Flow'!$B93+L$132</f>
        <v>0</v>
      </c>
      <c r="E203" s="206">
        <f>H203/($C$190)</f>
        <v>0</v>
      </c>
      <c r="F203" s="173" cm="1">
        <f t="array" ref="F203">(SUMPRODUCT('SS Material Flow'!$C139:$Y139,'SS Material Flow'!$C$134:$Y$134,IF('SS Material Flow'!$C$180:$Y$180&gt;0,1/'SS Material Flow'!$C$180:$Y$180,0),TRANSPOSE(T$109:T$131))+(SUM('SS Material Flow'!$B93:$D93,'SS Material Flow'!$F93:$J93,'SS Material Flow'!$L93:$X93)*Single.Stream!T$108))/'SS Material Flow'!$B93+T$132</f>
        <v>5.0047447907919604</v>
      </c>
      <c r="G203" s="142">
        <f t="array" ref="G203">Common!$D$16*((SUMPRODUCT('SS Material Flow'!$C139:$Y139,'SS Material Flow'!$C$134:$Y$134,IF('SS Material Flow'!$C$180:$Y$180&gt;0,1/'SS Material Flow'!$C$180:$Y$180,0),TRANSPOSE(U$109:U$131))+(SUM('SS Material Flow'!$B93:$D93,'SS Material Flow'!$F93:$J93,'SS Material Flow'!$L93:$X93)*Single.Stream!U$108))/'SS Material Flow'!$B93+U$132)+Common!$D$17*((SUMPRODUCT('SS Material Flow'!$C139:$Y139,'SS Material Flow'!$C$134:$Y$134,IF('SS Material Flow'!$C$180:$Y$180&gt;0,1/'SS Material Flow'!$C$180:$Y$180,0),TRANSPOSE(V$109:V$131))+(SUM('SS Material Flow'!$B93:$D93,'SS Material Flow'!$F93:$J93,'SS Material Flow'!$L93:$X93)*Single.Stream!V$108))/'SS Material Flow'!$B93+V$132)</f>
        <v>1.1764705882352944</v>
      </c>
      <c r="H203" s="142">
        <f t="array" ref="H203">($D$199/$D$197*SUMPRODUCT(1/TRANSPOSE($E$2:$E$3),'SS Material Flow'!$C184:$D184)+$C$199/$C$197*SUMPRODUCT(1/TRANSPOSE($E$4:$E$8),'SS Material Flow'!$E184:$I184))/'SS Material Flow'!$B93</f>
        <v>0</v>
      </c>
      <c r="I203" s="233">
        <f>SUM(F203:H203)</f>
        <v>6.1812153790272548</v>
      </c>
      <c r="J203" s="239">
        <f>Common!$D$61</f>
        <v>12.265493399927911</v>
      </c>
      <c r="K203" s="13" cm="1">
        <f t="array" ref="K203">(SUMPRODUCT($C$2:$C$9,TRANSPOSE('SS Material Flow'!B228:I228))+SUMPRODUCT(Single.Stream!$C$13:$C$18,TRANSPOSE('SS Material Flow'!J228:O228))+SUMPRODUCT(Single.Stream!$C$21:$C$23,TRANSPOSE('SS Material Flow'!P228:R228))+SUMPRODUCT(Single.Stream!$B$28:$B$29,TRANSPOSE('SS Material Flow'!S228:T228)))/'SS Material Flow'!$B93</f>
        <v>0</v>
      </c>
      <c r="L203" s="5">
        <f>(B$184*'SS Material Flow'!$M93+B$185*SUM('SS Material Flow'!$H184:$I184)+B$186*$E203/Common!$B$2)/('SS Material Flow'!$B93)</f>
        <v>0</v>
      </c>
      <c r="M203" s="9">
        <f>(C$184*'SS Material Flow'!$M93+C$185*SUM('SS Material Flow'!$H184:$I184)+C$186*$E203/Common!$B$2)/('SS Material Flow'!$B93)</f>
        <v>0</v>
      </c>
      <c r="N203" s="9">
        <f>(D$184*'SS Material Flow'!$M93+D$185*SUM('SS Material Flow'!$H184:$I184)+D$186*$E203/Common!$B$2)/('SS Material Flow'!$B93)</f>
        <v>0</v>
      </c>
      <c r="O203" s="9">
        <f>(E$184*'SS Material Flow'!$M93+E$185*SUM('SS Material Flow'!$H184:$I184)+E$186*$E203/Common!$B$2)/('SS Material Flow'!$B93)</f>
        <v>0</v>
      </c>
      <c r="P203" s="4">
        <f>(F$184*'SS Material Flow'!$M93+F$185*SUM('SS Material Flow'!$H184:$I184)+F$186*$E203/Common!$B$2)/('SS Material Flow'!$B93)</f>
        <v>0</v>
      </c>
      <c r="Q203" s="5">
        <f>($G$184*B$184*'SS Material Flow'!$M93+$G$185*B$185*SUM('SS Material Flow'!$H184:$I184)+$G$186*B$186*$E203/Common!$B$2)/('SS Material Flow'!$B93)</f>
        <v>0</v>
      </c>
      <c r="R203" s="4">
        <f>($G$184*C$184*'SS Material Flow'!$M93+$G$185*C$185*SUM('SS Material Flow'!$H184:$I184)+$G$186*C$186*$E203/Common!$B$2)/('SS Material Flow'!$B93)</f>
        <v>0</v>
      </c>
      <c r="T203">
        <f t="array" ref="T203">SUMPRODUCT(E203:E243,'SS Material Flow'!B93:B133)/100</f>
        <v>0.93066602195313319</v>
      </c>
      <c r="U203" t="s">
        <v>355</v>
      </c>
      <c r="V203">
        <f>T203*T202</f>
        <v>0.13122390909539178</v>
      </c>
      <c r="W203" t="s">
        <v>358</v>
      </c>
    </row>
    <row r="204" spans="1:26" x14ac:dyDescent="0.35">
      <c r="A204" t="str">
        <f t="shared" si="18"/>
        <v>Yard Trimmings, Grass</v>
      </c>
      <c r="B204" s="32">
        <f t="array" ref="B204">(SUMPRODUCT('SS Material Flow'!$C140:$Y140,'SS Material Flow'!$C$134:$Y$134,IF('SS Material Flow'!$C$180:$Y$180&gt;0,1/'SS Material Flow'!$C$180:$Y$180,0),TRANSPOSE(J$109:J$131))+(SUM('SS Material Flow'!$B94:$D94,'SS Material Flow'!$F94:$J94,'SS Material Flow'!$L94:$X94)*Single.Stream!J$108))/'SS Material Flow'!$B94+$B$180+$B$181+J$132</f>
        <v>3.5917727575846561</v>
      </c>
      <c r="C204" s="32">
        <f t="array" ref="C204">(SUMPRODUCT('SS Material Flow'!$C140:$Y140,'SS Material Flow'!$C$134:$Y$134,IF('SS Material Flow'!$C$180:$Y$180&gt;0,1/'SS Material Flow'!$C$180:$Y$180,0),TRANSPOSE(K$109:K$131))+(SUM('SS Material Flow'!$B94:$D94,'SS Material Flow'!$F94:$J94,'SS Material Flow'!$L94:$X94)*Single.Stream!K$108))/'SS Material Flow'!$B94+K$132</f>
        <v>0.7</v>
      </c>
      <c r="D204" s="32">
        <f t="array" ref="D204">(SUMPRODUCT('SS Material Flow'!$C140:$Y140,'SS Material Flow'!$C$134:$Y$134,IF('SS Material Flow'!$C$180:$Y$180&gt;0,1/'SS Material Flow'!$C$180:$Y$180,0),TRANSPOSE(L$109:L$131))+(SUM('SS Material Flow'!$B94:$D94,'SS Material Flow'!$F94:$J94,'SS Material Flow'!$L94:$X94)*Single.Stream!L$108))/'SS Material Flow'!$B94+L$132</f>
        <v>0</v>
      </c>
      <c r="E204" s="206">
        <f t="shared" ref="E204:E243" si="19">H204/($C$190)</f>
        <v>0</v>
      </c>
      <c r="F204" s="173">
        <f t="array" ref="F204">(SUMPRODUCT('SS Material Flow'!$C140:$Y140,'SS Material Flow'!$C$134:$Y$134,IF('SS Material Flow'!$C$180:$Y$180&gt;0,1/'SS Material Flow'!$C$180:$Y$180,0),TRANSPOSE(T$109:T$131))+(SUM('SS Material Flow'!$B94:$D94,'SS Material Flow'!$F94:$J94,'SS Material Flow'!$L94:$X94)*Single.Stream!T$108))/'SS Material Flow'!$B94+T$132</f>
        <v>5.0047447907919604</v>
      </c>
      <c r="G204" s="142">
        <f t="array" ref="G204">Common!$D$16*((SUMPRODUCT('SS Material Flow'!$C140:$Y140,'SS Material Flow'!$C$134:$Y$134,IF('SS Material Flow'!$C$180:$Y$180&gt;0,1/'SS Material Flow'!$C$180:$Y$180,0),TRANSPOSE(U$109:U$131))+(SUM('SS Material Flow'!$B94:$D94,'SS Material Flow'!$F94:$J94,'SS Material Flow'!$L94:$X94)*Single.Stream!U$108))/'SS Material Flow'!$B94+U$132)+Common!$D$17*((SUMPRODUCT('SS Material Flow'!$C140:$Y140,'SS Material Flow'!$C$134:$Y$134,IF('SS Material Flow'!$C$180:$Y$180&gt;0,1/'SS Material Flow'!$C$180:$Y$180,0),TRANSPOSE(V$109:V$131))+(SUM('SS Material Flow'!$B94:$D94,'SS Material Flow'!$F94:$J94,'SS Material Flow'!$L94:$X94)*Single.Stream!V$108))/'SS Material Flow'!$B94+V$132)</f>
        <v>1.1764705882352944</v>
      </c>
      <c r="H204" s="142">
        <f t="array" ref="H204">($D$199/$D$197*SUMPRODUCT(1/TRANSPOSE($E$2:$E$3),'SS Material Flow'!$C185:$D185)+$C$199/$C$197*SUMPRODUCT(1/TRANSPOSE($E$4:$E$8),'SS Material Flow'!$E185:$I185))/'SS Material Flow'!$B94</f>
        <v>0</v>
      </c>
      <c r="I204" s="233">
        <f t="shared" ref="I204:I243" si="20">SUM(F204:H204)</f>
        <v>6.1812153790272548</v>
      </c>
      <c r="J204" s="239">
        <f>Common!$D$61</f>
        <v>12.265493399927911</v>
      </c>
      <c r="K204" s="13">
        <f t="array" ref="K204">(SUMPRODUCT($C$2:$C$9,TRANSPOSE('SS Material Flow'!B229:I229))+SUMPRODUCT(Single.Stream!$C$13:$C$18,TRANSPOSE('SS Material Flow'!J229:O229))+SUMPRODUCT(Single.Stream!$C$21:$C$23,TRANSPOSE('SS Material Flow'!P229:R229))+SUMPRODUCT(Single.Stream!$B$28:$B$29,TRANSPOSE('SS Material Flow'!S229:T229)))/'SS Material Flow'!$B94</f>
        <v>0</v>
      </c>
      <c r="L204" s="5">
        <f>(B$184*'SS Material Flow'!$M94+B$185*SUM('SS Material Flow'!$H185:$I185)+B$186*$E204/Common!$B$2)/('SS Material Flow'!$B94)</f>
        <v>0</v>
      </c>
      <c r="M204" s="9">
        <f>(C$184*'SS Material Flow'!$M94+C$185*SUM('SS Material Flow'!$H185:$I185)+C$186*$E204/Common!$B$2)/('SS Material Flow'!$B94)</f>
        <v>0</v>
      </c>
      <c r="N204" s="9">
        <f>(D$184*'SS Material Flow'!$M94+D$185*SUM('SS Material Flow'!$H185:$I185)+D$186*$E204/Common!$B$2)/('SS Material Flow'!$B94)</f>
        <v>0</v>
      </c>
      <c r="O204" s="9">
        <f>(E$184*'SS Material Flow'!$M94+E$185*SUM('SS Material Flow'!$H185:$I185)+E$186*$E204/Common!$B$2)/('SS Material Flow'!$B94)</f>
        <v>0</v>
      </c>
      <c r="P204" s="4">
        <f>(F$184*'SS Material Flow'!$M94+F$185*SUM('SS Material Flow'!$H185:$I185)+F$186*$E204/Common!$B$2)/('SS Material Flow'!$B94)</f>
        <v>0</v>
      </c>
      <c r="Q204" s="5">
        <f>($G$184*B$184*'SS Material Flow'!$M94+$G$185*B$185*SUM('SS Material Flow'!$H185:$I185)+$G$186*B$186*$E204/Common!$B$2)/('SS Material Flow'!$B94)</f>
        <v>0</v>
      </c>
      <c r="R204" s="4">
        <f>($G$184*C$184*'SS Material Flow'!$M94+$G$185*C$185*SUM('SS Material Flow'!$H185:$I185)+$G$186*C$186*$E204/Common!$B$2)/('SS Material Flow'!$B94)</f>
        <v>0</v>
      </c>
      <c r="T204">
        <f t="array" ref="T204">SUMPRODUCT(B203:B243,'SS Material Flow'!B93:B133)/100</f>
        <v>4.192237117337168</v>
      </c>
      <c r="U204" t="s">
        <v>356</v>
      </c>
      <c r="V204" s="280">
        <f>V203/(T204+V203)</f>
        <v>3.0351588297690576E-2</v>
      </c>
      <c r="W204" s="113"/>
      <c r="X204" s="113"/>
      <c r="Y204" s="113"/>
    </row>
    <row r="205" spans="1:26" x14ac:dyDescent="0.35">
      <c r="A205" t="str">
        <f t="shared" si="18"/>
        <v>Yard Trimmings, Branches</v>
      </c>
      <c r="B205" s="32">
        <f t="array" ref="B205">(SUMPRODUCT('SS Material Flow'!$C141:$Y141,'SS Material Flow'!$C$134:$Y$134,IF('SS Material Flow'!$C$180:$Y$180&gt;0,1/'SS Material Flow'!$C$180:$Y$180,0),TRANSPOSE(J$109:J$131))+(SUM('SS Material Flow'!$B95:$D95,'SS Material Flow'!$F95:$J95,'SS Material Flow'!$L95:$X95)*Single.Stream!J$108))/'SS Material Flow'!$B95+$B$180+$B$181+J$132</f>
        <v>3.5917727575846561</v>
      </c>
      <c r="C205" s="32">
        <f t="array" ref="C205">(SUMPRODUCT('SS Material Flow'!$C141:$Y141,'SS Material Flow'!$C$134:$Y$134,IF('SS Material Flow'!$C$180:$Y$180&gt;0,1/'SS Material Flow'!$C$180:$Y$180,0),TRANSPOSE(K$109:K$131))+(SUM('SS Material Flow'!$B95:$D95,'SS Material Flow'!$F95:$J95,'SS Material Flow'!$L95:$X95)*Single.Stream!K$108))/'SS Material Flow'!$B95+K$132</f>
        <v>0.7</v>
      </c>
      <c r="D205" s="32">
        <f t="array" ref="D205">(SUMPRODUCT('SS Material Flow'!$C141:$Y141,'SS Material Flow'!$C$134:$Y$134,IF('SS Material Flow'!$C$180:$Y$180&gt;0,1/'SS Material Flow'!$C$180:$Y$180,0),TRANSPOSE(L$109:L$131))+(SUM('SS Material Flow'!$B95:$D95,'SS Material Flow'!$F95:$J95,'SS Material Flow'!$L95:$X95)*Single.Stream!L$108))/'SS Material Flow'!$B95+L$132</f>
        <v>0</v>
      </c>
      <c r="E205" s="206">
        <f t="shared" si="19"/>
        <v>0</v>
      </c>
      <c r="F205" s="173">
        <f t="array" ref="F205">(SUMPRODUCT('SS Material Flow'!$C141:$Y141,'SS Material Flow'!$C$134:$Y$134,IF('SS Material Flow'!$C$180:$Y$180&gt;0,1/'SS Material Flow'!$C$180:$Y$180,0),TRANSPOSE(T$109:T$131))+(SUM('SS Material Flow'!$B95:$D95,'SS Material Flow'!$F95:$J95,'SS Material Flow'!$L95:$X95)*Single.Stream!T$108))/'SS Material Flow'!$B95+T$132</f>
        <v>5.0047447907919604</v>
      </c>
      <c r="G205" s="142">
        <f t="array" ref="G205">Common!$D$16*((SUMPRODUCT('SS Material Flow'!$C141:$Y141,'SS Material Flow'!$C$134:$Y$134,IF('SS Material Flow'!$C$180:$Y$180&gt;0,1/'SS Material Flow'!$C$180:$Y$180,0),TRANSPOSE(U$109:U$131))+(SUM('SS Material Flow'!$B95:$D95,'SS Material Flow'!$F95:$J95,'SS Material Flow'!$L95:$X95)*Single.Stream!U$108))/'SS Material Flow'!$B95+U$132)+Common!$D$17*((SUMPRODUCT('SS Material Flow'!$C141:$Y141,'SS Material Flow'!$C$134:$Y$134,IF('SS Material Flow'!$C$180:$Y$180&gt;0,1/'SS Material Flow'!$C$180:$Y$180,0),TRANSPOSE(V$109:V$131))+(SUM('SS Material Flow'!$B95:$D95,'SS Material Flow'!$F95:$J95,'SS Material Flow'!$L95:$X95)*Single.Stream!V$108))/'SS Material Flow'!$B95+V$132)</f>
        <v>1.1764705882352944</v>
      </c>
      <c r="H205" s="142">
        <f t="array" ref="H205">($D$199/$D$197*SUMPRODUCT(1/TRANSPOSE($E$2:$E$3),'SS Material Flow'!$C186:$D186)+$C$199/$C$197*SUMPRODUCT(1/TRANSPOSE($E$4:$E$8),'SS Material Flow'!$E186:$I186))/'SS Material Flow'!$B95</f>
        <v>0</v>
      </c>
      <c r="I205" s="233">
        <f t="shared" si="20"/>
        <v>6.1812153790272548</v>
      </c>
      <c r="J205" s="239">
        <f>Common!$D$61</f>
        <v>12.265493399927911</v>
      </c>
      <c r="K205" s="13">
        <f t="array" ref="K205">(SUMPRODUCT($C$2:$C$9,TRANSPOSE('SS Material Flow'!B230:I230))+SUMPRODUCT(Single.Stream!$C$13:$C$18,TRANSPOSE('SS Material Flow'!J230:O230))+SUMPRODUCT(Single.Stream!$C$21:$C$23,TRANSPOSE('SS Material Flow'!P230:R230))+SUMPRODUCT(Single.Stream!$B$28:$B$29,TRANSPOSE('SS Material Flow'!S230:T230)))/'SS Material Flow'!$B95</f>
        <v>0</v>
      </c>
      <c r="L205" s="5">
        <f>(B$184*'SS Material Flow'!$M95+B$185*SUM('SS Material Flow'!$H186:$I186)+B$186*$E205/Common!$B$2)/('SS Material Flow'!$B95)</f>
        <v>0</v>
      </c>
      <c r="M205" s="9">
        <f>(C$184*'SS Material Flow'!$M95+C$185*SUM('SS Material Flow'!$H186:$I186)+C$186*$E205/Common!$B$2)/('SS Material Flow'!$B95)</f>
        <v>0</v>
      </c>
      <c r="N205" s="9">
        <f>(D$184*'SS Material Flow'!$M95+D$185*SUM('SS Material Flow'!$H186:$I186)+D$186*$E205/Common!$B$2)/('SS Material Flow'!$B95)</f>
        <v>0</v>
      </c>
      <c r="O205" s="9">
        <f>(E$184*'SS Material Flow'!$M95+E$185*SUM('SS Material Flow'!$H186:$I186)+E$186*$E205/Common!$B$2)/('SS Material Flow'!$B95)</f>
        <v>0</v>
      </c>
      <c r="P205" s="4">
        <f>(F$184*'SS Material Flow'!$M95+F$185*SUM('SS Material Flow'!$H186:$I186)+F$186*$E205/Common!$B$2)/('SS Material Flow'!$B95)</f>
        <v>0</v>
      </c>
      <c r="Q205" s="5">
        <f>($G$184*B$184*'SS Material Flow'!$M95+$G$185*B$185*SUM('SS Material Flow'!$H186:$I186)+$G$186*B$186*$E205/Common!$B$2)/('SS Material Flow'!$B95)</f>
        <v>0</v>
      </c>
      <c r="R205" s="4">
        <f>($G$184*C$184*'SS Material Flow'!$M95+$G$185*C$185*SUM('SS Material Flow'!$H186:$I186)+$G$186*C$186*$E205/Common!$B$2)/('SS Material Flow'!$B95)</f>
        <v>0</v>
      </c>
      <c r="V205" s="113"/>
      <c r="W205" s="113"/>
      <c r="X205" s="113"/>
      <c r="Y205" s="113"/>
      <c r="Z205" s="113"/>
    </row>
    <row r="206" spans="1:26" x14ac:dyDescent="0.35">
      <c r="A206" t="str">
        <f t="shared" si="18"/>
        <v>Food Waste - Vegetable</v>
      </c>
      <c r="B206" s="32">
        <f t="array" ref="B206">(SUMPRODUCT('SS Material Flow'!$C142:$Y142,'SS Material Flow'!$C$134:$Y$134,IF('SS Material Flow'!$C$180:$Y$180&gt;0,1/'SS Material Flow'!$C$180:$Y$180,0),TRANSPOSE(J$109:J$131))+(SUM('SS Material Flow'!$B96:$D96,'SS Material Flow'!$F96:$J96,'SS Material Flow'!$L96:$X96)*Single.Stream!J$108))/'SS Material Flow'!$B96+$B$180+$B$181+J$132</f>
        <v>3.5917727575846561</v>
      </c>
      <c r="C206" s="32">
        <f t="array" ref="C206">(SUMPRODUCT('SS Material Flow'!$C142:$Y142,'SS Material Flow'!$C$134:$Y$134,IF('SS Material Flow'!$C$180:$Y$180&gt;0,1/'SS Material Flow'!$C$180:$Y$180,0),TRANSPOSE(K$109:K$131))+(SUM('SS Material Flow'!$B96:$D96,'SS Material Flow'!$F96:$J96,'SS Material Flow'!$L96:$X96)*Single.Stream!K$108))/'SS Material Flow'!$B96+K$132</f>
        <v>0.7</v>
      </c>
      <c r="D206" s="32">
        <f t="array" ref="D206">(SUMPRODUCT('SS Material Flow'!$C142:$Y142,'SS Material Flow'!$C$134:$Y$134,IF('SS Material Flow'!$C$180:$Y$180&gt;0,1/'SS Material Flow'!$C$180:$Y$180,0),TRANSPOSE(L$109:L$131))+(SUM('SS Material Flow'!$B96:$D96,'SS Material Flow'!$F96:$J96,'SS Material Flow'!$L96:$X96)*Single.Stream!L$108))/'SS Material Flow'!$B96+L$132</f>
        <v>0</v>
      </c>
      <c r="E206" s="206">
        <f t="shared" si="19"/>
        <v>0</v>
      </c>
      <c r="F206" s="173">
        <f t="array" ref="F206">(SUMPRODUCT('SS Material Flow'!$C142:$Y142,'SS Material Flow'!$C$134:$Y$134,IF('SS Material Flow'!$C$180:$Y$180&gt;0,1/'SS Material Flow'!$C$180:$Y$180,0),TRANSPOSE(T$109:T$131))+(SUM('SS Material Flow'!$B96:$D96,'SS Material Flow'!$F96:$J96,'SS Material Flow'!$L96:$X96)*Single.Stream!T$108))/'SS Material Flow'!$B96+T$132</f>
        <v>5.0047447907919604</v>
      </c>
      <c r="G206" s="142">
        <f t="array" ref="G206">Common!$D$16*((SUMPRODUCT('SS Material Flow'!$C142:$Y142,'SS Material Flow'!$C$134:$Y$134,IF('SS Material Flow'!$C$180:$Y$180&gt;0,1/'SS Material Flow'!$C$180:$Y$180,0),TRANSPOSE(U$109:U$131))+(SUM('SS Material Flow'!$B96:$D96,'SS Material Flow'!$F96:$J96,'SS Material Flow'!$L96:$X96)*Single.Stream!U$108))/'SS Material Flow'!$B96+U$132)+Common!$D$17*((SUMPRODUCT('SS Material Flow'!$C142:$Y142,'SS Material Flow'!$C$134:$Y$134,IF('SS Material Flow'!$C$180:$Y$180&gt;0,1/'SS Material Flow'!$C$180:$Y$180,0),TRANSPOSE(V$109:V$131))+(SUM('SS Material Flow'!$B96:$D96,'SS Material Flow'!$F96:$J96,'SS Material Flow'!$L96:$X96)*Single.Stream!V$108))/'SS Material Flow'!$B96+V$132)</f>
        <v>1.1764705882352944</v>
      </c>
      <c r="H206" s="142">
        <f t="array" ref="H206">($D$199/$D$197*SUMPRODUCT(1/TRANSPOSE($E$2:$E$3),'SS Material Flow'!$C187:$D187)+$C$199/$C$197*SUMPRODUCT(1/TRANSPOSE($E$4:$E$8),'SS Material Flow'!$E187:$I187))/'SS Material Flow'!$B96</f>
        <v>0</v>
      </c>
      <c r="I206" s="233">
        <f t="shared" si="20"/>
        <v>6.1812153790272548</v>
      </c>
      <c r="J206" s="239">
        <f>Common!$D$61</f>
        <v>12.265493399927911</v>
      </c>
      <c r="K206" s="13">
        <f t="array" ref="K206">(SUMPRODUCT($C$2:$C$9,TRANSPOSE('SS Material Flow'!B231:I231))+SUMPRODUCT(Single.Stream!$C$13:$C$18,TRANSPOSE('SS Material Flow'!J231:O231))+SUMPRODUCT(Single.Stream!$C$21:$C$23,TRANSPOSE('SS Material Flow'!P231:R231))+SUMPRODUCT(Single.Stream!$B$28:$B$29,TRANSPOSE('SS Material Flow'!S231:T231)))/'SS Material Flow'!$B96</f>
        <v>0</v>
      </c>
      <c r="L206" s="5">
        <f>(B$184*'SS Material Flow'!$M96+B$185*SUM('SS Material Flow'!$H187:$I187)+B$186*$E206/Common!$B$2)/('SS Material Flow'!$B96)</f>
        <v>0</v>
      </c>
      <c r="M206" s="9">
        <f>(C$184*'SS Material Flow'!$M96+C$185*SUM('SS Material Flow'!$H187:$I187)+C$186*$E206/Common!$B$2)/('SS Material Flow'!$B96)</f>
        <v>0</v>
      </c>
      <c r="N206" s="9">
        <f>(D$184*'SS Material Flow'!$M96+D$185*SUM('SS Material Flow'!$H187:$I187)+D$186*$E206/Common!$B$2)/('SS Material Flow'!$B96)</f>
        <v>0</v>
      </c>
      <c r="O206" s="9">
        <f>(E$184*'SS Material Flow'!$M96+E$185*SUM('SS Material Flow'!$H187:$I187)+E$186*$E206/Common!$B$2)/('SS Material Flow'!$B96)</f>
        <v>0</v>
      </c>
      <c r="P206" s="4">
        <f>(F$184*'SS Material Flow'!$M96+F$185*SUM('SS Material Flow'!$H187:$I187)+F$186*$E206/Common!$B$2)/('SS Material Flow'!$B96)</f>
        <v>0</v>
      </c>
      <c r="Q206" s="5">
        <f>($G$184*B$184*'SS Material Flow'!$M96+$G$185*B$185*SUM('SS Material Flow'!$H187:$I187)+$G$186*B$186*$E206/Common!$B$2)/('SS Material Flow'!$B96)</f>
        <v>0</v>
      </c>
      <c r="R206" s="4">
        <f>($G$184*C$184*'SS Material Flow'!$M96+$G$185*C$185*SUM('SS Material Flow'!$H187:$I187)+$G$186*C$186*$E206/Common!$B$2)/('SS Material Flow'!$B96)</f>
        <v>0</v>
      </c>
      <c r="V206" s="113"/>
      <c r="W206" s="113"/>
      <c r="X206" s="16" t="s">
        <v>189</v>
      </c>
      <c r="Y206" s="113"/>
    </row>
    <row r="207" spans="1:26" x14ac:dyDescent="0.35">
      <c r="A207" t="str">
        <f t="shared" si="18"/>
        <v>Food Waste - Non-Vegetable</v>
      </c>
      <c r="B207" s="32">
        <f t="array" ref="B207">(SUMPRODUCT('SS Material Flow'!$C143:$Y143,'SS Material Flow'!$C$134:$Y$134,IF('SS Material Flow'!$C$180:$Y$180&gt;0,1/'SS Material Flow'!$C$180:$Y$180,0),TRANSPOSE(J$109:J$131))+(SUM('SS Material Flow'!$B97:$D97,'SS Material Flow'!$F97:$J97,'SS Material Flow'!$L97:$X97)*Single.Stream!J$108))/'SS Material Flow'!$B97+$B$180+$B$181+J$132</f>
        <v>3.5917727575846561</v>
      </c>
      <c r="C207" s="32">
        <f t="array" ref="C207">(SUMPRODUCT('SS Material Flow'!$C143:$Y143,'SS Material Flow'!$C$134:$Y$134,IF('SS Material Flow'!$C$180:$Y$180&gt;0,1/'SS Material Flow'!$C$180:$Y$180,0),TRANSPOSE(K$109:K$131))+(SUM('SS Material Flow'!$B97:$D97,'SS Material Flow'!$F97:$J97,'SS Material Flow'!$L97:$X97)*Single.Stream!K$108))/'SS Material Flow'!$B97+K$132</f>
        <v>0.7</v>
      </c>
      <c r="D207" s="32">
        <f t="array" ref="D207">(SUMPRODUCT('SS Material Flow'!$C143:$Y143,'SS Material Flow'!$C$134:$Y$134,IF('SS Material Flow'!$C$180:$Y$180&gt;0,1/'SS Material Flow'!$C$180:$Y$180,0),TRANSPOSE(L$109:L$131))+(SUM('SS Material Flow'!$B97:$D97,'SS Material Flow'!$F97:$J97,'SS Material Flow'!$L97:$X97)*Single.Stream!L$108))/'SS Material Flow'!$B97+L$132</f>
        <v>0</v>
      </c>
      <c r="E207" s="206">
        <f t="shared" si="19"/>
        <v>0</v>
      </c>
      <c r="F207" s="173">
        <f t="array" ref="F207">(SUMPRODUCT('SS Material Flow'!$C143:$Y143,'SS Material Flow'!$C$134:$Y$134,IF('SS Material Flow'!$C$180:$Y$180&gt;0,1/'SS Material Flow'!$C$180:$Y$180,0),TRANSPOSE(T$109:T$131))+(SUM('SS Material Flow'!$B97:$D97,'SS Material Flow'!$F97:$J97,'SS Material Flow'!$L97:$X97)*Single.Stream!T$108))/'SS Material Flow'!$B97+T$132</f>
        <v>5.0047447907919604</v>
      </c>
      <c r="G207" s="142">
        <f t="array" ref="G207">Common!$D$16*((SUMPRODUCT('SS Material Flow'!$C143:$Y143,'SS Material Flow'!$C$134:$Y$134,IF('SS Material Flow'!$C$180:$Y$180&gt;0,1/'SS Material Flow'!$C$180:$Y$180,0),TRANSPOSE(U$109:U$131))+(SUM('SS Material Flow'!$B97:$D97,'SS Material Flow'!$F97:$J97,'SS Material Flow'!$L97:$X97)*Single.Stream!U$108))/'SS Material Flow'!$B97+U$132)+Common!$D$17*((SUMPRODUCT('SS Material Flow'!$C143:$Y143,'SS Material Flow'!$C$134:$Y$134,IF('SS Material Flow'!$C$180:$Y$180&gt;0,1/'SS Material Flow'!$C$180:$Y$180,0),TRANSPOSE(V$109:V$131))+(SUM('SS Material Flow'!$B97:$D97,'SS Material Flow'!$F97:$J97,'SS Material Flow'!$L97:$X97)*Single.Stream!V$108))/'SS Material Flow'!$B97+V$132)</f>
        <v>1.1764705882352944</v>
      </c>
      <c r="H207" s="142">
        <f t="array" ref="H207">($D$199/$D$197*SUMPRODUCT(1/TRANSPOSE($E$2:$E$3),'SS Material Flow'!$C188:$D188)+$C$199/$C$197*SUMPRODUCT(1/TRANSPOSE($E$4:$E$8),'SS Material Flow'!$E188:$I188))/'SS Material Flow'!$B97</f>
        <v>0</v>
      </c>
      <c r="I207" s="233">
        <f t="shared" si="20"/>
        <v>6.1812153790272548</v>
      </c>
      <c r="J207" s="239">
        <f>Common!$D$61</f>
        <v>12.265493399927911</v>
      </c>
      <c r="K207" s="13">
        <f t="array" ref="K207">(SUMPRODUCT($C$2:$C$9,TRANSPOSE('SS Material Flow'!B232:I232))+SUMPRODUCT(Single.Stream!$C$13:$C$18,TRANSPOSE('SS Material Flow'!J232:O232))+SUMPRODUCT(Single.Stream!$C$21:$C$23,TRANSPOSE('SS Material Flow'!P232:R232))+SUMPRODUCT(Single.Stream!$B$28:$B$29,TRANSPOSE('SS Material Flow'!S232:T232)))/'SS Material Flow'!$B97</f>
        <v>0</v>
      </c>
      <c r="L207" s="5">
        <f>(B$184*'SS Material Flow'!$M97+B$185*SUM('SS Material Flow'!$H188:$I188)+B$186*$E207/Common!$B$2)/('SS Material Flow'!$B97)</f>
        <v>0</v>
      </c>
      <c r="M207" s="9">
        <f>(C$184*'SS Material Flow'!$M97+C$185*SUM('SS Material Flow'!$H188:$I188)+C$186*$E207/Common!$B$2)/('SS Material Flow'!$B97)</f>
        <v>0</v>
      </c>
      <c r="N207" s="9">
        <f>(D$184*'SS Material Flow'!$M97+D$185*SUM('SS Material Flow'!$H188:$I188)+D$186*$E207/Common!$B$2)/('SS Material Flow'!$B97)</f>
        <v>0</v>
      </c>
      <c r="O207" s="9">
        <f>(E$184*'SS Material Flow'!$M97+E$185*SUM('SS Material Flow'!$H188:$I188)+E$186*$E207/Common!$B$2)/('SS Material Flow'!$B97)</f>
        <v>0</v>
      </c>
      <c r="P207" s="4">
        <f>(F$184*'SS Material Flow'!$M97+F$185*SUM('SS Material Flow'!$H188:$I188)+F$186*$E207/Common!$B$2)/('SS Material Flow'!$B97)</f>
        <v>0</v>
      </c>
      <c r="Q207" s="5">
        <f>($G$184*B$184*'SS Material Flow'!$M97+$G$185*B$185*SUM('SS Material Flow'!$H188:$I188)+$G$186*B$186*$E207/Common!$B$2)/('SS Material Flow'!$B97)</f>
        <v>0</v>
      </c>
      <c r="R207" s="4">
        <f>($G$184*C$184*'SS Material Flow'!$M97+$G$185*C$185*SUM('SS Material Flow'!$H188:$I188)+$G$186*C$186*$E207/Common!$B$2)/('SS Material Flow'!$B97)</f>
        <v>0</v>
      </c>
      <c r="V207" s="113"/>
      <c r="W207" s="113"/>
      <c r="X207" s="32" t="s">
        <v>190</v>
      </c>
      <c r="Y207" s="113"/>
    </row>
    <row r="208" spans="1:26" x14ac:dyDescent="0.35">
      <c r="A208" t="str">
        <f t="shared" si="18"/>
        <v>Wood</v>
      </c>
      <c r="B208" s="32">
        <f t="array" ref="B208">(SUMPRODUCT('SS Material Flow'!$C144:$Y144,'SS Material Flow'!$C$134:$Y$134,IF('SS Material Flow'!$C$180:$Y$180&gt;0,1/'SS Material Flow'!$C$180:$Y$180,0),TRANSPOSE(J$109:J$131))+(SUM('SS Material Flow'!$B98:$D98,'SS Material Flow'!$F98:$J98,'SS Material Flow'!$L98:$X98)*Single.Stream!J$108))/'SS Material Flow'!$B98+$B$180+$B$181+J$132</f>
        <v>3.5917727575846561</v>
      </c>
      <c r="C208" s="32">
        <f t="array" ref="C208">(SUMPRODUCT('SS Material Flow'!$C144:$Y144,'SS Material Flow'!$C$134:$Y$134,IF('SS Material Flow'!$C$180:$Y$180&gt;0,1/'SS Material Flow'!$C$180:$Y$180,0),TRANSPOSE(K$109:K$131))+(SUM('SS Material Flow'!$B98:$D98,'SS Material Flow'!$F98:$J98,'SS Material Flow'!$L98:$X98)*Single.Stream!K$108))/'SS Material Flow'!$B98+K$132</f>
        <v>0.7</v>
      </c>
      <c r="D208" s="32">
        <f t="array" ref="D208">(SUMPRODUCT('SS Material Flow'!$C144:$Y144,'SS Material Flow'!$C$134:$Y$134,IF('SS Material Flow'!$C$180:$Y$180&gt;0,1/'SS Material Flow'!$C$180:$Y$180,0),TRANSPOSE(L$109:L$131))+(SUM('SS Material Flow'!$B98:$D98,'SS Material Flow'!$F98:$J98,'SS Material Flow'!$L98:$X98)*Single.Stream!L$108))/'SS Material Flow'!$B98+L$132</f>
        <v>0</v>
      </c>
      <c r="E208" s="206">
        <f t="shared" si="19"/>
        <v>0</v>
      </c>
      <c r="F208" s="173">
        <f t="array" ref="F208">(SUMPRODUCT('SS Material Flow'!$C144:$Y144,'SS Material Flow'!$C$134:$Y$134,IF('SS Material Flow'!$C$180:$Y$180&gt;0,1/'SS Material Flow'!$C$180:$Y$180,0),TRANSPOSE(T$109:T$131))+(SUM('SS Material Flow'!$B98:$D98,'SS Material Flow'!$F98:$J98,'SS Material Flow'!$L98:$X98)*Single.Stream!T$108))/'SS Material Flow'!$B98+T$132</f>
        <v>5.0047447907919604</v>
      </c>
      <c r="G208" s="142">
        <f t="array" ref="G208">Common!$D$16*((SUMPRODUCT('SS Material Flow'!$C144:$Y144,'SS Material Flow'!$C$134:$Y$134,IF('SS Material Flow'!$C$180:$Y$180&gt;0,1/'SS Material Flow'!$C$180:$Y$180,0),TRANSPOSE(U$109:U$131))+(SUM('SS Material Flow'!$B98:$D98,'SS Material Flow'!$F98:$J98,'SS Material Flow'!$L98:$X98)*Single.Stream!U$108))/'SS Material Flow'!$B98+U$132)+Common!$D$17*((SUMPRODUCT('SS Material Flow'!$C144:$Y144,'SS Material Flow'!$C$134:$Y$134,IF('SS Material Flow'!$C$180:$Y$180&gt;0,1/'SS Material Flow'!$C$180:$Y$180,0),TRANSPOSE(V$109:V$131))+(SUM('SS Material Flow'!$B98:$D98,'SS Material Flow'!$F98:$J98,'SS Material Flow'!$L98:$X98)*Single.Stream!V$108))/'SS Material Flow'!$B98+V$132)</f>
        <v>1.1764705882352944</v>
      </c>
      <c r="H208" s="142">
        <f t="array" ref="H208">($D$199/$D$197*SUMPRODUCT(1/TRANSPOSE($E$2:$E$3),'SS Material Flow'!$C189:$D189)+$C$199/$C$197*SUMPRODUCT(1/TRANSPOSE($E$4:$E$8),'SS Material Flow'!$E189:$I189))/'SS Material Flow'!$B98</f>
        <v>0</v>
      </c>
      <c r="I208" s="233">
        <f t="shared" si="20"/>
        <v>6.1812153790272548</v>
      </c>
      <c r="J208" s="239">
        <f>Common!$D$61</f>
        <v>12.265493399927911</v>
      </c>
      <c r="K208" s="13">
        <f t="array" ref="K208">(SUMPRODUCT($C$2:$C$9,TRANSPOSE('SS Material Flow'!B233:I233))+SUMPRODUCT(Single.Stream!$C$13:$C$18,TRANSPOSE('SS Material Flow'!J233:O233))+SUMPRODUCT(Single.Stream!$C$21:$C$23,TRANSPOSE('SS Material Flow'!P233:R233))+SUMPRODUCT(Single.Stream!$B$28:$B$29,TRANSPOSE('SS Material Flow'!S233:T233)))/'SS Material Flow'!$B98</f>
        <v>0</v>
      </c>
      <c r="L208" s="5">
        <f>(B$184*'SS Material Flow'!$M98+B$185*SUM('SS Material Flow'!$H189:$I189)+B$186*$E208/Common!$B$2)/('SS Material Flow'!$B98)</f>
        <v>0</v>
      </c>
      <c r="M208" s="9">
        <f>(C$184*'SS Material Flow'!$M98+C$185*SUM('SS Material Flow'!$H189:$I189)+C$186*$E208/Common!$B$2)/('SS Material Flow'!$B98)</f>
        <v>0</v>
      </c>
      <c r="N208" s="9">
        <f>(D$184*'SS Material Flow'!$M98+D$185*SUM('SS Material Flow'!$H189:$I189)+D$186*$E208/Common!$B$2)/('SS Material Flow'!$B98)</f>
        <v>0</v>
      </c>
      <c r="O208" s="9">
        <f>(E$184*'SS Material Flow'!$M98+E$185*SUM('SS Material Flow'!$H189:$I189)+E$186*$E208/Common!$B$2)/('SS Material Flow'!$B98)</f>
        <v>0</v>
      </c>
      <c r="P208" s="4">
        <f>(F$184*'SS Material Flow'!$M98+F$185*SUM('SS Material Flow'!$H189:$I189)+F$186*$E208/Common!$B$2)/('SS Material Flow'!$B98)</f>
        <v>0</v>
      </c>
      <c r="Q208" s="5">
        <f>($G$184*B$184*'SS Material Flow'!$M98+$G$185*B$185*SUM('SS Material Flow'!$H189:$I189)+$G$186*B$186*$E208/Common!$B$2)/('SS Material Flow'!$B98)</f>
        <v>0</v>
      </c>
      <c r="R208" s="4">
        <f>($G$184*C$184*'SS Material Flow'!$M98+$G$185*C$185*SUM('SS Material Flow'!$H189:$I189)+$G$186*C$186*$E208/Common!$B$2)/('SS Material Flow'!$B98)</f>
        <v>0</v>
      </c>
      <c r="V208" s="113"/>
      <c r="W208" s="113"/>
      <c r="X208" s="113"/>
      <c r="Y208" s="113"/>
    </row>
    <row r="209" spans="1:26" x14ac:dyDescent="0.35">
      <c r="A209" t="str">
        <f t="shared" si="18"/>
        <v>Wood Other</v>
      </c>
      <c r="B209" s="32">
        <f t="array" ref="B209">(SUMPRODUCT('SS Material Flow'!$C145:$Y145,'SS Material Flow'!$C$134:$Y$134,IF('SS Material Flow'!$C$180:$Y$180&gt;0,1/'SS Material Flow'!$C$180:$Y$180,0),TRANSPOSE(J$109:J$131))+(SUM('SS Material Flow'!$B99:$D99,'SS Material Flow'!$F99:$J99,'SS Material Flow'!$L99:$X99)*Single.Stream!J$108))/'SS Material Flow'!$B99+$B$180+$B$181+J$132</f>
        <v>3.5917727575846561</v>
      </c>
      <c r="C209" s="32">
        <f t="array" ref="C209">(SUMPRODUCT('SS Material Flow'!$C145:$Y145,'SS Material Flow'!$C$134:$Y$134,IF('SS Material Flow'!$C$180:$Y$180&gt;0,1/'SS Material Flow'!$C$180:$Y$180,0),TRANSPOSE(K$109:K$131))+(SUM('SS Material Flow'!$B99:$D99,'SS Material Flow'!$F99:$J99,'SS Material Flow'!$L99:$X99)*Single.Stream!K$108))/'SS Material Flow'!$B99+K$132</f>
        <v>0.7</v>
      </c>
      <c r="D209" s="32">
        <f t="array" ref="D209">(SUMPRODUCT('SS Material Flow'!$C145:$Y145,'SS Material Flow'!$C$134:$Y$134,IF('SS Material Flow'!$C$180:$Y$180&gt;0,1/'SS Material Flow'!$C$180:$Y$180,0),TRANSPOSE(L$109:L$131))+(SUM('SS Material Flow'!$B99:$D99,'SS Material Flow'!$F99:$J99,'SS Material Flow'!$L99:$X99)*Single.Stream!L$108))/'SS Material Flow'!$B99+L$132</f>
        <v>0</v>
      </c>
      <c r="E209" s="206">
        <f t="shared" si="19"/>
        <v>0</v>
      </c>
      <c r="F209" s="173">
        <f t="array" ref="F209">(SUMPRODUCT('SS Material Flow'!$C145:$Y145,'SS Material Flow'!$C$134:$Y$134,IF('SS Material Flow'!$C$180:$Y$180&gt;0,1/'SS Material Flow'!$C$180:$Y$180,0),TRANSPOSE(T$109:T$131))+(SUM('SS Material Flow'!$B99:$D99,'SS Material Flow'!$F99:$J99,'SS Material Flow'!$L99:$X99)*Single.Stream!T$108))/'SS Material Flow'!$B99+T$132</f>
        <v>5.0047447907919604</v>
      </c>
      <c r="G209" s="142">
        <f t="array" ref="G209">Common!$D$16*((SUMPRODUCT('SS Material Flow'!$C145:$Y145,'SS Material Flow'!$C$134:$Y$134,IF('SS Material Flow'!$C$180:$Y$180&gt;0,1/'SS Material Flow'!$C$180:$Y$180,0),TRANSPOSE(U$109:U$131))+(SUM('SS Material Flow'!$B99:$D99,'SS Material Flow'!$F99:$J99,'SS Material Flow'!$L99:$X99)*Single.Stream!U$108))/'SS Material Flow'!$B99+U$132)+Common!$D$17*((SUMPRODUCT('SS Material Flow'!$C145:$Y145,'SS Material Flow'!$C$134:$Y$134,IF('SS Material Flow'!$C$180:$Y$180&gt;0,1/'SS Material Flow'!$C$180:$Y$180,0),TRANSPOSE(V$109:V$131))+(SUM('SS Material Flow'!$B99:$D99,'SS Material Flow'!$F99:$J99,'SS Material Flow'!$L99:$X99)*Single.Stream!V$108))/'SS Material Flow'!$B99+V$132)</f>
        <v>1.1764705882352944</v>
      </c>
      <c r="H209" s="142">
        <f t="array" ref="H209">($D$199/$D$197*SUMPRODUCT(1/TRANSPOSE($E$2:$E$3),'SS Material Flow'!$C190:$D190)+$C$199/$C$197*SUMPRODUCT(1/TRANSPOSE($E$4:$E$8),'SS Material Flow'!$E190:$I190))/'SS Material Flow'!$B99</f>
        <v>0</v>
      </c>
      <c r="I209" s="233">
        <f t="shared" si="20"/>
        <v>6.1812153790272548</v>
      </c>
      <c r="J209" s="239">
        <f>Common!$D$61</f>
        <v>12.265493399927911</v>
      </c>
      <c r="K209" s="13">
        <f t="array" ref="K209">(SUMPRODUCT($C$2:$C$9,TRANSPOSE('SS Material Flow'!B234:I234))+SUMPRODUCT(Single.Stream!$C$13:$C$18,TRANSPOSE('SS Material Flow'!J234:O234))+SUMPRODUCT(Single.Stream!$C$21:$C$23,TRANSPOSE('SS Material Flow'!P234:R234))+SUMPRODUCT(Single.Stream!$B$28:$B$29,TRANSPOSE('SS Material Flow'!S234:T234)))/'SS Material Flow'!$B99</f>
        <v>0</v>
      </c>
      <c r="L209" s="5">
        <f>(B$184*'SS Material Flow'!$M99+B$185*SUM('SS Material Flow'!$H190:$I190)+B$186*$E209/Common!$B$2)/('SS Material Flow'!$B99)</f>
        <v>0</v>
      </c>
      <c r="M209" s="9">
        <f>(C$184*'SS Material Flow'!$M99+C$185*SUM('SS Material Flow'!$H190:$I190)+C$186*$E209/Common!$B$2)/('SS Material Flow'!$B99)</f>
        <v>0</v>
      </c>
      <c r="N209" s="9">
        <f>(D$184*'SS Material Flow'!$M99+D$185*SUM('SS Material Flow'!$H190:$I190)+D$186*$E209/Common!$B$2)/('SS Material Flow'!$B99)</f>
        <v>0</v>
      </c>
      <c r="O209" s="9">
        <f>(E$184*'SS Material Flow'!$M99+E$185*SUM('SS Material Flow'!$H190:$I190)+E$186*$E209/Common!$B$2)/('SS Material Flow'!$B99)</f>
        <v>0</v>
      </c>
      <c r="P209" s="4">
        <f>(F$184*'SS Material Flow'!$M99+F$185*SUM('SS Material Flow'!$H190:$I190)+F$186*$E209/Common!$B$2)/('SS Material Flow'!$B99)</f>
        <v>0</v>
      </c>
      <c r="Q209" s="5">
        <f>($G$184*B$184*'SS Material Flow'!$M99+$G$185*B$185*SUM('SS Material Flow'!$H190:$I190)+$G$186*B$186*$E209/Common!$B$2)/('SS Material Flow'!$B99)</f>
        <v>0</v>
      </c>
      <c r="R209" s="4">
        <f>($G$184*C$184*'SS Material Flow'!$M99+$G$185*C$185*SUM('SS Material Flow'!$H190:$I190)+$G$186*C$186*$E209/Common!$B$2)/('SS Material Flow'!$B99)</f>
        <v>0</v>
      </c>
      <c r="V209" s="113"/>
      <c r="W209" s="113"/>
      <c r="X209" s="113"/>
      <c r="Y209" s="113"/>
    </row>
    <row r="210" spans="1:26" x14ac:dyDescent="0.35">
      <c r="A210" t="str">
        <f t="shared" si="18"/>
        <v>Textiles</v>
      </c>
      <c r="B210" s="32">
        <f t="array" ref="B210">(SUMPRODUCT('SS Material Flow'!$C146:$Y146,'SS Material Flow'!$C$134:$Y$134,IF('SS Material Flow'!$C$180:$Y$180&gt;0,1/'SS Material Flow'!$C$180:$Y$180,0),TRANSPOSE(J$109:J$131))+(SUM('SS Material Flow'!$B100:$D100,'SS Material Flow'!$F100:$J100,'SS Material Flow'!$L100:$X100)*Single.Stream!J$108))/'SS Material Flow'!$B100+$B$180+$B$181+J$132</f>
        <v>3.5917727575846561</v>
      </c>
      <c r="C210" s="32">
        <f t="array" ref="C210">(SUMPRODUCT('SS Material Flow'!$C146:$Y146,'SS Material Flow'!$C$134:$Y$134,IF('SS Material Flow'!$C$180:$Y$180&gt;0,1/'SS Material Flow'!$C$180:$Y$180,0),TRANSPOSE(K$109:K$131))+(SUM('SS Material Flow'!$B100:$D100,'SS Material Flow'!$F100:$J100,'SS Material Flow'!$L100:$X100)*Single.Stream!K$108))/'SS Material Flow'!$B100+K$132</f>
        <v>0.7</v>
      </c>
      <c r="D210" s="32">
        <f t="array" ref="D210">(SUMPRODUCT('SS Material Flow'!$C146:$Y146,'SS Material Flow'!$C$134:$Y$134,IF('SS Material Flow'!$C$180:$Y$180&gt;0,1/'SS Material Flow'!$C$180:$Y$180,0),TRANSPOSE(L$109:L$131))+(SUM('SS Material Flow'!$B100:$D100,'SS Material Flow'!$F100:$J100,'SS Material Flow'!$L100:$X100)*Single.Stream!L$108))/'SS Material Flow'!$B100+L$132</f>
        <v>0</v>
      </c>
      <c r="E210" s="206">
        <f t="shared" si="19"/>
        <v>0</v>
      </c>
      <c r="F210" s="173">
        <f t="array" ref="F210">(SUMPRODUCT('SS Material Flow'!$C146:$Y146,'SS Material Flow'!$C$134:$Y$134,IF('SS Material Flow'!$C$180:$Y$180&gt;0,1/'SS Material Flow'!$C$180:$Y$180,0),TRANSPOSE(T$109:T$131))+(SUM('SS Material Flow'!$B100:$D100,'SS Material Flow'!$F100:$J100,'SS Material Flow'!$L100:$X100)*Single.Stream!T$108))/'SS Material Flow'!$B100+T$132</f>
        <v>5.0047447907919604</v>
      </c>
      <c r="G210" s="142">
        <f t="array" ref="G210">Common!$D$16*((SUMPRODUCT('SS Material Flow'!$C146:$Y146,'SS Material Flow'!$C$134:$Y$134,IF('SS Material Flow'!$C$180:$Y$180&gt;0,1/'SS Material Flow'!$C$180:$Y$180,0),TRANSPOSE(U$109:U$131))+(SUM('SS Material Flow'!$B100:$D100,'SS Material Flow'!$F100:$J100,'SS Material Flow'!$L100:$X100)*Single.Stream!U$108))/'SS Material Flow'!$B100+U$132)+Common!$D$17*((SUMPRODUCT('SS Material Flow'!$C146:$Y146,'SS Material Flow'!$C$134:$Y$134,IF('SS Material Flow'!$C$180:$Y$180&gt;0,1/'SS Material Flow'!$C$180:$Y$180,0),TRANSPOSE(V$109:V$131))+(SUM('SS Material Flow'!$B100:$D100,'SS Material Flow'!$F100:$J100,'SS Material Flow'!$L100:$X100)*Single.Stream!V$108))/'SS Material Flow'!$B100+V$132)</f>
        <v>1.1764705882352944</v>
      </c>
      <c r="H210" s="142">
        <f t="array" ref="H210">($D$199/$D$197*SUMPRODUCT(1/TRANSPOSE($E$2:$E$3),'SS Material Flow'!$C191:$D191)+$C$199/$C$197*SUMPRODUCT(1/TRANSPOSE($E$4:$E$8),'SS Material Flow'!$E191:$I191))/'SS Material Flow'!$B100</f>
        <v>0</v>
      </c>
      <c r="I210" s="233">
        <f t="shared" si="20"/>
        <v>6.1812153790272548</v>
      </c>
      <c r="J210" s="239">
        <f>Common!$D$61</f>
        <v>12.265493399927911</v>
      </c>
      <c r="K210" s="13">
        <f t="array" ref="K210">(SUMPRODUCT($C$2:$C$9,TRANSPOSE('SS Material Flow'!B235:I235))+SUMPRODUCT(Single.Stream!$C$13:$C$18,TRANSPOSE('SS Material Flow'!J235:O235))+SUMPRODUCT(Single.Stream!$C$21:$C$23,TRANSPOSE('SS Material Flow'!P235:R235))+SUMPRODUCT(Single.Stream!$B$28:$B$29,TRANSPOSE('SS Material Flow'!S235:T235)))/'SS Material Flow'!$B100</f>
        <v>0</v>
      </c>
      <c r="L210" s="5">
        <f>(B$184*'SS Material Flow'!$M100+B$185*SUM('SS Material Flow'!$H191:$I191)+B$186*$E210/Common!$B$2)/('SS Material Flow'!$B100)</f>
        <v>0</v>
      </c>
      <c r="M210" s="9">
        <f>(C$184*'SS Material Flow'!$M100+C$185*SUM('SS Material Flow'!$H191:$I191)+C$186*$E210/Common!$B$2)/('SS Material Flow'!$B100)</f>
        <v>0</v>
      </c>
      <c r="N210" s="9">
        <f>(D$184*'SS Material Flow'!$M100+D$185*SUM('SS Material Flow'!$H191:$I191)+D$186*$E210/Common!$B$2)/('SS Material Flow'!$B100)</f>
        <v>0</v>
      </c>
      <c r="O210" s="9">
        <f>(E$184*'SS Material Flow'!$M100+E$185*SUM('SS Material Flow'!$H191:$I191)+E$186*$E210/Common!$B$2)/('SS Material Flow'!$B100)</f>
        <v>0</v>
      </c>
      <c r="P210" s="4">
        <f>(F$184*'SS Material Flow'!$M100+F$185*SUM('SS Material Flow'!$H191:$I191)+F$186*$E210/Common!$B$2)/('SS Material Flow'!$B100)</f>
        <v>0</v>
      </c>
      <c r="Q210" s="5">
        <f>($G$184*B$184*'SS Material Flow'!$M100+$G$185*B$185*SUM('SS Material Flow'!$H191:$I191)+$G$186*B$186*$E210/Common!$B$2)/('SS Material Flow'!$B100)</f>
        <v>0</v>
      </c>
      <c r="R210" s="4">
        <f>($G$184*C$184*'SS Material Flow'!$M100+$G$185*C$185*SUM('SS Material Flow'!$H191:$I191)+$G$186*C$186*$E210/Common!$B$2)/('SS Material Flow'!$B100)</f>
        <v>0</v>
      </c>
      <c r="V210" s="113"/>
      <c r="W210" s="113"/>
      <c r="X210" s="113"/>
      <c r="Y210" s="113"/>
    </row>
    <row r="211" spans="1:26" x14ac:dyDescent="0.35">
      <c r="A211" t="str">
        <f t="shared" si="18"/>
        <v>Rubber/Leather</v>
      </c>
      <c r="B211" s="32">
        <f t="array" ref="B211">(SUMPRODUCT('SS Material Flow'!$C147:$Y147,'SS Material Flow'!$C$134:$Y$134,IF('SS Material Flow'!$C$180:$Y$180&gt;0,1/'SS Material Flow'!$C$180:$Y$180,0),TRANSPOSE(J$109:J$131))+(SUM('SS Material Flow'!$B101:$D101,'SS Material Flow'!$F101:$J101,'SS Material Flow'!$L101:$X101)*Single.Stream!J$108))/'SS Material Flow'!$B101+$B$180+$B$181+J$132</f>
        <v>3.5917727575846561</v>
      </c>
      <c r="C211" s="32">
        <f t="array" ref="C211">(SUMPRODUCT('SS Material Flow'!$C147:$Y147,'SS Material Flow'!$C$134:$Y$134,IF('SS Material Flow'!$C$180:$Y$180&gt;0,1/'SS Material Flow'!$C$180:$Y$180,0),TRANSPOSE(K$109:K$131))+(SUM('SS Material Flow'!$B101:$D101,'SS Material Flow'!$F101:$J101,'SS Material Flow'!$L101:$X101)*Single.Stream!K$108))/'SS Material Flow'!$B101+K$132</f>
        <v>0.7</v>
      </c>
      <c r="D211" s="32">
        <f t="array" ref="D211">(SUMPRODUCT('SS Material Flow'!$C147:$Y147,'SS Material Flow'!$C$134:$Y$134,IF('SS Material Flow'!$C$180:$Y$180&gt;0,1/'SS Material Flow'!$C$180:$Y$180,0),TRANSPOSE(L$109:L$131))+(SUM('SS Material Flow'!$B101:$D101,'SS Material Flow'!$F101:$J101,'SS Material Flow'!$L101:$X101)*Single.Stream!L$108))/'SS Material Flow'!$B101+L$132</f>
        <v>0</v>
      </c>
      <c r="E211" s="206">
        <f t="shared" si="19"/>
        <v>0</v>
      </c>
      <c r="F211" s="173">
        <f t="array" ref="F211">(SUMPRODUCT('SS Material Flow'!$C147:$Y147,'SS Material Flow'!$C$134:$Y$134,IF('SS Material Flow'!$C$180:$Y$180&gt;0,1/'SS Material Flow'!$C$180:$Y$180,0),TRANSPOSE(T$109:T$131))+(SUM('SS Material Flow'!$B101:$D101,'SS Material Flow'!$F101:$J101,'SS Material Flow'!$L101:$X101)*Single.Stream!T$108))/'SS Material Flow'!$B101+T$132</f>
        <v>5.0047447907919604</v>
      </c>
      <c r="G211" s="142">
        <f t="array" ref="G211">Common!$D$16*((SUMPRODUCT('SS Material Flow'!$C147:$Y147,'SS Material Flow'!$C$134:$Y$134,IF('SS Material Flow'!$C$180:$Y$180&gt;0,1/'SS Material Flow'!$C$180:$Y$180,0),TRANSPOSE(U$109:U$131))+(SUM('SS Material Flow'!$B101:$D101,'SS Material Flow'!$F101:$J101,'SS Material Flow'!$L101:$X101)*Single.Stream!U$108))/'SS Material Flow'!$B101+U$132)+Common!$D$17*((SUMPRODUCT('SS Material Flow'!$C147:$Y147,'SS Material Flow'!$C$134:$Y$134,IF('SS Material Flow'!$C$180:$Y$180&gt;0,1/'SS Material Flow'!$C$180:$Y$180,0),TRANSPOSE(V$109:V$131))+(SUM('SS Material Flow'!$B101:$D101,'SS Material Flow'!$F101:$J101,'SS Material Flow'!$L101:$X101)*Single.Stream!V$108))/'SS Material Flow'!$B101+V$132)</f>
        <v>1.1764705882352944</v>
      </c>
      <c r="H211" s="142">
        <f t="array" ref="H211">($D$199/$D$197*SUMPRODUCT(1/TRANSPOSE($E$2:$E$3),'SS Material Flow'!$C192:$D192)+$C$199/$C$197*SUMPRODUCT(1/TRANSPOSE($E$4:$E$8),'SS Material Flow'!$E192:$I192))/'SS Material Flow'!$B101</f>
        <v>0</v>
      </c>
      <c r="I211" s="233">
        <f t="shared" si="20"/>
        <v>6.1812153790272548</v>
      </c>
      <c r="J211" s="239">
        <f>Common!$D$61</f>
        <v>12.265493399927911</v>
      </c>
      <c r="K211" s="13">
        <f t="array" ref="K211">(SUMPRODUCT($C$2:$C$9,TRANSPOSE('SS Material Flow'!B236:I236))+SUMPRODUCT(Single.Stream!$C$13:$C$18,TRANSPOSE('SS Material Flow'!J236:O236))+SUMPRODUCT(Single.Stream!$C$21:$C$23,TRANSPOSE('SS Material Flow'!P236:R236))+SUMPRODUCT(Single.Stream!$B$28:$B$29,TRANSPOSE('SS Material Flow'!S236:T236)))/'SS Material Flow'!$B101</f>
        <v>0</v>
      </c>
      <c r="L211" s="5">
        <f>(B$184*'SS Material Flow'!$M101+B$185*SUM('SS Material Flow'!$H192:$I192)+B$186*$E211/Common!$B$2)/('SS Material Flow'!$B101)</f>
        <v>0</v>
      </c>
      <c r="M211" s="9">
        <f>(C$184*'SS Material Flow'!$M101+C$185*SUM('SS Material Flow'!$H192:$I192)+C$186*$E211/Common!$B$2)/('SS Material Flow'!$B101)</f>
        <v>0</v>
      </c>
      <c r="N211" s="9">
        <f>(D$184*'SS Material Flow'!$M101+D$185*SUM('SS Material Flow'!$H192:$I192)+D$186*$E211/Common!$B$2)/('SS Material Flow'!$B101)</f>
        <v>0</v>
      </c>
      <c r="O211" s="9">
        <f>(E$184*'SS Material Flow'!$M101+E$185*SUM('SS Material Flow'!$H192:$I192)+E$186*$E211/Common!$B$2)/('SS Material Flow'!$B101)</f>
        <v>0</v>
      </c>
      <c r="P211" s="4">
        <f>(F$184*'SS Material Flow'!$M101+F$185*SUM('SS Material Flow'!$H192:$I192)+F$186*$E211/Common!$B$2)/('SS Material Flow'!$B101)</f>
        <v>0</v>
      </c>
      <c r="Q211" s="5">
        <f>($G$184*B$184*'SS Material Flow'!$M101+$G$185*B$185*SUM('SS Material Flow'!$H192:$I192)+$G$186*B$186*$E211/Common!$B$2)/('SS Material Flow'!$B101)</f>
        <v>0</v>
      </c>
      <c r="R211" s="4">
        <f>($G$184*C$184*'SS Material Flow'!$M101+$G$185*C$185*SUM('SS Material Flow'!$H192:$I192)+$G$186*C$186*$E211/Common!$B$2)/('SS Material Flow'!$B101)</f>
        <v>0</v>
      </c>
      <c r="V211" s="113"/>
      <c r="W211" s="113"/>
      <c r="X211" s="113"/>
      <c r="Y211" s="113"/>
    </row>
    <row r="212" spans="1:26" x14ac:dyDescent="0.35">
      <c r="A212" t="str">
        <f t="shared" si="18"/>
        <v>Newsprint</v>
      </c>
      <c r="B212" s="32">
        <f t="array" ref="B212">(SUMPRODUCT('SS Material Flow'!$C148:$Y148,'SS Material Flow'!$C$134:$Y$134,IF('SS Material Flow'!$C$180:$Y$180&gt;0,1/'SS Material Flow'!$C$180:$Y$180,0),TRANSPOSE(J$109:J$131))+(SUM('SS Material Flow'!$B102:$D102,'SS Material Flow'!$F102:$J102,'SS Material Flow'!$L102:$X102)*Single.Stream!J$108))/'SS Material Flow'!$B102+$B$180+$B$181+J$132</f>
        <v>2.8526767124165886</v>
      </c>
      <c r="C212" s="32">
        <f t="array" ref="C212">(SUMPRODUCT('SS Material Flow'!$C148:$Y148,'SS Material Flow'!$C$134:$Y$134,IF('SS Material Flow'!$C$180:$Y$180&gt;0,1/'SS Material Flow'!$C$180:$Y$180,0),TRANSPOSE(K$109:K$131))+(SUM('SS Material Flow'!$B102:$D102,'SS Material Flow'!$F102:$J102,'SS Material Flow'!$L102:$X102)*Single.Stream!K$108))/'SS Material Flow'!$B102+K$132</f>
        <v>0.7</v>
      </c>
      <c r="D212" s="32">
        <f t="array" ref="D212">(SUMPRODUCT('SS Material Flow'!$C148:$Y148,'SS Material Flow'!$C$134:$Y$134,IF('SS Material Flow'!$C$180:$Y$180&gt;0,1/'SS Material Flow'!$C$180:$Y$180,0),TRANSPOSE(L$109:L$131))+(SUM('SS Material Flow'!$B102:$D102,'SS Material Flow'!$F102:$J102,'SS Material Flow'!$L102:$X102)*Single.Stream!L$108))/'SS Material Flow'!$B102+L$132</f>
        <v>0</v>
      </c>
      <c r="E212" s="206">
        <f t="shared" si="19"/>
        <v>0.64951066562318138</v>
      </c>
      <c r="F212" s="173">
        <f t="array" ref="F212">(SUMPRODUCT('SS Material Flow'!$C148:$Y148,'SS Material Flow'!$C$134:$Y$134,IF('SS Material Flow'!$C$180:$Y$180&gt;0,1/'SS Material Flow'!$C$180:$Y$180,0),TRANSPOSE(T$109:T$131))+(SUM('SS Material Flow'!$B102:$D102,'SS Material Flow'!$F102:$J102,'SS Material Flow'!$L102:$X102)*Single.Stream!T$108))/'SS Material Flow'!$B102+T$132</f>
        <v>3.1103478790879562</v>
      </c>
      <c r="G212" s="142">
        <f t="array" ref="G212">Common!$D$16*((SUMPRODUCT('SS Material Flow'!$C148:$Y148,'SS Material Flow'!$C$134:$Y$134,IF('SS Material Flow'!$C$180:$Y$180&gt;0,1/'SS Material Flow'!$C$180:$Y$180,0),TRANSPOSE(U$109:U$131))+(SUM('SS Material Flow'!$B102:$D102,'SS Material Flow'!$F102:$J102,'SS Material Flow'!$L102:$X102)*Single.Stream!U$108))/'SS Material Flow'!$B102+U$132+F13)+Common!$D$17*((SUMPRODUCT('SS Material Flow'!$C148:$Y148,'SS Material Flow'!$C$134:$Y$134,IF('SS Material Flow'!$C$180:$Y$180&gt;0,1/'SS Material Flow'!$C$180:$Y$180,0),TRANSPOSE(V$109:V$131))+(SUM('SS Material Flow'!$B102:$D102,'SS Material Flow'!$F102:$J102,'SS Material Flow'!$L102:$X102)*Single.Stream!V$108))/'SS Material Flow'!$B102+V$132)</f>
        <v>1.5633333333333337</v>
      </c>
      <c r="H212" s="142">
        <f t="array" ref="H212">($D$199/$D$197*SUMPRODUCT(1/TRANSPOSE($E$2:$E$3),'SS Material Flow'!$C193:$D193)+$C$199/$C$197*SUMPRODUCT(1/TRANSPOSE($E$4:$E$8),'SS Material Flow'!$E193:$I193))/'SS Material Flow'!$B102</f>
        <v>1.3672199511367968</v>
      </c>
      <c r="I212" s="233">
        <f t="shared" si="20"/>
        <v>6.040901163558086</v>
      </c>
      <c r="J212" s="239">
        <f>Common!$D$61</f>
        <v>12.265493399927911</v>
      </c>
      <c r="K212" s="13" cm="1">
        <f t="array" ref="K212">(SUMPRODUCT($C$2:$C$9,TRANSPOSE('SS Material Flow'!B237:I237))+SUMPRODUCT(Single.Stream!$C$13:$C$18,TRANSPOSE('SS Material Flow'!J237:O237))+SUMPRODUCT(Single.Stream!$C$21:$C$23,TRANSPOSE('SS Material Flow'!P237:R237))+SUMPRODUCT(Single.Stream!$B$28:$B$29,TRANSPOSE('SS Material Flow'!S237:T237)))/'SS Material Flow'!$B102</f>
        <v>78.92</v>
      </c>
      <c r="L212" s="5">
        <f>(B$184*'SS Material Flow'!$M102+B$185*SUM('SS Material Flow'!$H193:$I193)+B$186*$E212/Common!$B$2)/('SS Material Flow'!$B102)</f>
        <v>0</v>
      </c>
      <c r="M212" s="9">
        <f>(C$184*'SS Material Flow'!$M102+C$185*SUM('SS Material Flow'!$H193:$I193)+C$186*$E212/Common!$B$2)/('SS Material Flow'!$B102)</f>
        <v>0</v>
      </c>
      <c r="N212" s="9">
        <f>(D$184*'SS Material Flow'!$M102+D$185*SUM('SS Material Flow'!$H193:$I193)+D$186*$E212/Common!$B$2)/('SS Material Flow'!$B102)</f>
        <v>0</v>
      </c>
      <c r="O212" s="9">
        <f>(E$184*'SS Material Flow'!$M102+E$185*SUM('SS Material Flow'!$H193:$I193)+E$186*$E212/Common!$B$2)/('SS Material Flow'!$B102)</f>
        <v>0</v>
      </c>
      <c r="P212" s="4">
        <f>(F$184*'SS Material Flow'!$M102+F$185*SUM('SS Material Flow'!$H193:$I193)+F$186*$E212/Common!$B$2)/('SS Material Flow'!$B102)</f>
        <v>0</v>
      </c>
      <c r="Q212" s="5">
        <f>($G$184*B$184*'SS Material Flow'!$M102+$G$185*B$185*SUM('SS Material Flow'!$H193:$I193)+$G$186*B$186*$E212/Common!$B$2)/('SS Material Flow'!$B102)</f>
        <v>0</v>
      </c>
      <c r="R212" s="4">
        <f>($G$184*C$184*'SS Material Flow'!$M102+$G$185*C$185*SUM('SS Material Flow'!$H193:$I193)+$G$186*C$186*$E212/Common!$B$2)/('SS Material Flow'!$B102)</f>
        <v>0</v>
      </c>
      <c r="V212" s="113"/>
      <c r="W212" s="113"/>
      <c r="X212" s="113"/>
      <c r="Y212" s="113"/>
    </row>
    <row r="213" spans="1:26" x14ac:dyDescent="0.35">
      <c r="A213" t="str">
        <f t="shared" si="18"/>
        <v>Corr. Cardboard</v>
      </c>
      <c r="B213" s="32">
        <f t="array" ref="B213">(SUMPRODUCT('SS Material Flow'!$C149:$Y149,'SS Material Flow'!$C$134:$Y$134,IF('SS Material Flow'!$C$180:$Y$180&gt;0,1/'SS Material Flow'!$C$180:$Y$180,0),TRANSPOSE(J$109:J$131))+(SUM('SS Material Flow'!$B103:$D103,'SS Material Flow'!$F103:$J103,'SS Material Flow'!$L103:$X103)*Single.Stream!J$108))/'SS Material Flow'!$B103+$B$180+$B$181+J$132</f>
        <v>2.568975806779334</v>
      </c>
      <c r="C213" s="32">
        <f t="array" ref="C213">(SUMPRODUCT('SS Material Flow'!$C149:$Y149,'SS Material Flow'!$C$134:$Y$134,IF('SS Material Flow'!$C$180:$Y$180&gt;0,1/'SS Material Flow'!$C$180:$Y$180,0),TRANSPOSE(K$109:K$131))+(SUM('SS Material Flow'!$B103:$D103,'SS Material Flow'!$F103:$J103,'SS Material Flow'!$L103:$X103)*Single.Stream!K$108))/'SS Material Flow'!$B103+K$132</f>
        <v>0.7</v>
      </c>
      <c r="D213" s="32">
        <f t="array" ref="D213">(SUMPRODUCT('SS Material Flow'!$C149:$Y149,'SS Material Flow'!$C$134:$Y$134,IF('SS Material Flow'!$C$180:$Y$180&gt;0,1/'SS Material Flow'!$C$180:$Y$180,0),TRANSPOSE(L$109:L$131))+(SUM('SS Material Flow'!$B103:$D103,'SS Material Flow'!$F103:$J103,'SS Material Flow'!$L103:$X103)*Single.Stream!L$108))/'SS Material Flow'!$B103+L$132</f>
        <v>0</v>
      </c>
      <c r="E213" s="206">
        <f t="shared" si="19"/>
        <v>0.68663190676311192</v>
      </c>
      <c r="F213" s="173">
        <f t="array" ref="F213">(SUMPRODUCT('SS Material Flow'!$C149:$Y149,'SS Material Flow'!$C$134:$Y$134,IF('SS Material Flow'!$C$180:$Y$180&gt;0,1/'SS Material Flow'!$C$180:$Y$180,0),TRANSPOSE(T$109:T$131))+(SUM('SS Material Flow'!$B103:$D103,'SS Material Flow'!$F103:$J103,'SS Material Flow'!$L103:$X103)*Single.Stream!T$108))/'SS Material Flow'!$B103+T$132</f>
        <v>2.2629209188443928</v>
      </c>
      <c r="G213" s="142">
        <f t="array" ref="G213">Common!$D$16*((SUMPRODUCT('SS Material Flow'!$C149:$Y149,'SS Material Flow'!$C$134:$Y$134,IF('SS Material Flow'!$C$180:$Y$180&gt;0,1/'SS Material Flow'!$C$180:$Y$180,0),TRANSPOSE(U$109:U$131))+(SUM('SS Material Flow'!$B103:$D103,'SS Material Flow'!$F103:$J103,'SS Material Flow'!$L103:$X103)*Single.Stream!U$108))/'SS Material Flow'!$B103+U$132)+Common!$D$17*((SUMPRODUCT('SS Material Flow'!$C149:$Y149,'SS Material Flow'!$C$134:$Y$134,IF('SS Material Flow'!$C$180:$Y$180&gt;0,1/'SS Material Flow'!$C$180:$Y$180,0),TRANSPOSE(V$109:V$131))+(SUM('SS Material Flow'!$B103:$D103,'SS Material Flow'!$F103:$J103,'SS Material Flow'!$L103:$X103)*Single.Stream!V$108))/'SS Material Flow'!$B103+V$132)</f>
        <v>1.5670392156862749</v>
      </c>
      <c r="H213" s="142">
        <f t="array" ref="H213">($D$199/$D$197*SUMPRODUCT(1/TRANSPOSE($E$2:$E$3),'SS Material Flow'!$C194:$D194)+$C$199/$C$197*SUMPRODUCT(1/TRANSPOSE($E$4:$E$8),'SS Material Flow'!$E194:$I194))/'SS Material Flow'!$B103</f>
        <v>1.4453601637363507</v>
      </c>
      <c r="I213" s="233">
        <f t="shared" si="20"/>
        <v>5.2753202982670189</v>
      </c>
      <c r="J213" s="239">
        <f>Common!$D$61</f>
        <v>12.265493399927911</v>
      </c>
      <c r="K213" s="13">
        <f t="array" ref="K213">(SUMPRODUCT($C$2:$C$9,TRANSPOSE('SS Material Flow'!B238:I238))+SUMPRODUCT(Single.Stream!$C$13:$C$18,TRANSPOSE('SS Material Flow'!J238:O238))+SUMPRODUCT(Single.Stream!$C$21:$C$23,TRANSPOSE('SS Material Flow'!P238:R238))+SUMPRODUCT(Single.Stream!$B$28:$B$29,TRANSPOSE('SS Material Flow'!S238:T238)))/'SS Material Flow'!$B103</f>
        <v>163.67599999999999</v>
      </c>
      <c r="L213" s="5">
        <f>(B$184*'SS Material Flow'!$M103+B$185*SUM('SS Material Flow'!$H194:$I194)+B$186*$E213/Common!$B$2)/('SS Material Flow'!$B103)</f>
        <v>0</v>
      </c>
      <c r="M213" s="9">
        <f>(C$184*'SS Material Flow'!$M103+C$185*SUM('SS Material Flow'!$H194:$I194)+C$186*$E213/Common!$B$2)/('SS Material Flow'!$B103)</f>
        <v>0</v>
      </c>
      <c r="N213" s="9">
        <f>(D$184*'SS Material Flow'!$M103+D$185*SUM('SS Material Flow'!$H194:$I194)+D$186*$E213/Common!$B$2)/('SS Material Flow'!$B103)</f>
        <v>0</v>
      </c>
      <c r="O213" s="9">
        <f>(E$184*'SS Material Flow'!$M103+E$185*SUM('SS Material Flow'!$H194:$I194)+E$186*$E213/Common!$B$2)/('SS Material Flow'!$B103)</f>
        <v>0</v>
      </c>
      <c r="P213" s="4">
        <f>(F$184*'SS Material Flow'!$M103+F$185*SUM('SS Material Flow'!$H194:$I194)+F$186*$E213/Common!$B$2)/('SS Material Flow'!$B103)</f>
        <v>0</v>
      </c>
      <c r="Q213" s="5">
        <f>($G$184*B$184*'SS Material Flow'!$M103+$G$185*B$185*SUM('SS Material Flow'!$H194:$I194)+$G$186*B$186*$E213/Common!$B$2)/('SS Material Flow'!$B103)</f>
        <v>0</v>
      </c>
      <c r="R213" s="4">
        <f>($G$184*C$184*'SS Material Flow'!$M103+$G$185*C$185*SUM('SS Material Flow'!$H194:$I194)+$G$186*C$186*$E213/Common!$B$2)/('SS Material Flow'!$B103)</f>
        <v>0</v>
      </c>
      <c r="V213" s="113"/>
      <c r="W213" s="113"/>
      <c r="X213" s="113"/>
      <c r="Y213" s="113"/>
    </row>
    <row r="214" spans="1:26" ht="15" thickBot="1" x14ac:dyDescent="0.4">
      <c r="A214" t="str">
        <f t="shared" si="18"/>
        <v>Office Paper</v>
      </c>
      <c r="B214" s="32">
        <f t="array" ref="B214">(SUMPRODUCT('SS Material Flow'!$C150:$Y150,'SS Material Flow'!$C$134:$Y$134,IF('SS Material Flow'!$C$180:$Y$180&gt;0,1/'SS Material Flow'!$C$180:$Y$180,0),TRANSPOSE(J$109:J$131))+(SUM('SS Material Flow'!$B104:$D104,'SS Material Flow'!$F104:$J104,'SS Material Flow'!$L104:$X104)*Single.Stream!J$108))/'SS Material Flow'!$B104+$B$180+$B$181+J$132</f>
        <v>2.8526767124165886</v>
      </c>
      <c r="C214" s="32">
        <f t="array" ref="C214">(SUMPRODUCT('SS Material Flow'!$C150:$Y150,'SS Material Flow'!$C$134:$Y$134,IF('SS Material Flow'!$C$180:$Y$180&gt;0,1/'SS Material Flow'!$C$180:$Y$180,0),TRANSPOSE(K$109:K$131))+(SUM('SS Material Flow'!$B104:$D104,'SS Material Flow'!$F104:$J104,'SS Material Flow'!$L104:$X104)*Single.Stream!K$108))/'SS Material Flow'!$B104+K$132</f>
        <v>0.7</v>
      </c>
      <c r="D214" s="32">
        <f t="array" ref="D214">(SUMPRODUCT('SS Material Flow'!$C150:$Y150,'SS Material Flow'!$C$134:$Y$134,IF('SS Material Flow'!$C$180:$Y$180&gt;0,1/'SS Material Flow'!$C$180:$Y$180,0),TRANSPOSE(L$109:L$131))+(SUM('SS Material Flow'!$B104:$D104,'SS Material Flow'!$F104:$J104,'SS Material Flow'!$L104:$X104)*Single.Stream!L$108))/'SS Material Flow'!$B104+L$132</f>
        <v>0</v>
      </c>
      <c r="E214" s="206">
        <f t="shared" si="19"/>
        <v>0.64951066562318149</v>
      </c>
      <c r="F214" s="173">
        <f t="array" ref="F214">(SUMPRODUCT('SS Material Flow'!$C150:$Y150,'SS Material Flow'!$C$134:$Y$134,IF('SS Material Flow'!$C$180:$Y$180&gt;0,1/'SS Material Flow'!$C$180:$Y$180,0),TRANSPOSE(T$109:T$131))+(SUM('SS Material Flow'!$B104:$D104,'SS Material Flow'!$F104:$J104,'SS Material Flow'!$L104:$X104)*Single.Stream!T$108))/'SS Material Flow'!$B104+T$132</f>
        <v>3.1103478790879566</v>
      </c>
      <c r="G214" s="142">
        <f t="array" ref="G214">Common!$D$16*((SUMPRODUCT('SS Material Flow'!$C150:$Y150,'SS Material Flow'!$C$134:$Y$134,IF('SS Material Flow'!$C$180:$Y$180&gt;0,1/'SS Material Flow'!$C$180:$Y$180,0),TRANSPOSE(U$109:U$131))+(SUM('SS Material Flow'!$B104:$D104,'SS Material Flow'!$F104:$J104,'SS Material Flow'!$L104:$X104)*Single.Stream!U$108))/'SS Material Flow'!$B104+U$132+$F14)+Common!$D$17*((SUMPRODUCT('SS Material Flow'!$C150:$Y150,'SS Material Flow'!$C$134:$Y$134,IF('SS Material Flow'!$C$180:$Y$180&gt;0,1/'SS Material Flow'!$C$180:$Y$180,0),TRANSPOSE(V$109:V$131))+(SUM('SS Material Flow'!$B104:$D104,'SS Material Flow'!$F104:$J104,'SS Material Flow'!$L104:$X104)*Single.Stream!V$108))/'SS Material Flow'!$B104+V$132)</f>
        <v>1.5633333333333337</v>
      </c>
      <c r="H214" s="142">
        <f t="array" ref="H214">($D$199/$D$197*SUMPRODUCT(1/TRANSPOSE($E$2:$E$3),'SS Material Flow'!$C195:$D195)+$C$199/$C$197*SUMPRODUCT(1/TRANSPOSE($E$4:$E$8),'SS Material Flow'!$E195:$I195))/'SS Material Flow'!$B104</f>
        <v>1.3672199511367971</v>
      </c>
      <c r="I214" s="233">
        <f t="shared" si="20"/>
        <v>6.0409011635580878</v>
      </c>
      <c r="J214" s="239">
        <f>Common!$D$61</f>
        <v>12.265493399927911</v>
      </c>
      <c r="K214" s="13">
        <f t="array" ref="K214">(SUMPRODUCT($C$2:$C$9,TRANSPOSE('SS Material Flow'!B239:I239))+SUMPRODUCT(Single.Stream!$C$13:$C$18,TRANSPOSE('SS Material Flow'!J239:O239))+SUMPRODUCT(Single.Stream!$C$21:$C$23,TRANSPOSE('SS Material Flow'!P239:R239))+SUMPRODUCT(Single.Stream!$B$28:$B$29,TRANSPOSE('SS Material Flow'!S239:T239)))/'SS Material Flow'!$B104</f>
        <v>78.92</v>
      </c>
      <c r="L214" s="5">
        <f>(B$184*'SS Material Flow'!$M104+B$185*SUM('SS Material Flow'!$H195:$I195)+B$186*$E214/Common!$B$2)/('SS Material Flow'!$B104)</f>
        <v>0</v>
      </c>
      <c r="M214" s="9">
        <f>(C$184*'SS Material Flow'!$M104+C$185*SUM('SS Material Flow'!$H195:$I195)+C$186*$E214/Common!$B$2)/('SS Material Flow'!$B104)</f>
        <v>0</v>
      </c>
      <c r="N214" s="9">
        <f>(D$184*'SS Material Flow'!$M104+D$185*SUM('SS Material Flow'!$H195:$I195)+D$186*$E214/Common!$B$2)/('SS Material Flow'!$B104)</f>
        <v>0</v>
      </c>
      <c r="O214" s="9">
        <f>(E$184*'SS Material Flow'!$M104+E$185*SUM('SS Material Flow'!$H195:$I195)+E$186*$E214/Common!$B$2)/('SS Material Flow'!$B104)</f>
        <v>0</v>
      </c>
      <c r="P214" s="4">
        <f>(F$184*'SS Material Flow'!$M104+F$185*SUM('SS Material Flow'!$H195:$I195)+F$186*$E214/Common!$B$2)/('SS Material Flow'!$B104)</f>
        <v>0</v>
      </c>
      <c r="Q214" s="5">
        <f>($G$184*B$184*'SS Material Flow'!$M104+$G$185*B$185*SUM('SS Material Flow'!$H195:$I195)+$G$186*B$186*$E214/Common!$B$2)/('SS Material Flow'!$B104)</f>
        <v>0</v>
      </c>
      <c r="R214" s="4">
        <f>($G$184*C$184*'SS Material Flow'!$M104+$G$185*C$185*SUM('SS Material Flow'!$H195:$I195)+$G$186*C$186*$E214/Common!$B$2)/('SS Material Flow'!$B104)</f>
        <v>0</v>
      </c>
      <c r="V214" s="113"/>
      <c r="W214" s="113"/>
      <c r="X214" s="113"/>
      <c r="Y214" s="113"/>
    </row>
    <row r="215" spans="1:26" x14ac:dyDescent="0.35">
      <c r="A215" t="str">
        <f t="shared" si="18"/>
        <v xml:space="preserve">Magazines </v>
      </c>
      <c r="B215" s="32">
        <f t="array" ref="B215">(SUMPRODUCT('SS Material Flow'!$C151:$Y151,'SS Material Flow'!$C$134:$Y$134,IF('SS Material Flow'!$C$180:$Y$180&gt;0,1/'SS Material Flow'!$C$180:$Y$180,0),TRANSPOSE(J$109:J$131))+(SUM('SS Material Flow'!$B105:$D105,'SS Material Flow'!$F105:$J105,'SS Material Flow'!$L105:$X105)*Single.Stream!J$108))/'SS Material Flow'!$B105+$B$180+$B$181+J$132</f>
        <v>2.8526767124165877</v>
      </c>
      <c r="C215" s="32">
        <f t="array" ref="C215">(SUMPRODUCT('SS Material Flow'!$C151:$Y151,'SS Material Flow'!$C$134:$Y$134,IF('SS Material Flow'!$C$180:$Y$180&gt;0,1/'SS Material Flow'!$C$180:$Y$180,0),TRANSPOSE(K$109:K$131))+(SUM('SS Material Flow'!$B105:$D105,'SS Material Flow'!$F105:$J105,'SS Material Flow'!$L105:$X105)*Single.Stream!K$108))/'SS Material Flow'!$B105+K$132</f>
        <v>0.7</v>
      </c>
      <c r="D215" s="32">
        <f t="array" ref="D215">(SUMPRODUCT('SS Material Flow'!$C151:$Y151,'SS Material Flow'!$C$134:$Y$134,IF('SS Material Flow'!$C$180:$Y$180&gt;0,1/'SS Material Flow'!$C$180:$Y$180,0),TRANSPOSE(L$109:L$131))+(SUM('SS Material Flow'!$B105:$D105,'SS Material Flow'!$F105:$J105,'SS Material Flow'!$L105:$X105)*Single.Stream!L$108))/'SS Material Flow'!$B105+L$132</f>
        <v>0</v>
      </c>
      <c r="E215" s="206">
        <f t="shared" si="19"/>
        <v>0.64951066562318138</v>
      </c>
      <c r="F215" s="173">
        <f t="array" ref="F215">(SUMPRODUCT('SS Material Flow'!$C151:$Y151,'SS Material Flow'!$C$134:$Y$134,IF('SS Material Flow'!$C$180:$Y$180&gt;0,1/'SS Material Flow'!$C$180:$Y$180,0),TRANSPOSE(T$109:T$131))+(SUM('SS Material Flow'!$B105:$D105,'SS Material Flow'!$F105:$J105,'SS Material Flow'!$L105:$X105)*Single.Stream!T$108))/'SS Material Flow'!$B105+T$132</f>
        <v>3.1103478790879562</v>
      </c>
      <c r="G215" s="142">
        <f t="array" ref="G215">Common!$D$16*((SUMPRODUCT('SS Material Flow'!$C151:$Y151,'SS Material Flow'!$C$134:$Y$134,IF('SS Material Flow'!$C$180:$Y$180&gt;0,1/'SS Material Flow'!$C$180:$Y$180,0),TRANSPOSE(U$109:U$131))+(SUM('SS Material Flow'!$B105:$D105,'SS Material Flow'!$F105:$J105,'SS Material Flow'!$L105:$X105)*Single.Stream!U$108))/'SS Material Flow'!$B105+U$132+$F15)+Common!$D$17*((SUMPRODUCT('SS Material Flow'!$C151:$Y151,'SS Material Flow'!$C$134:$Y$134,IF('SS Material Flow'!$C$180:$Y$180&gt;0,1/'SS Material Flow'!$C$180:$Y$180,0),TRANSPOSE(V$109:V$131))+(SUM('SS Material Flow'!$B105:$D105,'SS Material Flow'!$F105:$J105,'SS Material Flow'!$L105:$X105)*Single.Stream!V$108))/'SS Material Flow'!$B105+V$132)</f>
        <v>1.5633333333333335</v>
      </c>
      <c r="H215" s="142">
        <f t="array" ref="H215">($D$199/$D$197*SUMPRODUCT(1/TRANSPOSE($E$2:$E$3),'SS Material Flow'!$C196:$D196)+$C$199/$C$197*SUMPRODUCT(1/TRANSPOSE($E$4:$E$8),'SS Material Flow'!$E196:$I196))/'SS Material Flow'!$B105</f>
        <v>1.3672199511367968</v>
      </c>
      <c r="I215" s="233">
        <f t="shared" si="20"/>
        <v>6.040901163558086</v>
      </c>
      <c r="J215" s="239">
        <f>Common!$D$61</f>
        <v>12.265493399927911</v>
      </c>
      <c r="K215" s="13">
        <f t="array" ref="K215">(SUMPRODUCT($C$2:$C$9,TRANSPOSE('SS Material Flow'!B240:I240))+SUMPRODUCT(Single.Stream!$C$13:$C$18,TRANSPOSE('SS Material Flow'!J240:O240))+SUMPRODUCT(Single.Stream!$C$21:$C$23,TRANSPOSE('SS Material Flow'!P240:R240))+SUMPRODUCT(Single.Stream!$B$28:$B$29,TRANSPOSE('SS Material Flow'!S240:T240)))/'SS Material Flow'!$B105</f>
        <v>78.92</v>
      </c>
      <c r="L215" s="5">
        <f>(B$184*'SS Material Flow'!$M105+B$185*SUM('SS Material Flow'!$H196:$I196)+B$186*$E215/Common!$B$2)/('SS Material Flow'!$B105)</f>
        <v>0</v>
      </c>
      <c r="M215" s="9">
        <f>(C$184*'SS Material Flow'!$M105+C$185*SUM('SS Material Flow'!$H196:$I196)+C$186*$E215/Common!$B$2)/('SS Material Flow'!$B105)</f>
        <v>0</v>
      </c>
      <c r="N215" s="9">
        <f>(D$184*'SS Material Flow'!$M105+D$185*SUM('SS Material Flow'!$H196:$I196)+D$186*$E215/Common!$B$2)/('SS Material Flow'!$B105)</f>
        <v>0</v>
      </c>
      <c r="O215" s="9">
        <f>(E$184*'SS Material Flow'!$M105+E$185*SUM('SS Material Flow'!$H196:$I196)+E$186*$E215/Common!$B$2)/('SS Material Flow'!$B105)</f>
        <v>0</v>
      </c>
      <c r="P215" s="4">
        <f>(F$184*'SS Material Flow'!$M105+F$185*SUM('SS Material Flow'!$H196:$I196)+F$186*$E215/Common!$B$2)/('SS Material Flow'!$B105)</f>
        <v>0</v>
      </c>
      <c r="Q215" s="5">
        <f>($G$184*B$184*'SS Material Flow'!$M105+$G$185*B$185*SUM('SS Material Flow'!$H196:$I196)+$G$186*B$186*$E215/Common!$B$2)/('SS Material Flow'!$B105)</f>
        <v>0</v>
      </c>
      <c r="R215" s="4">
        <f>($G$184*C$184*'SS Material Flow'!$M105+$G$185*C$185*SUM('SS Material Flow'!$H196:$I196)+$G$186*C$186*$E215/Common!$B$2)/('SS Material Flow'!$B105)</f>
        <v>0</v>
      </c>
      <c r="V215" s="193" t="s">
        <v>197</v>
      </c>
      <c r="W215" s="193">
        <v>0.1</v>
      </c>
      <c r="X215" s="194" t="s">
        <v>104</v>
      </c>
      <c r="Y215" s="113"/>
    </row>
    <row r="216" spans="1:26" ht="15" thickBot="1" x14ac:dyDescent="0.4">
      <c r="A216" t="str">
        <f t="shared" si="18"/>
        <v>3rd Class Mail</v>
      </c>
      <c r="B216" s="32">
        <f t="array" ref="B216">(SUMPRODUCT('SS Material Flow'!$C152:$Y152,'SS Material Flow'!$C$134:$Y$134,IF('SS Material Flow'!$C$180:$Y$180&gt;0,1/'SS Material Flow'!$C$180:$Y$180,0),TRANSPOSE(J$109:J$131))+(SUM('SS Material Flow'!$B106:$D106,'SS Material Flow'!$F106:$J106,'SS Material Flow'!$L106:$X106)*Single.Stream!J$108))/'SS Material Flow'!$B106+$B$180+$B$181+J$132</f>
        <v>2.8526767124165886</v>
      </c>
      <c r="C216" s="32">
        <f t="array" ref="C216">(SUMPRODUCT('SS Material Flow'!$C152:$Y152,'SS Material Flow'!$C$134:$Y$134,IF('SS Material Flow'!$C$180:$Y$180&gt;0,1/'SS Material Flow'!$C$180:$Y$180,0),TRANSPOSE(K$109:K$131))+(SUM('SS Material Flow'!$B106:$D106,'SS Material Flow'!$F106:$J106,'SS Material Flow'!$L106:$X106)*Single.Stream!K$108))/'SS Material Flow'!$B106+K$132</f>
        <v>0.7</v>
      </c>
      <c r="D216" s="32">
        <f t="array" ref="D216">(SUMPRODUCT('SS Material Flow'!$C152:$Y152,'SS Material Flow'!$C$134:$Y$134,IF('SS Material Flow'!$C$180:$Y$180&gt;0,1/'SS Material Flow'!$C$180:$Y$180,0),TRANSPOSE(L$109:L$131))+(SUM('SS Material Flow'!$B106:$D106,'SS Material Flow'!$F106:$J106,'SS Material Flow'!$L106:$X106)*Single.Stream!L$108))/'SS Material Flow'!$B106+L$132</f>
        <v>0</v>
      </c>
      <c r="E216" s="206">
        <f t="shared" si="19"/>
        <v>0.64951066562318149</v>
      </c>
      <c r="F216" s="173">
        <f t="array" ref="F216">(SUMPRODUCT('SS Material Flow'!$C152:$Y152,'SS Material Flow'!$C$134:$Y$134,IF('SS Material Flow'!$C$180:$Y$180&gt;0,1/'SS Material Flow'!$C$180:$Y$180,0),TRANSPOSE(T$109:T$131))+(SUM('SS Material Flow'!$B106:$D106,'SS Material Flow'!$F106:$J106,'SS Material Flow'!$L106:$X106)*Single.Stream!T$108))/'SS Material Flow'!$B106+T$132</f>
        <v>3.1103478790879566</v>
      </c>
      <c r="G216" s="142">
        <f t="array" ref="G216">Common!$D$16*((SUMPRODUCT('SS Material Flow'!$C152:$Y152,'SS Material Flow'!$C$134:$Y$134,IF('SS Material Flow'!$C$180:$Y$180&gt;0,1/'SS Material Flow'!$C$180:$Y$180,0),TRANSPOSE(U$109:U$131))+(SUM('SS Material Flow'!$B106:$D106,'SS Material Flow'!$F106:$J106,'SS Material Flow'!$L106:$X106)*Single.Stream!U$108))/'SS Material Flow'!$B106+U$132+$F16)+Common!$D$17*((SUMPRODUCT('SS Material Flow'!$C152:$Y152,'SS Material Flow'!$C$134:$Y$134,IF('SS Material Flow'!$C$180:$Y$180&gt;0,1/'SS Material Flow'!$C$180:$Y$180,0),TRANSPOSE(V$109:V$131))+(SUM('SS Material Flow'!$B106:$D106,'SS Material Flow'!$F106:$J106,'SS Material Flow'!$L106:$X106)*Single.Stream!V$108))/'SS Material Flow'!$B106+V$132)</f>
        <v>1.5633333333333337</v>
      </c>
      <c r="H216" s="142">
        <f t="array" ref="H216">($D$199/$D$197*SUMPRODUCT(1/TRANSPOSE($E$2:$E$3),'SS Material Flow'!$C197:$D197)+$C$199/$C$197*SUMPRODUCT(1/TRANSPOSE($E$4:$E$8),'SS Material Flow'!$E197:$I197))/'SS Material Flow'!$B106</f>
        <v>1.3672199511367971</v>
      </c>
      <c r="I216" s="233">
        <f t="shared" si="20"/>
        <v>6.0409011635580878</v>
      </c>
      <c r="J216" s="239">
        <f>Common!$D$61</f>
        <v>12.265493399927911</v>
      </c>
      <c r="K216" s="13">
        <f t="array" ref="K216">(SUMPRODUCT($C$2:$C$9,TRANSPOSE('SS Material Flow'!B241:I241))+SUMPRODUCT(Single.Stream!$C$13:$C$18,TRANSPOSE('SS Material Flow'!J241:O241))+SUMPRODUCT(Single.Stream!$C$21:$C$23,TRANSPOSE('SS Material Flow'!P241:R241))+SUMPRODUCT(Single.Stream!$B$28:$B$29,TRANSPOSE('SS Material Flow'!S241:T241)))/'SS Material Flow'!$B106</f>
        <v>78.92</v>
      </c>
      <c r="L216" s="5">
        <f>(B$184*'SS Material Flow'!$M106+B$185*SUM('SS Material Flow'!$H197:$I197)+B$186*$E216/Common!$B$2)/('SS Material Flow'!$B106)</f>
        <v>0</v>
      </c>
      <c r="M216" s="9">
        <f>(C$184*'SS Material Flow'!$M106+C$185*SUM('SS Material Flow'!$H197:$I197)+C$186*$E216/Common!$B$2)/('SS Material Flow'!$B106)</f>
        <v>0</v>
      </c>
      <c r="N216" s="9">
        <f>(D$184*'SS Material Flow'!$M106+D$185*SUM('SS Material Flow'!$H197:$I197)+D$186*$E216/Common!$B$2)/('SS Material Flow'!$B106)</f>
        <v>0</v>
      </c>
      <c r="O216" s="9">
        <f>(E$184*'SS Material Flow'!$M106+E$185*SUM('SS Material Flow'!$H197:$I197)+E$186*$E216/Common!$B$2)/('SS Material Flow'!$B106)</f>
        <v>0</v>
      </c>
      <c r="P216" s="4">
        <f>(F$184*'SS Material Flow'!$M106+F$185*SUM('SS Material Flow'!$H197:$I197)+F$186*$E216/Common!$B$2)/('SS Material Flow'!$B106)</f>
        <v>0</v>
      </c>
      <c r="Q216" s="5">
        <f>($G$184*B$184*'SS Material Flow'!$M106+$G$185*B$185*SUM('SS Material Flow'!$H197:$I197)+$G$186*B$186*$E216/Common!$B$2)/('SS Material Flow'!$B106)</f>
        <v>0</v>
      </c>
      <c r="R216" s="4">
        <f>($G$184*C$184*'SS Material Flow'!$M106+$G$185*C$185*SUM('SS Material Flow'!$H197:$I197)+$G$186*C$186*$E216/Common!$B$2)/('SS Material Flow'!$B106)</f>
        <v>0</v>
      </c>
      <c r="V216" s="195" t="s">
        <v>196</v>
      </c>
      <c r="W216" s="195">
        <v>1</v>
      </c>
      <c r="X216" s="196" t="s">
        <v>105</v>
      </c>
      <c r="Y216" s="113"/>
    </row>
    <row r="217" spans="1:26" x14ac:dyDescent="0.35">
      <c r="A217" t="str">
        <f t="shared" si="18"/>
        <v>Folding Containers</v>
      </c>
      <c r="B217" s="32">
        <f t="array" ref="B217">(SUMPRODUCT('SS Material Flow'!$C153:$Y153,'SS Material Flow'!$C$134:$Y$134,IF('SS Material Flow'!$C$180:$Y$180&gt;0,1/'SS Material Flow'!$C$180:$Y$180,0),TRANSPOSE(J$109:J$131))+(SUM('SS Material Flow'!$B107:$D107,'SS Material Flow'!$F107:$J107,'SS Material Flow'!$L107:$X107)*Single.Stream!J$108))/'SS Material Flow'!$B107+$B$180+$B$181+J$132</f>
        <v>2.8526767124165886</v>
      </c>
      <c r="C217" s="32">
        <f t="array" ref="C217">(SUMPRODUCT('SS Material Flow'!$C153:$Y153,'SS Material Flow'!$C$134:$Y$134,IF('SS Material Flow'!$C$180:$Y$180&gt;0,1/'SS Material Flow'!$C$180:$Y$180,0),TRANSPOSE(K$109:K$131))+(SUM('SS Material Flow'!$B107:$D107,'SS Material Flow'!$F107:$J107,'SS Material Flow'!$L107:$X107)*Single.Stream!K$108))/'SS Material Flow'!$B107+K$132</f>
        <v>0.7</v>
      </c>
      <c r="D217" s="32">
        <f t="array" ref="D217">(SUMPRODUCT('SS Material Flow'!$C153:$Y153,'SS Material Flow'!$C$134:$Y$134,IF('SS Material Flow'!$C$180:$Y$180&gt;0,1/'SS Material Flow'!$C$180:$Y$180,0),TRANSPOSE(L$109:L$131))+(SUM('SS Material Flow'!$B107:$D107,'SS Material Flow'!$F107:$J107,'SS Material Flow'!$L107:$X107)*Single.Stream!L$108))/'SS Material Flow'!$B107+L$132</f>
        <v>0</v>
      </c>
      <c r="E217" s="206">
        <f t="shared" si="19"/>
        <v>0.64951066562318149</v>
      </c>
      <c r="F217" s="173">
        <f t="array" ref="F217">(SUMPRODUCT('SS Material Flow'!$C153:$Y153,'SS Material Flow'!$C$134:$Y$134,IF('SS Material Flow'!$C$180:$Y$180&gt;0,1/'SS Material Flow'!$C$180:$Y$180,0),TRANSPOSE(T$109:T$131))+(SUM('SS Material Flow'!$B107:$D107,'SS Material Flow'!$F107:$J107,'SS Material Flow'!$L107:$X107)*Single.Stream!T$108))/'SS Material Flow'!$B107+T$132</f>
        <v>3.1103478790879566</v>
      </c>
      <c r="G217" s="142">
        <f t="array" ref="G217">Common!$D$16*((SUMPRODUCT('SS Material Flow'!$C153:$Y153,'SS Material Flow'!$C$134:$Y$134,IF('SS Material Flow'!$C$180:$Y$180&gt;0,1/'SS Material Flow'!$C$180:$Y$180,0),TRANSPOSE(U$109:U$131))+(SUM('SS Material Flow'!$B107:$D107,'SS Material Flow'!$F107:$J107,'SS Material Flow'!$L107:$X107)*Single.Stream!U$108))/'SS Material Flow'!$B107+U$132+$F17)+Common!$D$17*((SUMPRODUCT('SS Material Flow'!$C153:$Y153,'SS Material Flow'!$C$134:$Y$134,IF('SS Material Flow'!$C$180:$Y$180&gt;0,1/'SS Material Flow'!$C$180:$Y$180,0),TRANSPOSE(V$109:V$131))+(SUM('SS Material Flow'!$B107:$D107,'SS Material Flow'!$F107:$J107,'SS Material Flow'!$L107:$X107)*Single.Stream!V$108))/'SS Material Flow'!$B107+V$132)</f>
        <v>1.5633333333333337</v>
      </c>
      <c r="H217" s="142">
        <f t="array" ref="H217">($D$199/$D$197*SUMPRODUCT(1/TRANSPOSE($E$2:$E$3),'SS Material Flow'!$C198:$D198)+$C$199/$C$197*SUMPRODUCT(1/TRANSPOSE($E$4:$E$8),'SS Material Flow'!$E198:$I198))/'SS Material Flow'!$B107</f>
        <v>1.3672199511367971</v>
      </c>
      <c r="I217" s="233">
        <f t="shared" si="20"/>
        <v>6.0409011635580878</v>
      </c>
      <c r="J217" s="239">
        <f>Common!$D$61</f>
        <v>12.265493399927911</v>
      </c>
      <c r="K217" s="13">
        <f t="array" ref="K217">(SUMPRODUCT($C$2:$C$9,TRANSPOSE('SS Material Flow'!B242:I242))+SUMPRODUCT(Single.Stream!$C$13:$C$18,TRANSPOSE('SS Material Flow'!J242:O242))+SUMPRODUCT(Single.Stream!$C$21:$C$23,TRANSPOSE('SS Material Flow'!P242:R242))+SUMPRODUCT(Single.Stream!$B$28:$B$29,TRANSPOSE('SS Material Flow'!S242:T242)))/'SS Material Flow'!$B107</f>
        <v>78.92</v>
      </c>
      <c r="L217" s="5">
        <f>(B$184*'SS Material Flow'!$M107+B$185*SUM('SS Material Flow'!$H198:$I198)+B$186*$E217/Common!$B$2)/('SS Material Flow'!$B107)</f>
        <v>0</v>
      </c>
      <c r="M217" s="9">
        <f>(C$184*'SS Material Flow'!$M107+C$185*SUM('SS Material Flow'!$H198:$I198)+C$186*$E217/Common!$B$2)/('SS Material Flow'!$B107)</f>
        <v>0</v>
      </c>
      <c r="N217" s="9">
        <f>(D$184*'SS Material Flow'!$M107+D$185*SUM('SS Material Flow'!$H198:$I198)+D$186*$E217/Common!$B$2)/('SS Material Flow'!$B107)</f>
        <v>0</v>
      </c>
      <c r="O217" s="9">
        <f>(E$184*'SS Material Flow'!$M107+E$185*SUM('SS Material Flow'!$H198:$I198)+E$186*$E217/Common!$B$2)/('SS Material Flow'!$B107)</f>
        <v>0</v>
      </c>
      <c r="P217" s="4">
        <f>(F$184*'SS Material Flow'!$M107+F$185*SUM('SS Material Flow'!$H198:$I198)+F$186*$E217/Common!$B$2)/('SS Material Flow'!$B107)</f>
        <v>0</v>
      </c>
      <c r="Q217" s="5">
        <f>($G$184*B$184*'SS Material Flow'!$M107+$G$185*B$185*SUM('SS Material Flow'!$H198:$I198)+$G$186*B$186*$E217/Common!$B$2)/('SS Material Flow'!$B107)</f>
        <v>0</v>
      </c>
      <c r="R217" s="4">
        <f>($G$184*C$184*'SS Material Flow'!$M107+$G$185*C$185*SUM('SS Material Flow'!$H198:$I198)+$G$186*C$186*$E217/Common!$B$2)/('SS Material Flow'!$B107)</f>
        <v>0</v>
      </c>
      <c r="V217" s="113"/>
      <c r="W217" s="113" t="s">
        <v>195</v>
      </c>
      <c r="X217" t="s">
        <v>192</v>
      </c>
      <c r="Y217" t="s">
        <v>193</v>
      </c>
      <c r="Z217" t="s">
        <v>194</v>
      </c>
    </row>
    <row r="218" spans="1:26" x14ac:dyDescent="0.35">
      <c r="A218" t="str">
        <f t="shared" si="18"/>
        <v xml:space="preserve">Paper Bags </v>
      </c>
      <c r="B218" s="32">
        <f t="array" ref="B218">(SUMPRODUCT('SS Material Flow'!$C154:$Y154,'SS Material Flow'!$C$134:$Y$134,IF('SS Material Flow'!$C$180:$Y$180&gt;0,1/'SS Material Flow'!$C$180:$Y$180,0),TRANSPOSE(J$109:J$131))+(SUM('SS Material Flow'!$B108:$D108,'SS Material Flow'!$F108:$J108,'SS Material Flow'!$L108:$X108)*Single.Stream!J$108))/'SS Material Flow'!$B108+$B$180+$B$181+J$132</f>
        <v>2.8526767124165886</v>
      </c>
      <c r="C218" s="32">
        <f t="array" ref="C218">(SUMPRODUCT('SS Material Flow'!$C154:$Y154,'SS Material Flow'!$C$134:$Y$134,IF('SS Material Flow'!$C$180:$Y$180&gt;0,1/'SS Material Flow'!$C$180:$Y$180,0),TRANSPOSE(K$109:K$131))+(SUM('SS Material Flow'!$B108:$D108,'SS Material Flow'!$F108:$J108,'SS Material Flow'!$L108:$X108)*Single.Stream!K$108))/'SS Material Flow'!$B108+K$132</f>
        <v>0.7</v>
      </c>
      <c r="D218" s="32">
        <f t="array" ref="D218">(SUMPRODUCT('SS Material Flow'!$C154:$Y154,'SS Material Flow'!$C$134:$Y$134,IF('SS Material Flow'!$C$180:$Y$180&gt;0,1/'SS Material Flow'!$C$180:$Y$180,0),TRANSPOSE(L$109:L$131))+(SUM('SS Material Flow'!$B108:$D108,'SS Material Flow'!$F108:$J108,'SS Material Flow'!$L108:$X108)*Single.Stream!L$108))/'SS Material Flow'!$B108+L$132</f>
        <v>0</v>
      </c>
      <c r="E218" s="206">
        <f t="shared" si="19"/>
        <v>0.64951066562318149</v>
      </c>
      <c r="F218" s="173">
        <f t="array" ref="F218">(SUMPRODUCT('SS Material Flow'!$C154:$Y154,'SS Material Flow'!$C$134:$Y$134,IF('SS Material Flow'!$C$180:$Y$180&gt;0,1/'SS Material Flow'!$C$180:$Y$180,0),TRANSPOSE(T$109:T$131))+(SUM('SS Material Flow'!$B108:$D108,'SS Material Flow'!$F108:$J108,'SS Material Flow'!$L108:$X108)*Single.Stream!T$108))/'SS Material Flow'!$B108+T$132</f>
        <v>3.1103478790879566</v>
      </c>
      <c r="G218" s="142">
        <f t="array" ref="G218">Common!$D$16*((SUMPRODUCT('SS Material Flow'!$C154:$Y154,'SS Material Flow'!$C$134:$Y$134,IF('SS Material Flow'!$C$180:$Y$180&gt;0,1/'SS Material Flow'!$C$180:$Y$180,0),TRANSPOSE(U$109:U$131))+(SUM('SS Material Flow'!$B108:$D108,'SS Material Flow'!$F108:$J108,'SS Material Flow'!$L108:$X108)*Single.Stream!U$108))/'SS Material Flow'!$B108+U$132+$F18)+Common!$D$17*((SUMPRODUCT('SS Material Flow'!$C154:$Y154,'SS Material Flow'!$C$134:$Y$134,IF('SS Material Flow'!$C$180:$Y$180&gt;0,1/'SS Material Flow'!$C$180:$Y$180,0),TRANSPOSE(V$109:V$131))+(SUM('SS Material Flow'!$B108:$D108,'SS Material Flow'!$F108:$J108,'SS Material Flow'!$L108:$X108)*Single.Stream!V$108))/'SS Material Flow'!$B108+V$132)</f>
        <v>1.5633333333333337</v>
      </c>
      <c r="H218" s="142">
        <f t="array" ref="H218">($D$199/$D$197*SUMPRODUCT(1/TRANSPOSE($E$2:$E$3),'SS Material Flow'!$C199:$D199)+$C$199/$C$197*SUMPRODUCT(1/TRANSPOSE($E$4:$E$8),'SS Material Flow'!$E199:$I199))/'SS Material Flow'!$B108</f>
        <v>1.3672199511367971</v>
      </c>
      <c r="I218" s="233">
        <f t="shared" si="20"/>
        <v>6.0409011635580878</v>
      </c>
      <c r="J218" s="239">
        <f>Common!$D$61</f>
        <v>12.265493399927911</v>
      </c>
      <c r="K218" s="13">
        <f t="array" ref="K218">(SUMPRODUCT($C$2:$C$9,TRANSPOSE('SS Material Flow'!B243:I243))+SUMPRODUCT(Single.Stream!$C$13:$C$18,TRANSPOSE('SS Material Flow'!J243:O243))+SUMPRODUCT(Single.Stream!$C$21:$C$23,TRANSPOSE('SS Material Flow'!P243:R243))+SUMPRODUCT(Single.Stream!$B$28:$B$29,TRANSPOSE('SS Material Flow'!S243:T243)))/'SS Material Flow'!$B108</f>
        <v>78.92</v>
      </c>
      <c r="L218" s="5">
        <f>(B$184*'SS Material Flow'!$M108+B$185*SUM('SS Material Flow'!$H199:$I199)+B$186*$E218/Common!$B$2)/('SS Material Flow'!$B108)</f>
        <v>0</v>
      </c>
      <c r="M218" s="9">
        <f>(C$184*'SS Material Flow'!$M108+C$185*SUM('SS Material Flow'!$H199:$I199)+C$186*$E218/Common!$B$2)/('SS Material Flow'!$B108)</f>
        <v>0</v>
      </c>
      <c r="N218" s="9">
        <f>(D$184*'SS Material Flow'!$M108+D$185*SUM('SS Material Flow'!$H199:$I199)+D$186*$E218/Common!$B$2)/('SS Material Flow'!$B108)</f>
        <v>0</v>
      </c>
      <c r="O218" s="9">
        <f>(E$184*'SS Material Flow'!$M108+E$185*SUM('SS Material Flow'!$H199:$I199)+E$186*$E218/Common!$B$2)/('SS Material Flow'!$B108)</f>
        <v>0</v>
      </c>
      <c r="P218" s="4">
        <f>(F$184*'SS Material Flow'!$M108+F$185*SUM('SS Material Flow'!$H199:$I199)+F$186*$E218/Common!$B$2)/('SS Material Flow'!$B108)</f>
        <v>0</v>
      </c>
      <c r="Q218" s="5">
        <f>($G$184*B$184*'SS Material Flow'!$M108+$G$185*B$185*SUM('SS Material Flow'!$H199:$I199)+$G$186*B$186*$E218/Common!$B$2)/('SS Material Flow'!$B108)</f>
        <v>0</v>
      </c>
      <c r="R218" s="4">
        <f>($G$184*C$184*'SS Material Flow'!$M108+$G$185*C$185*SUM('SS Material Flow'!$H199:$I199)+$G$186*C$186*$E218/Common!$B$2)/('SS Material Flow'!$B108)</f>
        <v>0</v>
      </c>
      <c r="V218" s="113"/>
      <c r="W218" s="32">
        <f t="array" ref="W218">(SUMPRODUCT(B203:B243,'SS Material Flow'!$B$93:$B$133)*W215+SUMPRODUCT(C203:C243,'SS Material Flow'!$B$93:$B$133)*W216)/'SS Material Flow'!$B$134</f>
        <v>1.1192236069278159</v>
      </c>
      <c r="X218" s="32">
        <f>SUMPRODUCT(I203:I243,'SS Material Flow'!$B$93:$B$133)/'SS Material Flow'!$B$134</f>
        <v>8.2391762601487137</v>
      </c>
      <c r="Y218" s="32">
        <f>SUMPRODUCT(J203:J243,'SS Material Flow'!$B$93:$B$133)/'SS Material Flow'!$B$134</f>
        <v>12.265493399927907</v>
      </c>
      <c r="Z218" s="32">
        <f>X218+Y218+W218</f>
        <v>21.623893267004437</v>
      </c>
    </row>
    <row r="219" spans="1:26" x14ac:dyDescent="0.35">
      <c r="A219" t="str">
        <f t="shared" si="18"/>
        <v>Mixed Paper</v>
      </c>
      <c r="B219" s="32">
        <f t="array" ref="B219">(SUMPRODUCT('SS Material Flow'!$C155:$Y155,'SS Material Flow'!$C$134:$Y$134,IF('SS Material Flow'!$C$180:$Y$180&gt;0,1/'SS Material Flow'!$C$180:$Y$180,0),TRANSPOSE(J$109:J$131))+(SUM('SS Material Flow'!$B109:$D109,'SS Material Flow'!$F109:$J109,'SS Material Flow'!$L109:$X109)*Single.Stream!J$108))/'SS Material Flow'!$B109+$B$180+$B$181+J$132</f>
        <v>2.8526767124165886</v>
      </c>
      <c r="C219" s="32">
        <f t="array" ref="C219">(SUMPRODUCT('SS Material Flow'!$C155:$Y155,'SS Material Flow'!$C$134:$Y$134,IF('SS Material Flow'!$C$180:$Y$180&gt;0,1/'SS Material Flow'!$C$180:$Y$180,0),TRANSPOSE(K$109:K$131))+(SUM('SS Material Flow'!$B109:$D109,'SS Material Flow'!$F109:$J109,'SS Material Flow'!$L109:$X109)*Single.Stream!K$108))/'SS Material Flow'!$B109+K$132</f>
        <v>0.7</v>
      </c>
      <c r="D219" s="32">
        <f t="array" ref="D219">(SUMPRODUCT('SS Material Flow'!$C155:$Y155,'SS Material Flow'!$C$134:$Y$134,IF('SS Material Flow'!$C$180:$Y$180&gt;0,1/'SS Material Flow'!$C$180:$Y$180,0),TRANSPOSE(L$109:L$131))+(SUM('SS Material Flow'!$B109:$D109,'SS Material Flow'!$F109:$J109,'SS Material Flow'!$L109:$X109)*Single.Stream!L$108))/'SS Material Flow'!$B109+L$132</f>
        <v>0</v>
      </c>
      <c r="E219" s="206">
        <f t="shared" si="19"/>
        <v>0.64951066562318149</v>
      </c>
      <c r="F219" s="173">
        <f t="array" ref="F219">(SUMPRODUCT('SS Material Flow'!$C155:$Y155,'SS Material Flow'!$C$134:$Y$134,IF('SS Material Flow'!$C$180:$Y$180&gt;0,1/'SS Material Flow'!$C$180:$Y$180,0),TRANSPOSE(T$109:T$131))+(SUM('SS Material Flow'!$B109:$D109,'SS Material Flow'!$F109:$J109,'SS Material Flow'!$L109:$X109)*Single.Stream!T$108))/'SS Material Flow'!$B109+T$132</f>
        <v>3.1103478790879566</v>
      </c>
      <c r="G219" s="142">
        <f t="array" ref="G219">Common!$D$16*((SUMPRODUCT('SS Material Flow'!$C155:$Y155,'SS Material Flow'!$C$134:$Y$134,IF('SS Material Flow'!$C$180:$Y$180&gt;0,1/'SS Material Flow'!$C$180:$Y$180,0),TRANSPOSE(U$109:U$131))+(SUM('SS Material Flow'!$B109:$D109,'SS Material Flow'!$F109:$J109,'SS Material Flow'!$L109:$X109)*Single.Stream!U$108))/'SS Material Flow'!$B109+U$132)+Common!$D$17*((SUMPRODUCT('SS Material Flow'!$C155:$Y155,'SS Material Flow'!$C$134:$Y$134,IF('SS Material Flow'!$C$180:$Y$180&gt;0,1/'SS Material Flow'!$C$180:$Y$180,0),TRANSPOSE(V$109:V$131))+(SUM('SS Material Flow'!$B109:$D109,'SS Material Flow'!$F109:$J109,'SS Material Flow'!$L109:$X109)*Single.Stream!V$108))/'SS Material Flow'!$B109+V$132)</f>
        <v>1.5633333333333337</v>
      </c>
      <c r="H219" s="142">
        <f t="array" ref="H219">($D$199/$D$197*SUMPRODUCT(1/TRANSPOSE($E$2:$E$3),'SS Material Flow'!$C200:$D200)+$C$199/$C$197*SUMPRODUCT(1/TRANSPOSE($E$4:$E$8),'SS Material Flow'!$E200:$I200))/'SS Material Flow'!$B109</f>
        <v>1.3672199511367971</v>
      </c>
      <c r="I219" s="233">
        <f t="shared" si="20"/>
        <v>6.0409011635580878</v>
      </c>
      <c r="J219" s="239">
        <f>Common!$D$61</f>
        <v>12.265493399927911</v>
      </c>
      <c r="K219" s="13">
        <f t="array" ref="K219">(SUMPRODUCT($C$2:$C$9,TRANSPOSE('SS Material Flow'!B244:I244))+SUMPRODUCT(Single.Stream!$C$13:$C$18,TRANSPOSE('SS Material Flow'!J244:O244))+SUMPRODUCT(Single.Stream!$C$21:$C$23,TRANSPOSE('SS Material Flow'!P244:R244))+SUMPRODUCT(Single.Stream!$B$28:$B$29,TRANSPOSE('SS Material Flow'!S244:T244)))/'SS Material Flow'!$B109</f>
        <v>78.92</v>
      </c>
      <c r="L219" s="5">
        <f>(B$184*'SS Material Flow'!$M109+B$185*SUM('SS Material Flow'!$H200:$I200)+B$186*$E219/Common!$B$2)/('SS Material Flow'!$B109)</f>
        <v>0</v>
      </c>
      <c r="M219" s="9">
        <f>(C$184*'SS Material Flow'!$M109+C$185*SUM('SS Material Flow'!$H200:$I200)+C$186*$E219/Common!$B$2)/('SS Material Flow'!$B109)</f>
        <v>0</v>
      </c>
      <c r="N219" s="9">
        <f>(D$184*'SS Material Flow'!$M109+D$185*SUM('SS Material Flow'!$H200:$I200)+D$186*$E219/Common!$B$2)/('SS Material Flow'!$B109)</f>
        <v>0</v>
      </c>
      <c r="O219" s="9">
        <f>(E$184*'SS Material Flow'!$M109+E$185*SUM('SS Material Flow'!$H200:$I200)+E$186*$E219/Common!$B$2)/('SS Material Flow'!$B109)</f>
        <v>0</v>
      </c>
      <c r="P219" s="4">
        <f>(F$184*'SS Material Flow'!$M109+F$185*SUM('SS Material Flow'!$H200:$I200)+F$186*$E219/Common!$B$2)/('SS Material Flow'!$B109)</f>
        <v>0</v>
      </c>
      <c r="Q219" s="5">
        <f>($G$184*B$184*'SS Material Flow'!$M109+$G$185*B$185*SUM('SS Material Flow'!$H200:$I200)+$G$186*B$186*$E219/Common!$B$2)/('SS Material Flow'!$B109)</f>
        <v>0</v>
      </c>
      <c r="R219" s="4">
        <f>($G$184*C$184*'SS Material Flow'!$M109+$G$185*C$185*SUM('SS Material Flow'!$H200:$I200)+$G$186*C$186*$E219/Common!$B$2)/('SS Material Flow'!$B109)</f>
        <v>0</v>
      </c>
      <c r="V219" s="113"/>
      <c r="W219" s="113"/>
      <c r="Y219" t="s">
        <v>182</v>
      </c>
      <c r="Z219">
        <v>15.16</v>
      </c>
    </row>
    <row r="220" spans="1:26" x14ac:dyDescent="0.35">
      <c r="A220" t="str">
        <f t="shared" si="18"/>
        <v>Paper - Non-recyclable</v>
      </c>
      <c r="B220" s="32">
        <f t="array" ref="B220">(SUMPRODUCT('SS Material Flow'!$C156:$Y156,'SS Material Flow'!$C$134:$Y$134,IF('SS Material Flow'!$C$180:$Y$180&gt;0,1/'SS Material Flow'!$C$180:$Y$180,0),TRANSPOSE(J$109:J$131))+(SUM('SS Material Flow'!$B110:$D110,'SS Material Flow'!$F110:$J110,'SS Material Flow'!$L110:$X110)*Single.Stream!J$108))/'SS Material Flow'!$B110+$B$180+$B$181+J$132</f>
        <v>3.5917727575846561</v>
      </c>
      <c r="C220" s="32">
        <f t="array" ref="C220">(SUMPRODUCT('SS Material Flow'!$C156:$Y156,'SS Material Flow'!$C$134:$Y$134,IF('SS Material Flow'!$C$180:$Y$180&gt;0,1/'SS Material Flow'!$C$180:$Y$180,0),TRANSPOSE(K$109:K$131))+(SUM('SS Material Flow'!$B110:$D110,'SS Material Flow'!$F110:$J110,'SS Material Flow'!$L110:$X110)*Single.Stream!K$108))/'SS Material Flow'!$B110+K$132</f>
        <v>0.7</v>
      </c>
      <c r="D220" s="32">
        <f t="array" ref="D220">(SUMPRODUCT('SS Material Flow'!$C156:$Y156,'SS Material Flow'!$C$134:$Y$134,IF('SS Material Flow'!$C$180:$Y$180&gt;0,1/'SS Material Flow'!$C$180:$Y$180,0),TRANSPOSE(L$109:L$131))+(SUM('SS Material Flow'!$B110:$D110,'SS Material Flow'!$F110:$J110,'SS Material Flow'!$L110:$X110)*Single.Stream!L$108))/'SS Material Flow'!$B110+L$132</f>
        <v>0</v>
      </c>
      <c r="E220" s="206">
        <f t="shared" si="19"/>
        <v>0</v>
      </c>
      <c r="F220" s="173">
        <f t="array" ref="F220">(SUMPRODUCT('SS Material Flow'!$C156:$Y156,'SS Material Flow'!$C$134:$Y$134,IF('SS Material Flow'!$C$180:$Y$180&gt;0,1/'SS Material Flow'!$C$180:$Y$180,0),TRANSPOSE(T$109:T$131))+(SUM('SS Material Flow'!$B110:$D110,'SS Material Flow'!$F110:$J110,'SS Material Flow'!$L110:$X110)*Single.Stream!T$108))/'SS Material Flow'!$B110+T$132</f>
        <v>5.0047447907919604</v>
      </c>
      <c r="G220" s="142">
        <f t="array" ref="G220">Common!$D$16*((SUMPRODUCT('SS Material Flow'!$C156:$Y156,'SS Material Flow'!$C$134:$Y$134,IF('SS Material Flow'!$C$180:$Y$180&gt;0,1/'SS Material Flow'!$C$180:$Y$180,0),TRANSPOSE(U$109:U$131))+(SUM('SS Material Flow'!$B110:$D110,'SS Material Flow'!$F110:$J110,'SS Material Flow'!$L110:$X110)*Single.Stream!U$108))/'SS Material Flow'!$B110+U$132)+Common!$D$17*((SUMPRODUCT('SS Material Flow'!$C156:$Y156,'SS Material Flow'!$C$134:$Y$134,IF('SS Material Flow'!$C$180:$Y$180&gt;0,1/'SS Material Flow'!$C$180:$Y$180,0),TRANSPOSE(V$109:V$131))+(SUM('SS Material Flow'!$B110:$D110,'SS Material Flow'!$F110:$J110,'SS Material Flow'!$L110:$X110)*Single.Stream!V$108))/'SS Material Flow'!$B110+V$132)</f>
        <v>1.1764705882352944</v>
      </c>
      <c r="H220" s="142">
        <f t="array" ref="H220">($D$199/$D$197*SUMPRODUCT(1/TRANSPOSE($E$2:$E$3),'SS Material Flow'!$C201:$D201)+$C$199/$C$197*SUMPRODUCT(1/TRANSPOSE($E$4:$E$8),'SS Material Flow'!$E201:$I201))/'SS Material Flow'!$B110</f>
        <v>0</v>
      </c>
      <c r="I220" s="233">
        <f t="shared" si="20"/>
        <v>6.1812153790272548</v>
      </c>
      <c r="J220" s="239">
        <f>Common!$D$61</f>
        <v>12.265493399927911</v>
      </c>
      <c r="K220" s="13">
        <f t="array" ref="K220">(SUMPRODUCT($C$2:$C$9,TRANSPOSE('SS Material Flow'!B245:I245))+SUMPRODUCT(Single.Stream!$C$13:$C$18,TRANSPOSE('SS Material Flow'!J245:O245))+SUMPRODUCT(Single.Stream!$C$21:$C$23,TRANSPOSE('SS Material Flow'!P245:R245))+SUMPRODUCT(Single.Stream!$B$28:$B$29,TRANSPOSE('SS Material Flow'!S245:T245)))/'SS Material Flow'!$B110</f>
        <v>0</v>
      </c>
      <c r="L220" s="5">
        <f>(B$184*'SS Material Flow'!$M110+B$185*SUM('SS Material Flow'!$H201:$I201)+B$186*$E220/Common!$B$2)/('SS Material Flow'!$B110)</f>
        <v>0</v>
      </c>
      <c r="M220" s="9">
        <f>(C$184*'SS Material Flow'!$M110+C$185*SUM('SS Material Flow'!$H201:$I201)+C$186*$E220/Common!$B$2)/('SS Material Flow'!$B110)</f>
        <v>0</v>
      </c>
      <c r="N220" s="9">
        <f>(D$184*'SS Material Flow'!$M110+D$185*SUM('SS Material Flow'!$H201:$I201)+D$186*$E220/Common!$B$2)/('SS Material Flow'!$B110)</f>
        <v>0</v>
      </c>
      <c r="O220" s="9">
        <f>(E$184*'SS Material Flow'!$M110+E$185*SUM('SS Material Flow'!$H201:$I201)+E$186*$E220/Common!$B$2)/('SS Material Flow'!$B110)</f>
        <v>0</v>
      </c>
      <c r="P220" s="4">
        <f>(F$184*'SS Material Flow'!$M110+F$185*SUM('SS Material Flow'!$H201:$I201)+F$186*$E220/Common!$B$2)/('SS Material Flow'!$B110)</f>
        <v>0</v>
      </c>
      <c r="Q220" s="5">
        <f>($G$184*B$184*'SS Material Flow'!$M110+$G$185*B$185*SUM('SS Material Flow'!$H201:$I201)+$G$186*B$186*$E220/Common!$B$2)/('SS Material Flow'!$B110)</f>
        <v>0</v>
      </c>
      <c r="R220" s="4">
        <f>($G$184*C$184*'SS Material Flow'!$M110+$G$185*C$185*SUM('SS Material Flow'!$H201:$I201)+$G$186*C$186*$E220/Common!$B$2)/('SS Material Flow'!$B110)</f>
        <v>0</v>
      </c>
      <c r="V220" s="113"/>
      <c r="W220" s="113"/>
    </row>
    <row r="221" spans="1:26" x14ac:dyDescent="0.35">
      <c r="A221" t="str">
        <f t="shared" si="18"/>
        <v>HDPE - Translucent Containers</v>
      </c>
      <c r="B221" s="32">
        <f t="array" ref="B221">(SUMPRODUCT('SS Material Flow'!$C157:$Y157,'SS Material Flow'!$C$134:$Y$134,IF('SS Material Flow'!$C$180:$Y$180&gt;0,1/'SS Material Flow'!$C$180:$Y$180,0),TRANSPOSE(J$109:J$131))+(SUM('SS Material Flow'!$B111:$D111,'SS Material Flow'!$F111:$J111,'SS Material Flow'!$L111:$X111)*Single.Stream!J$108))/'SS Material Flow'!$B111+$B$180+$B$181+J$132</f>
        <v>13.278024228549562</v>
      </c>
      <c r="C221" s="32">
        <f t="array" ref="C221">(SUMPRODUCT('SS Material Flow'!$C157:$Y157,'SS Material Flow'!$C$134:$Y$134,IF('SS Material Flow'!$C$180:$Y$180&gt;0,1/'SS Material Flow'!$C$180:$Y$180,0),TRANSPOSE(K$109:K$131))+(SUM('SS Material Flow'!$B111:$D111,'SS Material Flow'!$F111:$J111,'SS Material Flow'!$L111:$X111)*Single.Stream!K$108))/'SS Material Flow'!$B111+K$132</f>
        <v>0.7</v>
      </c>
      <c r="D221" s="32">
        <f t="array" ref="D221">(SUMPRODUCT('SS Material Flow'!$C157:$Y157,'SS Material Flow'!$C$134:$Y$134,IF('SS Material Flow'!$C$180:$Y$180&gt;0,1/'SS Material Flow'!$C$180:$Y$180,0),TRANSPOSE(L$109:L$131))+(SUM('SS Material Flow'!$B111:$D111,'SS Material Flow'!$F111:$J111,'SS Material Flow'!$L111:$X111)*Single.Stream!L$108))/'SS Material Flow'!$B111+L$132</f>
        <v>0</v>
      </c>
      <c r="E221" s="206">
        <f t="shared" si="19"/>
        <v>2.7711757172180791</v>
      </c>
      <c r="F221" s="173">
        <f t="array" ref="F221">(SUMPRODUCT('SS Material Flow'!$C157:$Y157,'SS Material Flow'!$C$134:$Y$134,IF('SS Material Flow'!$C$180:$Y$180&gt;0,1/'SS Material Flow'!$C$180:$Y$180,0),TRANSPOSE(T$109:T$131))+(SUM('SS Material Flow'!$B111:$D111,'SS Material Flow'!$F111:$J111,'SS Material Flow'!$L111:$X111)*Single.Stream!T$108))/'SS Material Flow'!$B111+T$132</f>
        <v>12.441494639413625</v>
      </c>
      <c r="G221" s="142">
        <f t="array" ref="G221">Common!$D$16*((SUMPRODUCT('SS Material Flow'!$C157:$Y157,'SS Material Flow'!$C$134:$Y$134,IF('SS Material Flow'!$C$180:$Y$180&gt;0,1/'SS Material Flow'!$C$180:$Y$180,0),TRANSPOSE(U$109:U$131))+(SUM('SS Material Flow'!$B111:$D111,'SS Material Flow'!$F111:$J111,'SS Material Flow'!$L111:$X111)*Single.Stream!U$108))/'SS Material Flow'!$B111+U$132)+Common!$D$17*((SUMPRODUCT('SS Material Flow'!$C157:$Y157,'SS Material Flow'!$C$134:$Y$134,IF('SS Material Flow'!$C$180:$Y$180&gt;0,1/'SS Material Flow'!$C$180:$Y$180,0),TRANSPOSE(V$109:V$131))+(SUM('SS Material Flow'!$B111:$D111,'SS Material Flow'!$F111:$J111,'SS Material Flow'!$L111:$X111)*Single.Stream!V$108))/'SS Material Flow'!$B111+V$132)</f>
        <v>1.8288239215686277</v>
      </c>
      <c r="H221" s="142">
        <f t="array" ref="H221">($D$199/$D$197*SUMPRODUCT(1/TRANSPOSE($E$2:$E$3),'SS Material Flow'!$C202:$D202)+$C$199/$C$197*SUMPRODUCT(1/TRANSPOSE($E$4:$E$8),'SS Material Flow'!$E202:$I202))/'SS Material Flow'!$B111</f>
        <v>5.8333248847440569</v>
      </c>
      <c r="I221" s="233">
        <f t="shared" si="20"/>
        <v>20.103643445726309</v>
      </c>
      <c r="J221" s="239">
        <f>Common!$D$61</f>
        <v>12.265493399927911</v>
      </c>
      <c r="K221" s="13">
        <f t="array" ref="K221">(SUMPRODUCT($C$2:$C$9,TRANSPOSE('SS Material Flow'!B246:I246))+SUMPRODUCT(Single.Stream!$C$13:$C$18,TRANSPOSE('SS Material Flow'!J246:O246))+SUMPRODUCT(Single.Stream!$C$21:$C$23,TRANSPOSE('SS Material Flow'!P246:R246))+SUMPRODUCT(Single.Stream!$B$28:$B$29,TRANSPOSE('SS Material Flow'!S246:T246)))/'SS Material Flow'!$B111</f>
        <v>880.69200000000001</v>
      </c>
      <c r="L221" s="5">
        <f>(B$184*'SS Material Flow'!$M111+B$185*SUM('SS Material Flow'!$H202:$I202)+B$186*$E221/Common!$B$2)/('SS Material Flow'!$B111)</f>
        <v>0</v>
      </c>
      <c r="M221" s="9">
        <f>(C$184*'SS Material Flow'!$M111+C$185*SUM('SS Material Flow'!$H202:$I202)+C$186*$E221/Common!$B$2)/('SS Material Flow'!$B111)</f>
        <v>0</v>
      </c>
      <c r="N221" s="9">
        <f>(D$184*'SS Material Flow'!$M111+D$185*SUM('SS Material Flow'!$H202:$I202)+D$186*$E221/Common!$B$2)/('SS Material Flow'!$B111)</f>
        <v>0</v>
      </c>
      <c r="O221" s="9">
        <f>(E$184*'SS Material Flow'!$M111+E$185*SUM('SS Material Flow'!$H202:$I202)+E$186*$E221/Common!$B$2)/('SS Material Flow'!$B111)</f>
        <v>0</v>
      </c>
      <c r="P221" s="4">
        <f>(F$184*'SS Material Flow'!$M111+F$185*SUM('SS Material Flow'!$H202:$I202)+F$186*$E221/Common!$B$2)/('SS Material Flow'!$B111)</f>
        <v>0</v>
      </c>
      <c r="Q221" s="5">
        <f>($G$184*B$184*'SS Material Flow'!$M111+$G$185*B$185*SUM('SS Material Flow'!$H202:$I202)+$G$186*B$186*$E221/Common!$B$2)/('SS Material Flow'!$B111)</f>
        <v>0</v>
      </c>
      <c r="R221" s="4">
        <f>($G$184*C$184*'SS Material Flow'!$M111+$G$185*C$185*SUM('SS Material Flow'!$H202:$I202)+$G$186*C$186*$E221/Common!$B$2)/('SS Material Flow'!$B111)</f>
        <v>0</v>
      </c>
      <c r="V221" s="113"/>
      <c r="W221" s="113"/>
    </row>
    <row r="222" spans="1:26" x14ac:dyDescent="0.35">
      <c r="A222" t="str">
        <f t="shared" si="18"/>
        <v>HDPE - Pigmented Containers</v>
      </c>
      <c r="B222" s="32">
        <f t="array" ref="B222">(SUMPRODUCT('SS Material Flow'!$C158:$Y158,'SS Material Flow'!$C$134:$Y$134,IF('SS Material Flow'!$C$180:$Y$180&gt;0,1/'SS Material Flow'!$C$180:$Y$180,0),TRANSPOSE(J$109:J$131))+(SUM('SS Material Flow'!$B112:$D112,'SS Material Flow'!$F112:$J112,'SS Material Flow'!$L112:$X112)*Single.Stream!J$108))/'SS Material Flow'!$B112+$B$180+$B$181+J$132</f>
        <v>13.27802422854956</v>
      </c>
      <c r="C222" s="32">
        <f t="array" ref="C222">(SUMPRODUCT('SS Material Flow'!$C158:$Y158,'SS Material Flow'!$C$134:$Y$134,IF('SS Material Flow'!$C$180:$Y$180&gt;0,1/'SS Material Flow'!$C$180:$Y$180,0),TRANSPOSE(K$109:K$131))+(SUM('SS Material Flow'!$B112:$D112,'SS Material Flow'!$F112:$J112,'SS Material Flow'!$L112:$X112)*Single.Stream!K$108))/'SS Material Flow'!$B112+K$132</f>
        <v>0.7</v>
      </c>
      <c r="D222" s="32">
        <f t="array" ref="D222">(SUMPRODUCT('SS Material Flow'!$C158:$Y158,'SS Material Flow'!$C$134:$Y$134,IF('SS Material Flow'!$C$180:$Y$180&gt;0,1/'SS Material Flow'!$C$180:$Y$180,0),TRANSPOSE(L$109:L$131))+(SUM('SS Material Flow'!$B112:$D112,'SS Material Flow'!$F112:$J112,'SS Material Flow'!$L112:$X112)*Single.Stream!L$108))/'SS Material Flow'!$B112+L$132</f>
        <v>0</v>
      </c>
      <c r="E222" s="206">
        <f t="shared" si="19"/>
        <v>2.7711757172180791</v>
      </c>
      <c r="F222" s="173">
        <f t="array" ref="F222">(SUMPRODUCT('SS Material Flow'!$C158:$Y158,'SS Material Flow'!$C$134:$Y$134,IF('SS Material Flow'!$C$180:$Y$180&gt;0,1/'SS Material Flow'!$C$180:$Y$180,0),TRANSPOSE(T$109:T$131))+(SUM('SS Material Flow'!$B112:$D112,'SS Material Flow'!$F112:$J112,'SS Material Flow'!$L112:$X112)*Single.Stream!T$108))/'SS Material Flow'!$B112+T$132</f>
        <v>12.441494639413623</v>
      </c>
      <c r="G222" s="142">
        <f t="array" ref="G222">Common!$D$16*((SUMPRODUCT('SS Material Flow'!$C158:$Y158,'SS Material Flow'!$C$134:$Y$134,IF('SS Material Flow'!$C$180:$Y$180&gt;0,1/'SS Material Flow'!$C$180:$Y$180,0),TRANSPOSE(U$109:U$131))+(SUM('SS Material Flow'!$B112:$D112,'SS Material Flow'!$F112:$J112,'SS Material Flow'!$L112:$X112)*Single.Stream!U$108))/'SS Material Flow'!$B112+U$132)+Common!$D$17*((SUMPRODUCT('SS Material Flow'!$C158:$Y158,'SS Material Flow'!$C$134:$Y$134,IF('SS Material Flow'!$C$180:$Y$180&gt;0,1/'SS Material Flow'!$C$180:$Y$180,0),TRANSPOSE(V$109:V$131))+(SUM('SS Material Flow'!$B112:$D112,'SS Material Flow'!$F112:$J112,'SS Material Flow'!$L112:$X112)*Single.Stream!V$108))/'SS Material Flow'!$B112+V$132)</f>
        <v>1.8288239215686275</v>
      </c>
      <c r="H222" s="142">
        <f t="array" ref="H222">($D$199/$D$197*SUMPRODUCT(1/TRANSPOSE($E$2:$E$3),'SS Material Flow'!$C203:$D203)+$C$199/$C$197*SUMPRODUCT(1/TRANSPOSE($E$4:$E$8),'SS Material Flow'!$E203:$I203))/'SS Material Flow'!$B112</f>
        <v>5.8333248847440569</v>
      </c>
      <c r="I222" s="233">
        <f t="shared" si="20"/>
        <v>20.103643445726306</v>
      </c>
      <c r="J222" s="239">
        <f>Common!$D$61</f>
        <v>12.265493399927911</v>
      </c>
      <c r="K222" s="13">
        <f t="array" ref="K222">(SUMPRODUCT($C$2:$C$9,TRANSPOSE('SS Material Flow'!B247:I247))+SUMPRODUCT(Single.Stream!$C$13:$C$18,TRANSPOSE('SS Material Flow'!J247:O247))+SUMPRODUCT(Single.Stream!$C$21:$C$23,TRANSPOSE('SS Material Flow'!P247:R247))+SUMPRODUCT(Single.Stream!$B$28:$B$29,TRANSPOSE('SS Material Flow'!S247:T247)))/'SS Material Flow'!$B112</f>
        <v>880.69199999999989</v>
      </c>
      <c r="L222" s="5">
        <f>(B$184*'SS Material Flow'!$M112+B$185*SUM('SS Material Flow'!$H203:$I203)+B$186*$E222/Common!$B$2)/('SS Material Flow'!$B112)</f>
        <v>0</v>
      </c>
      <c r="M222" s="9">
        <f>(C$184*'SS Material Flow'!$M112+C$185*SUM('SS Material Flow'!$H203:$I203)+C$186*$E222/Common!$B$2)/('SS Material Flow'!$B112)</f>
        <v>0</v>
      </c>
      <c r="N222" s="9">
        <f>(D$184*'SS Material Flow'!$M112+D$185*SUM('SS Material Flow'!$H203:$I203)+D$186*$E222/Common!$B$2)/('SS Material Flow'!$B112)</f>
        <v>0</v>
      </c>
      <c r="O222" s="9">
        <f>(E$184*'SS Material Flow'!$M112+E$185*SUM('SS Material Flow'!$H203:$I203)+E$186*$E222/Common!$B$2)/('SS Material Flow'!$B112)</f>
        <v>0</v>
      </c>
      <c r="P222" s="4">
        <f>(F$184*'SS Material Flow'!$M112+F$185*SUM('SS Material Flow'!$H203:$I203)+F$186*$E222/Common!$B$2)/('SS Material Flow'!$B112)</f>
        <v>0</v>
      </c>
      <c r="Q222" s="5">
        <f>($G$184*B$184*'SS Material Flow'!$M112+$G$185*B$185*SUM('SS Material Flow'!$H203:$I203)+$G$186*B$186*$E222/Common!$B$2)/('SS Material Flow'!$B112)</f>
        <v>0</v>
      </c>
      <c r="R222" s="4">
        <f>($G$184*C$184*'SS Material Flow'!$M112+$G$185*C$185*SUM('SS Material Flow'!$H203:$I203)+$G$186*C$186*$E222/Common!$B$2)/('SS Material Flow'!$B112)</f>
        <v>0</v>
      </c>
    </row>
    <row r="223" spans="1:26" x14ac:dyDescent="0.35">
      <c r="A223" t="str">
        <f t="shared" si="18"/>
        <v>PET - Containers</v>
      </c>
      <c r="B223" s="32">
        <f t="array" ref="B223">(SUMPRODUCT('SS Material Flow'!$C159:$Y159,'SS Material Flow'!$C$134:$Y$134,IF('SS Material Flow'!$C$180:$Y$180&gt;0,1/'SS Material Flow'!$C$180:$Y$180,0),TRANSPOSE(J$109:J$131))+(SUM('SS Material Flow'!$B113:$D113,'SS Material Flow'!$F113:$J113,'SS Material Flow'!$L113:$X113)*Single.Stream!J$108))/'SS Material Flow'!$B113+$B$180+$B$181+J$132</f>
        <v>7.6136861741646467</v>
      </c>
      <c r="C223" s="32">
        <f t="array" ref="C223">(SUMPRODUCT('SS Material Flow'!$C159:$Y159,'SS Material Flow'!$C$134:$Y$134,IF('SS Material Flow'!$C$180:$Y$180&gt;0,1/'SS Material Flow'!$C$180:$Y$180,0),TRANSPOSE(K$109:K$131))+(SUM('SS Material Flow'!$B113:$D113,'SS Material Flow'!$F113:$J113,'SS Material Flow'!$L113:$X113)*Single.Stream!K$108))/'SS Material Flow'!$B113+K$132</f>
        <v>0.7</v>
      </c>
      <c r="D223" s="32">
        <f t="array" ref="D223">(SUMPRODUCT('SS Material Flow'!$C159:$Y159,'SS Material Flow'!$C$134:$Y$134,IF('SS Material Flow'!$C$180:$Y$180&gt;0,1/'SS Material Flow'!$C$180:$Y$180,0),TRANSPOSE(L$109:L$131))+(SUM('SS Material Flow'!$B113:$D113,'SS Material Flow'!$F113:$J113,'SS Material Flow'!$L113:$X113)*Single.Stream!L$108))/'SS Material Flow'!$B113+L$132</f>
        <v>0</v>
      </c>
      <c r="E223" s="206">
        <f t="shared" si="19"/>
        <v>2.7711757172180795</v>
      </c>
      <c r="F223" s="173">
        <f t="array" ref="F223">(SUMPRODUCT('SS Material Flow'!$C159:$Y159,'SS Material Flow'!$C$134:$Y$134,IF('SS Material Flow'!$C$180:$Y$180&gt;0,1/'SS Material Flow'!$C$180:$Y$180,0),TRANSPOSE(T$109:T$131))+(SUM('SS Material Flow'!$B113:$D113,'SS Material Flow'!$F113:$J113,'SS Material Flow'!$L113:$X113)*Single.Stream!T$108))/'SS Material Flow'!$B113+T$132</f>
        <v>8.8589546261528938</v>
      </c>
      <c r="G223" s="142">
        <f t="array" ref="G223">Common!$D$16*((SUMPRODUCT('SS Material Flow'!$C159:$Y159,'SS Material Flow'!$C$134:$Y$134,IF('SS Material Flow'!$C$180:$Y$180&gt;0,1/'SS Material Flow'!$C$180:$Y$180,0),TRANSPOSE(U$109:U$131))+(SUM('SS Material Flow'!$B113:$D113,'SS Material Flow'!$F113:$J113,'SS Material Flow'!$L113:$X113)*Single.Stream!U$108))/'SS Material Flow'!$B113+U$132)+Common!$D$17*((SUMPRODUCT('SS Material Flow'!$C159:$Y159,'SS Material Flow'!$C$134:$Y$134,IF('SS Material Flow'!$C$180:$Y$180&gt;0,1/'SS Material Flow'!$C$180:$Y$180,0),TRANSPOSE(V$109:V$131))+(SUM('SS Material Flow'!$B113:$D113,'SS Material Flow'!$F113:$J113,'SS Material Flow'!$L113:$X113)*Single.Stream!V$108))/'SS Material Flow'!$B113+V$132)</f>
        <v>1.8288239215686279</v>
      </c>
      <c r="H223" s="142">
        <f t="array" ref="H223">($D$199/$D$197*SUMPRODUCT(1/TRANSPOSE($E$2:$E$3),'SS Material Flow'!$C204:$D204)+$C$199/$C$197*SUMPRODUCT(1/TRANSPOSE($E$4:$E$8),'SS Material Flow'!$E204:$I204))/'SS Material Flow'!$B113</f>
        <v>5.8333248847440577</v>
      </c>
      <c r="I223" s="233">
        <f t="shared" si="20"/>
        <v>16.52110343246558</v>
      </c>
      <c r="J223" s="239">
        <f>Common!$D$61</f>
        <v>12.265493399927911</v>
      </c>
      <c r="K223" s="13">
        <f t="array" ref="K223">(SUMPRODUCT($C$2:$C$9,TRANSPOSE('SS Material Flow'!B248:I248))+SUMPRODUCT(Single.Stream!$C$13:$C$18,TRANSPOSE('SS Material Flow'!J248:O248))+SUMPRODUCT(Single.Stream!$C$21:$C$23,TRANSPOSE('SS Material Flow'!P248:R248))+SUMPRODUCT(Single.Stream!$B$28:$B$29,TRANSPOSE('SS Material Flow'!S248:T248)))/'SS Material Flow'!$B113</f>
        <v>391.42699999999996</v>
      </c>
      <c r="L223" s="5">
        <f>(B$184*'SS Material Flow'!$M113+B$185*SUM('SS Material Flow'!$H204:$I204)+B$186*$E223/Common!$B$2)/('SS Material Flow'!$B113)</f>
        <v>0</v>
      </c>
      <c r="M223" s="9">
        <f>(C$184*'SS Material Flow'!$M113+C$185*SUM('SS Material Flow'!$H204:$I204)+C$186*$E223/Common!$B$2)/('SS Material Flow'!$B113)</f>
        <v>0</v>
      </c>
      <c r="N223" s="9">
        <f>(D$184*'SS Material Flow'!$M113+D$185*SUM('SS Material Flow'!$H204:$I204)+D$186*$E223/Common!$B$2)/('SS Material Flow'!$B113)</f>
        <v>0</v>
      </c>
      <c r="O223" s="9">
        <f>(E$184*'SS Material Flow'!$M113+E$185*SUM('SS Material Flow'!$H204:$I204)+E$186*$E223/Common!$B$2)/('SS Material Flow'!$B113)</f>
        <v>0</v>
      </c>
      <c r="P223" s="4">
        <f>(F$184*'SS Material Flow'!$M113+F$185*SUM('SS Material Flow'!$H204:$I204)+F$186*$E223/Common!$B$2)/('SS Material Flow'!$B113)</f>
        <v>0</v>
      </c>
      <c r="Q223" s="5">
        <f>($G$184*B$184*'SS Material Flow'!$M113+$G$185*B$185*SUM('SS Material Flow'!$H204:$I204)+$G$186*B$186*$E223/Common!$B$2)/('SS Material Flow'!$B113)</f>
        <v>0</v>
      </c>
      <c r="R223" s="4">
        <f>($G$184*C$184*'SS Material Flow'!$M113+$G$185*C$185*SUM('SS Material Flow'!$H204:$I204)+$G$186*C$186*$E223/Common!$B$2)/('SS Material Flow'!$B113)</f>
        <v>0</v>
      </c>
    </row>
    <row r="224" spans="1:26" x14ac:dyDescent="0.35">
      <c r="A224" t="str">
        <f t="shared" si="18"/>
        <v>Plastic - Other # 1, Polypropylene</v>
      </c>
      <c r="B224" s="32">
        <f t="array" ref="B224">(SUMPRODUCT('SS Material Flow'!$C160:$Y160,'SS Material Flow'!$C$134:$Y$134,IF('SS Material Flow'!$C$180:$Y$180&gt;0,1/'SS Material Flow'!$C$180:$Y$180,0),TRANSPOSE(J$109:J$131))+(SUM('SS Material Flow'!$B114:$D114,'SS Material Flow'!$F114:$J114,'SS Material Flow'!$L114:$X114)*Single.Stream!J$108))/'SS Material Flow'!$B114+$B$180+$B$181+J$132</f>
        <v>3.8657276550043411</v>
      </c>
      <c r="C224" s="32">
        <f t="array" ref="C224">(SUMPRODUCT('SS Material Flow'!$C160:$Y160,'SS Material Flow'!$C$134:$Y$134,IF('SS Material Flow'!$C$180:$Y$180&gt;0,1/'SS Material Flow'!$C$180:$Y$180,0),TRANSPOSE(K$109:K$131))+(SUM('SS Material Flow'!$B114:$D114,'SS Material Flow'!$F114:$J114,'SS Material Flow'!$L114:$X114)*Single.Stream!K$108))/'SS Material Flow'!$B114+K$132</f>
        <v>0.7</v>
      </c>
      <c r="D224" s="32">
        <f t="array" ref="D224">(SUMPRODUCT('SS Material Flow'!$C160:$Y160,'SS Material Flow'!$C$134:$Y$134,IF('SS Material Flow'!$C$180:$Y$180&gt;0,1/'SS Material Flow'!$C$180:$Y$180,0),TRANSPOSE(L$109:L$131))+(SUM('SS Material Flow'!$B114:$D114,'SS Material Flow'!$F114:$J114,'SS Material Flow'!$L114:$X114)*Single.Stream!L$108))/'SS Material Flow'!$B114+L$132</f>
        <v>0</v>
      </c>
      <c r="E224" s="206">
        <f t="shared" si="19"/>
        <v>0</v>
      </c>
      <c r="F224" s="173">
        <f t="array" ref="F224">(SUMPRODUCT('SS Material Flow'!$C160:$Y160,'SS Material Flow'!$C$134:$Y$134,IF('SS Material Flow'!$C$180:$Y$180&gt;0,1/'SS Material Flow'!$C$180:$Y$180,0),TRANSPOSE(T$109:T$131))+(SUM('SS Material Flow'!$B114:$D114,'SS Material Flow'!$F114:$J114,'SS Material Flow'!$L114:$X114)*Single.Stream!T$108))/'SS Material Flow'!$B114+T$132</f>
        <v>5.1436835487278509</v>
      </c>
      <c r="G224" s="142">
        <f t="array" ref="G224">Common!$D$16*((SUMPRODUCT('SS Material Flow'!$C160:$Y160,'SS Material Flow'!$C$134:$Y$134,IF('SS Material Flow'!$C$180:$Y$180&gt;0,1/'SS Material Flow'!$C$180:$Y$180,0),TRANSPOSE(U$109:U$131))+(SUM('SS Material Flow'!$B114:$D114,'SS Material Flow'!$F114:$J114,'SS Material Flow'!$L114:$X114)*Single.Stream!U$108))/'SS Material Flow'!$B114+U$132)+Common!$D$17*((SUMPRODUCT('SS Material Flow'!$C160:$Y160,'SS Material Flow'!$C$134:$Y$134,IF('SS Material Flow'!$C$180:$Y$180&gt;0,1/'SS Material Flow'!$C$180:$Y$180,0),TRANSPOSE(V$109:V$131))+(SUM('SS Material Flow'!$B114:$D114,'SS Material Flow'!$F114:$J114,'SS Material Flow'!$L114:$X114)*Single.Stream!V$108))/'SS Material Flow'!$B114+V$132)</f>
        <v>1.1764705882352944</v>
      </c>
      <c r="H224" s="142">
        <f t="array" ref="H224">($D$199/$D$197*SUMPRODUCT(1/TRANSPOSE($E$2:$E$3),'SS Material Flow'!$C205:$D205)+$C$199/$C$197*SUMPRODUCT(1/TRANSPOSE($E$4:$E$8),'SS Material Flow'!$E205:$I205))/'SS Material Flow'!$B114</f>
        <v>0</v>
      </c>
      <c r="I224" s="233">
        <f t="shared" si="20"/>
        <v>6.3201541369631453</v>
      </c>
      <c r="J224" s="239">
        <f>Common!$D$61</f>
        <v>12.265493399927911</v>
      </c>
      <c r="K224" s="13">
        <f t="array" ref="K224">(SUMPRODUCT($C$2:$C$9,TRANSPOSE('SS Material Flow'!B249:I249))+SUMPRODUCT(Single.Stream!$C$13:$C$18,TRANSPOSE('SS Material Flow'!J249:O249))+SUMPRODUCT(Single.Stream!$C$21:$C$23,TRANSPOSE('SS Material Flow'!P249:R249))+SUMPRODUCT(Single.Stream!$B$28:$B$29,TRANSPOSE('SS Material Flow'!S249:T249)))/'SS Material Flow'!$B114</f>
        <v>1.5000000000000003E-2</v>
      </c>
      <c r="L224" s="5">
        <f>(B$184*'SS Material Flow'!$M114+B$185*SUM('SS Material Flow'!$H205:$I205)+B$186*$E224/Common!$B$2)/('SS Material Flow'!$B114)</f>
        <v>0</v>
      </c>
      <c r="M224" s="9">
        <f>(C$184*'SS Material Flow'!$M114+C$185*SUM('SS Material Flow'!$H205:$I205)+C$186*$E224/Common!$B$2)/('SS Material Flow'!$B114)</f>
        <v>0</v>
      </c>
      <c r="N224" s="9">
        <f>(D$184*'SS Material Flow'!$M114+D$185*SUM('SS Material Flow'!$H205:$I205)+D$186*$E224/Common!$B$2)/('SS Material Flow'!$B114)</f>
        <v>0</v>
      </c>
      <c r="O224" s="9">
        <f>(E$184*'SS Material Flow'!$M114+E$185*SUM('SS Material Flow'!$H205:$I205)+E$186*$E224/Common!$B$2)/('SS Material Flow'!$B114)</f>
        <v>0</v>
      </c>
      <c r="P224" s="4">
        <f>(F$184*'SS Material Flow'!$M114+F$185*SUM('SS Material Flow'!$H205:$I205)+F$186*$E224/Common!$B$2)/('SS Material Flow'!$B114)</f>
        <v>0</v>
      </c>
      <c r="Q224" s="5">
        <f>($G$184*B$184*'SS Material Flow'!$M114+$G$185*B$185*SUM('SS Material Flow'!$H205:$I205)+$G$186*B$186*$E224/Common!$B$2)/('SS Material Flow'!$B114)</f>
        <v>0</v>
      </c>
      <c r="R224" s="4">
        <f>($G$184*C$184*'SS Material Flow'!$M114+$G$185*C$185*SUM('SS Material Flow'!$H205:$I205)+$G$186*C$186*$E224/Common!$B$2)/('SS Material Flow'!$B114)</f>
        <v>0</v>
      </c>
    </row>
    <row r="225" spans="1:18" x14ac:dyDescent="0.35">
      <c r="A225" t="str">
        <f t="shared" si="18"/>
        <v>Plastic - Other # 2</v>
      </c>
      <c r="B225" s="32">
        <f t="array" ref="B225">(SUMPRODUCT('SS Material Flow'!$C161:$Y161,'SS Material Flow'!$C$134:$Y$134,IF('SS Material Flow'!$C$180:$Y$180&gt;0,1/'SS Material Flow'!$C$180:$Y$180,0),TRANSPOSE(J$109:J$131))+(SUM('SS Material Flow'!$B115:$D115,'SS Material Flow'!$F115:$J115,'SS Material Flow'!$L115:$X115)*Single.Stream!J$108))/'SS Material Flow'!$B115+$B$180+$B$181+J$132</f>
        <v>3.8657276550043411</v>
      </c>
      <c r="C225" s="32">
        <f t="array" ref="C225">(SUMPRODUCT('SS Material Flow'!$C161:$Y161,'SS Material Flow'!$C$134:$Y$134,IF('SS Material Flow'!$C$180:$Y$180&gt;0,1/'SS Material Flow'!$C$180:$Y$180,0),TRANSPOSE(K$109:K$131))+(SUM('SS Material Flow'!$B115:$D115,'SS Material Flow'!$F115:$J115,'SS Material Flow'!$L115:$X115)*Single.Stream!K$108))/'SS Material Flow'!$B115+K$132</f>
        <v>0.7</v>
      </c>
      <c r="D225" s="32">
        <f t="array" ref="D225">(SUMPRODUCT('SS Material Flow'!$C161:$Y161,'SS Material Flow'!$C$134:$Y$134,IF('SS Material Flow'!$C$180:$Y$180&gt;0,1/'SS Material Flow'!$C$180:$Y$180,0),TRANSPOSE(L$109:L$131))+(SUM('SS Material Flow'!$B115:$D115,'SS Material Flow'!$F115:$J115,'SS Material Flow'!$L115:$X115)*Single.Stream!L$108))/'SS Material Flow'!$B115+L$132</f>
        <v>0</v>
      </c>
      <c r="E225" s="206">
        <f t="shared" si="19"/>
        <v>0</v>
      </c>
      <c r="F225" s="173">
        <f t="array" ref="F225">(SUMPRODUCT('SS Material Flow'!$C161:$Y161,'SS Material Flow'!$C$134:$Y$134,IF('SS Material Flow'!$C$180:$Y$180&gt;0,1/'SS Material Flow'!$C$180:$Y$180,0),TRANSPOSE(T$109:T$131))+(SUM('SS Material Flow'!$B115:$D115,'SS Material Flow'!$F115:$J115,'SS Material Flow'!$L115:$X115)*Single.Stream!T$108))/'SS Material Flow'!$B115+T$132</f>
        <v>5.1436835487278509</v>
      </c>
      <c r="G225" s="142">
        <f t="array" ref="G225">Common!$D$16*((SUMPRODUCT('SS Material Flow'!$C161:$Y161,'SS Material Flow'!$C$134:$Y$134,IF('SS Material Flow'!$C$180:$Y$180&gt;0,1/'SS Material Flow'!$C$180:$Y$180,0),TRANSPOSE(U$109:U$131))+(SUM('SS Material Flow'!$B115:$D115,'SS Material Flow'!$F115:$J115,'SS Material Flow'!$L115:$X115)*Single.Stream!U$108))/'SS Material Flow'!$B115+U$132)+Common!$D$17*((SUMPRODUCT('SS Material Flow'!$C161:$Y161,'SS Material Flow'!$C$134:$Y$134,IF('SS Material Flow'!$C$180:$Y$180&gt;0,1/'SS Material Flow'!$C$180:$Y$180,0),TRANSPOSE(V$109:V$131))+(SUM('SS Material Flow'!$B115:$D115,'SS Material Flow'!$F115:$J115,'SS Material Flow'!$L115:$X115)*Single.Stream!V$108))/'SS Material Flow'!$B115+V$132)</f>
        <v>1.1764705882352944</v>
      </c>
      <c r="H225" s="142">
        <f t="array" ref="H225">($D$199/$D$197*SUMPRODUCT(1/TRANSPOSE($E$2:$E$3),'SS Material Flow'!$C206:$D206)+$C$199/$C$197*SUMPRODUCT(1/TRANSPOSE($E$4:$E$8),'SS Material Flow'!$E206:$I206))/'SS Material Flow'!$B115</f>
        <v>0</v>
      </c>
      <c r="I225" s="233">
        <f t="shared" si="20"/>
        <v>6.3201541369631453</v>
      </c>
      <c r="J225" s="239">
        <f>Common!$D$61</f>
        <v>12.265493399927911</v>
      </c>
      <c r="K225" s="13">
        <f t="array" ref="K225">(SUMPRODUCT($C$2:$C$9,TRANSPOSE('SS Material Flow'!B250:I250))+SUMPRODUCT(Single.Stream!$C$13:$C$18,TRANSPOSE('SS Material Flow'!J250:O250))+SUMPRODUCT(Single.Stream!$C$21:$C$23,TRANSPOSE('SS Material Flow'!P250:R250))+SUMPRODUCT(Single.Stream!$B$28:$B$29,TRANSPOSE('SS Material Flow'!S250:T250)))/'SS Material Flow'!$B115</f>
        <v>1.5000000000000003E-2</v>
      </c>
      <c r="L225" s="5">
        <f>(B$184*'SS Material Flow'!$M115+B$185*SUM('SS Material Flow'!$H206:$I206)+B$186*$E225/Common!$B$2)/('SS Material Flow'!$B115)</f>
        <v>0</v>
      </c>
      <c r="M225" s="9">
        <f>(C$184*'SS Material Flow'!$M115+C$185*SUM('SS Material Flow'!$H206:$I206)+C$186*$E225/Common!$B$2)/('SS Material Flow'!$B115)</f>
        <v>0</v>
      </c>
      <c r="N225" s="9">
        <f>(D$184*'SS Material Flow'!$M115+D$185*SUM('SS Material Flow'!$H206:$I206)+D$186*$E225/Common!$B$2)/('SS Material Flow'!$B115)</f>
        <v>0</v>
      </c>
      <c r="O225" s="9">
        <f>(E$184*'SS Material Flow'!$M115+E$185*SUM('SS Material Flow'!$H206:$I206)+E$186*$E225/Common!$B$2)/('SS Material Flow'!$B115)</f>
        <v>0</v>
      </c>
      <c r="P225" s="4">
        <f>(F$184*'SS Material Flow'!$M115+F$185*SUM('SS Material Flow'!$H206:$I206)+F$186*$E225/Common!$B$2)/('SS Material Flow'!$B115)</f>
        <v>0</v>
      </c>
      <c r="Q225" s="5">
        <f>($G$184*B$184*'SS Material Flow'!$M115+$G$185*B$185*SUM('SS Material Flow'!$H206:$I206)+$G$186*B$186*$E225/Common!$B$2)/('SS Material Flow'!$B115)</f>
        <v>0</v>
      </c>
      <c r="R225" s="4">
        <f>($G$184*C$184*'SS Material Flow'!$M115+$G$185*C$185*SUM('SS Material Flow'!$H206:$I206)+$G$186*C$186*$E225/Common!$B$2)/('SS Material Flow'!$B115)</f>
        <v>0</v>
      </c>
    </row>
    <row r="226" spans="1:18" x14ac:dyDescent="0.35">
      <c r="A226" t="str">
        <f t="shared" si="18"/>
        <v>Mixed Plastic</v>
      </c>
      <c r="B226" s="32">
        <f t="array" ref="B226">(SUMPRODUCT('SS Material Flow'!$C162:$Y162,'SS Material Flow'!$C$134:$Y$134,IF('SS Material Flow'!$C$180:$Y$180&gt;0,1/'SS Material Flow'!$C$180:$Y$180,0),TRANSPOSE(J$109:J$131))+(SUM('SS Material Flow'!$B116:$D116,'SS Material Flow'!$F116:$J116,'SS Material Flow'!$L116:$X116)*Single.Stream!J$108))/'SS Material Flow'!$B116+$B$180+$B$181+J$132</f>
        <v>3.8657276550043411</v>
      </c>
      <c r="C226" s="32">
        <f t="array" ref="C226">(SUMPRODUCT('SS Material Flow'!$C162:$Y162,'SS Material Flow'!$C$134:$Y$134,IF('SS Material Flow'!$C$180:$Y$180&gt;0,1/'SS Material Flow'!$C$180:$Y$180,0),TRANSPOSE(K$109:K$131))+(SUM('SS Material Flow'!$B116:$D116,'SS Material Flow'!$F116:$J116,'SS Material Flow'!$L116:$X116)*Single.Stream!K$108))/'SS Material Flow'!$B116+K$132</f>
        <v>0.7</v>
      </c>
      <c r="D226" s="32">
        <f t="array" ref="D226">(SUMPRODUCT('SS Material Flow'!$C162:$Y162,'SS Material Flow'!$C$134:$Y$134,IF('SS Material Flow'!$C$180:$Y$180&gt;0,1/'SS Material Flow'!$C$180:$Y$180,0),TRANSPOSE(L$109:L$131))+(SUM('SS Material Flow'!$B116:$D116,'SS Material Flow'!$F116:$J116,'SS Material Flow'!$L116:$X116)*Single.Stream!L$108))/'SS Material Flow'!$B116+L$132</f>
        <v>0</v>
      </c>
      <c r="E226" s="206">
        <f t="shared" si="19"/>
        <v>0</v>
      </c>
      <c r="F226" s="173">
        <f t="array" ref="F226">(SUMPRODUCT('SS Material Flow'!$C162:$Y162,'SS Material Flow'!$C$134:$Y$134,IF('SS Material Flow'!$C$180:$Y$180&gt;0,1/'SS Material Flow'!$C$180:$Y$180,0),TRANSPOSE(T$109:T$131))+(SUM('SS Material Flow'!$B116:$D116,'SS Material Flow'!$F116:$J116,'SS Material Flow'!$L116:$X116)*Single.Stream!T$108))/'SS Material Flow'!$B116+T$132</f>
        <v>5.1436835487278509</v>
      </c>
      <c r="G226" s="142">
        <f t="array" ref="G226">Common!$D$16*((SUMPRODUCT('SS Material Flow'!$C162:$Y162,'SS Material Flow'!$C$134:$Y$134,IF('SS Material Flow'!$C$180:$Y$180&gt;0,1/'SS Material Flow'!$C$180:$Y$180,0),TRANSPOSE(U$109:U$131))+(SUM('SS Material Flow'!$B116:$D116,'SS Material Flow'!$F116:$J116,'SS Material Flow'!$L116:$X116)*Single.Stream!U$108))/'SS Material Flow'!$B116+U$132)+Common!$D$17*((SUMPRODUCT('SS Material Flow'!$C162:$Y162,'SS Material Flow'!$C$134:$Y$134,IF('SS Material Flow'!$C$180:$Y$180&gt;0,1/'SS Material Flow'!$C$180:$Y$180,0),TRANSPOSE(V$109:V$131))+(SUM('SS Material Flow'!$B116:$D116,'SS Material Flow'!$F116:$J116,'SS Material Flow'!$L116:$X116)*Single.Stream!V$108))/'SS Material Flow'!$B116+V$132)</f>
        <v>1.1764705882352944</v>
      </c>
      <c r="H226" s="142">
        <f t="array" ref="H226">($D$199/$D$197*SUMPRODUCT(1/TRANSPOSE($E$2:$E$3),'SS Material Flow'!$C207:$D207)+$C$199/$C$197*SUMPRODUCT(1/TRANSPOSE($E$4:$E$8),'SS Material Flow'!$E207:$I207))/'SS Material Flow'!$B116</f>
        <v>0</v>
      </c>
      <c r="I226" s="233">
        <f t="shared" si="20"/>
        <v>6.3201541369631453</v>
      </c>
      <c r="J226" s="239">
        <f>Common!$D$61</f>
        <v>12.265493399927911</v>
      </c>
      <c r="K226" s="13">
        <f t="array" ref="K226">(SUMPRODUCT($C$2:$C$9,TRANSPOSE('SS Material Flow'!B251:I251))+SUMPRODUCT(Single.Stream!$C$13:$C$18,TRANSPOSE('SS Material Flow'!J251:O251))+SUMPRODUCT(Single.Stream!$C$21:$C$23,TRANSPOSE('SS Material Flow'!P251:R251))+SUMPRODUCT(Single.Stream!$B$28:$B$29,TRANSPOSE('SS Material Flow'!S251:T251)))/'SS Material Flow'!$B116</f>
        <v>1.5000000000000003E-2</v>
      </c>
      <c r="L226" s="5">
        <f>(B$184*'SS Material Flow'!$M116+B$185*SUM('SS Material Flow'!$H207:$I207)+B$186*$E226/Common!$B$2)/('SS Material Flow'!$B116)</f>
        <v>0</v>
      </c>
      <c r="M226" s="9">
        <f>(C$184*'SS Material Flow'!$M116+C$185*SUM('SS Material Flow'!$H207:$I207)+C$186*$E226/Common!$B$2)/('SS Material Flow'!$B116)</f>
        <v>0</v>
      </c>
      <c r="N226" s="9">
        <f>(D$184*'SS Material Flow'!$M116+D$185*SUM('SS Material Flow'!$H207:$I207)+D$186*$E226/Common!$B$2)/('SS Material Flow'!$B116)</f>
        <v>0</v>
      </c>
      <c r="O226" s="9">
        <f>(E$184*'SS Material Flow'!$M116+E$185*SUM('SS Material Flow'!$H207:$I207)+E$186*$E226/Common!$B$2)/('SS Material Flow'!$B116)</f>
        <v>0</v>
      </c>
      <c r="P226" s="4">
        <f>(F$184*'SS Material Flow'!$M116+F$185*SUM('SS Material Flow'!$H207:$I207)+F$186*$E226/Common!$B$2)/('SS Material Flow'!$B116)</f>
        <v>0</v>
      </c>
      <c r="Q226" s="5">
        <f>($G$184*B$184*'SS Material Flow'!$M116+$G$185*B$185*SUM('SS Material Flow'!$H207:$I207)+$G$186*B$186*$E226/Common!$B$2)/('SS Material Flow'!$B116)</f>
        <v>0</v>
      </c>
      <c r="R226" s="4">
        <f>($G$184*C$184*'SS Material Flow'!$M116+$G$185*C$185*SUM('SS Material Flow'!$H207:$I207)+$G$186*C$186*$E226/Common!$B$2)/('SS Material Flow'!$B116)</f>
        <v>0</v>
      </c>
    </row>
    <row r="227" spans="1:18" x14ac:dyDescent="0.35">
      <c r="A227" t="str">
        <f t="shared" si="18"/>
        <v>Plastic Film</v>
      </c>
      <c r="B227" s="32">
        <f t="array" ref="B227">(SUMPRODUCT('SS Material Flow'!$C163:$Y163,'SS Material Flow'!$C$134:$Y$134,IF('SS Material Flow'!$C$180:$Y$180&gt;0,1/'SS Material Flow'!$C$180:$Y$180,0),TRANSPOSE(J$109:J$131))+(SUM('SS Material Flow'!$B117:$D117,'SS Material Flow'!$F117:$J117,'SS Material Flow'!$L117:$X117)*Single.Stream!J$108))/'SS Material Flow'!$B117+$B$180+$B$181+J$132</f>
        <v>2.9569559508619667</v>
      </c>
      <c r="C227" s="32">
        <f t="array" ref="C227">(SUMPRODUCT('SS Material Flow'!$C163:$Y163,'SS Material Flow'!$C$134:$Y$134,IF('SS Material Flow'!$C$180:$Y$180&gt;0,1/'SS Material Flow'!$C$180:$Y$180,0),TRANSPOSE(K$109:K$131))+(SUM('SS Material Flow'!$B117:$D117,'SS Material Flow'!$F117:$J117,'SS Material Flow'!$L117:$X117)*Single.Stream!K$108))/'SS Material Flow'!$B117+K$132</f>
        <v>0.7</v>
      </c>
      <c r="D227" s="32">
        <f t="array" ref="D227">(SUMPRODUCT('SS Material Flow'!$C163:$Y163,'SS Material Flow'!$C$134:$Y$134,IF('SS Material Flow'!$C$180:$Y$180&gt;0,1/'SS Material Flow'!$C$180:$Y$180,0),TRANSPOSE(L$109:L$131))+(SUM('SS Material Flow'!$B117:$D117,'SS Material Flow'!$F117:$J117,'SS Material Flow'!$L117:$X117)*Single.Stream!L$108))/'SS Material Flow'!$B117+L$132</f>
        <v>0</v>
      </c>
      <c r="E227" s="206">
        <f t="shared" si="19"/>
        <v>2.5487804620157499</v>
      </c>
      <c r="F227" s="173">
        <f t="array" ref="F227">(SUMPRODUCT('SS Material Flow'!$C163:$Y163,'SS Material Flow'!$C$134:$Y$134,IF('SS Material Flow'!$C$180:$Y$180&gt;0,1/'SS Material Flow'!$C$180:$Y$180,0),TRANSPOSE(T$109:T$131))+(SUM('SS Material Flow'!$B117:$D117,'SS Material Flow'!$F117:$J117,'SS Material Flow'!$L117:$X117)*Single.Stream!T$108))/'SS Material Flow'!$B117+T$132</f>
        <v>2.6097977620231432</v>
      </c>
      <c r="G227" s="142">
        <f t="array" ref="G227">Common!$D$16*((SUMPRODUCT('SS Material Flow'!$C163:$Y163,'SS Material Flow'!$C$134:$Y$134,IF('SS Material Flow'!$C$180:$Y$180&gt;0,1/'SS Material Flow'!$C$180:$Y$180,0),TRANSPOSE(U$109:U$131))+(SUM('SS Material Flow'!$B117:$D117,'SS Material Flow'!$F117:$J117,'SS Material Flow'!$L117:$X117)*Single.Stream!U$108))/'SS Material Flow'!$B117+U$132)+Common!$D$17*((SUMPRODUCT('SS Material Flow'!$C163:$Y163,'SS Material Flow'!$C$134:$Y$134,IF('SS Material Flow'!$C$180:$Y$180&gt;0,1/'SS Material Flow'!$C$180:$Y$180,0),TRANSPOSE(V$109:V$131))+(SUM('SS Material Flow'!$B117:$D117,'SS Material Flow'!$F117:$J117,'SS Material Flow'!$L117:$X117)*Single.Stream!V$108))/'SS Material Flow'!$B117+V$132)</f>
        <v>6.0117647058823538</v>
      </c>
      <c r="H227" s="142">
        <f t="array" ref="H227">($D$199/$D$197*SUMPRODUCT(1/TRANSPOSE($E$2:$E$3),'SS Material Flow'!$C208:$D208)+$C$199/$C$197*SUMPRODUCT(1/TRANSPOSE($E$4:$E$8),'SS Material Flow'!$E208:$I208))/'SS Material Flow'!$B117</f>
        <v>5.3651828725431532</v>
      </c>
      <c r="I227" s="233">
        <f t="shared" si="20"/>
        <v>13.98674534044865</v>
      </c>
      <c r="J227" s="239">
        <f>Common!$D$61</f>
        <v>12.265493399927911</v>
      </c>
      <c r="K227" s="13">
        <f t="array" ref="K227">(SUMPRODUCT($C$2:$C$9,TRANSPOSE('SS Material Flow'!B252:I252))+SUMPRODUCT(Single.Stream!$C$13:$C$18,TRANSPOSE('SS Material Flow'!J252:O252))+SUMPRODUCT(Single.Stream!$C$21:$C$23,TRANSPOSE('SS Material Flow'!P252:R252))+SUMPRODUCT(Single.Stream!$B$28:$B$29,TRANSPOSE('SS Material Flow'!S252:T252)))/'SS Material Flow'!$B117</f>
        <v>585</v>
      </c>
      <c r="L227" s="5">
        <f>(B$184*'SS Material Flow'!$M117+B$185*SUM('SS Material Flow'!$H208:$I208)+B$186*$E227/Common!$B$2)/('SS Material Flow'!$B117)</f>
        <v>0</v>
      </c>
      <c r="M227" s="9">
        <f>(C$184*'SS Material Flow'!$M117+C$185*SUM('SS Material Flow'!$H208:$I208)+C$186*$E227/Common!$B$2)/('SS Material Flow'!$B117)</f>
        <v>0</v>
      </c>
      <c r="N227" s="9">
        <f>(D$184*'SS Material Flow'!$M117+D$185*SUM('SS Material Flow'!$H208:$I208)+D$186*$E227/Common!$B$2)/('SS Material Flow'!$B117)</f>
        <v>0</v>
      </c>
      <c r="O227" s="9">
        <f>(E$184*'SS Material Flow'!$M117+E$185*SUM('SS Material Flow'!$H208:$I208)+E$186*$E227/Common!$B$2)/('SS Material Flow'!$B117)</f>
        <v>0</v>
      </c>
      <c r="P227" s="4">
        <f>(F$184*'SS Material Flow'!$M117+F$185*SUM('SS Material Flow'!$H208:$I208)+F$186*$E227/Common!$B$2)/('SS Material Flow'!$B117)</f>
        <v>0</v>
      </c>
      <c r="Q227" s="5">
        <f>($G$184*B$184*'SS Material Flow'!$M117+$G$185*B$185*SUM('SS Material Flow'!$H208:$I208)+$G$186*B$186*$E227/Common!$B$2)/('SS Material Flow'!$B117)</f>
        <v>0</v>
      </c>
      <c r="R227" s="4">
        <f>($G$184*C$184*'SS Material Flow'!$M117+$G$185*C$185*SUM('SS Material Flow'!$H208:$I208)+$G$186*C$186*$E227/Common!$B$2)/('SS Material Flow'!$B117)</f>
        <v>0</v>
      </c>
    </row>
    <row r="228" spans="1:18" x14ac:dyDescent="0.35">
      <c r="A228" t="str">
        <f t="shared" si="18"/>
        <v xml:space="preserve">Plastic - Non-Recyclable </v>
      </c>
      <c r="B228" s="32">
        <f t="array" ref="B228">(SUMPRODUCT('SS Material Flow'!$C164:$Y164,'SS Material Flow'!$C$134:$Y$134,IF('SS Material Flow'!$C$180:$Y$180&gt;0,1/'SS Material Flow'!$C$180:$Y$180,0),TRANSPOSE(J$109:J$131))+(SUM('SS Material Flow'!$B118:$D118,'SS Material Flow'!$F118:$J118,'SS Material Flow'!$L118:$X118)*Single.Stream!J$108))/'SS Material Flow'!$B118+$B$180+$B$181+J$132</f>
        <v>3.5917727575846561</v>
      </c>
      <c r="C228" s="32">
        <f t="array" ref="C228">(SUMPRODUCT('SS Material Flow'!$C164:$Y164,'SS Material Flow'!$C$134:$Y$134,IF('SS Material Flow'!$C$180:$Y$180&gt;0,1/'SS Material Flow'!$C$180:$Y$180,0),TRANSPOSE(K$109:K$131))+(SUM('SS Material Flow'!$B118:$D118,'SS Material Flow'!$F118:$J118,'SS Material Flow'!$L118:$X118)*Single.Stream!K$108))/'SS Material Flow'!$B118+K$132</f>
        <v>0.7</v>
      </c>
      <c r="D228" s="32">
        <f t="array" ref="D228">(SUMPRODUCT('SS Material Flow'!$C164:$Y164,'SS Material Flow'!$C$134:$Y$134,IF('SS Material Flow'!$C$180:$Y$180&gt;0,1/'SS Material Flow'!$C$180:$Y$180,0),TRANSPOSE(L$109:L$131))+(SUM('SS Material Flow'!$B118:$D118,'SS Material Flow'!$F118:$J118,'SS Material Flow'!$L118:$X118)*Single.Stream!L$108))/'SS Material Flow'!$B118+L$132</f>
        <v>0</v>
      </c>
      <c r="E228" s="206">
        <f t="shared" si="19"/>
        <v>0</v>
      </c>
      <c r="F228" s="173">
        <f t="array" ref="F228">(SUMPRODUCT('SS Material Flow'!$C164:$Y164,'SS Material Flow'!$C$134:$Y$134,IF('SS Material Flow'!$C$180:$Y$180&gt;0,1/'SS Material Flow'!$C$180:$Y$180,0),TRANSPOSE(T$109:T$131))+(SUM('SS Material Flow'!$B118:$D118,'SS Material Flow'!$F118:$J118,'SS Material Flow'!$L118:$X118)*Single.Stream!T$108))/'SS Material Flow'!$B118+T$132</f>
        <v>5.0047447907919604</v>
      </c>
      <c r="G228" s="142">
        <f t="array" ref="G228">Common!$D$16*((SUMPRODUCT('SS Material Flow'!$C164:$Y164,'SS Material Flow'!$C$134:$Y$134,IF('SS Material Flow'!$C$180:$Y$180&gt;0,1/'SS Material Flow'!$C$180:$Y$180,0),TRANSPOSE(U$109:U$131))+(SUM('SS Material Flow'!$B118:$D118,'SS Material Flow'!$F118:$J118,'SS Material Flow'!$L118:$X118)*Single.Stream!U$108))/'SS Material Flow'!$B118+U$132)+Common!$D$17*((SUMPRODUCT('SS Material Flow'!$C164:$Y164,'SS Material Flow'!$C$134:$Y$134,IF('SS Material Flow'!$C$180:$Y$180&gt;0,1/'SS Material Flow'!$C$180:$Y$180,0),TRANSPOSE(V$109:V$131))+(SUM('SS Material Flow'!$B118:$D118,'SS Material Flow'!$F118:$J118,'SS Material Flow'!$L118:$X118)*Single.Stream!V$108))/'SS Material Flow'!$B118+V$132)</f>
        <v>1.1764705882352944</v>
      </c>
      <c r="H228" s="142">
        <f t="array" ref="H228">($D$199/$D$197*SUMPRODUCT(1/TRANSPOSE($E$2:$E$3),'SS Material Flow'!$C209:$D209)+$C$199/$C$197*SUMPRODUCT(1/TRANSPOSE($E$4:$E$8),'SS Material Flow'!$E209:$I209))/'SS Material Flow'!$B118</f>
        <v>0</v>
      </c>
      <c r="I228" s="233">
        <f t="shared" si="20"/>
        <v>6.1812153790272548</v>
      </c>
      <c r="J228" s="239">
        <f>Common!$D$61</f>
        <v>12.265493399927911</v>
      </c>
      <c r="K228" s="13">
        <f t="array" ref="K228">(SUMPRODUCT($C$2:$C$9,TRANSPOSE('SS Material Flow'!B253:I253))+SUMPRODUCT(Single.Stream!$C$13:$C$18,TRANSPOSE('SS Material Flow'!J253:O253))+SUMPRODUCT(Single.Stream!$C$21:$C$23,TRANSPOSE('SS Material Flow'!P253:R253))+SUMPRODUCT(Single.Stream!$B$28:$B$29,TRANSPOSE('SS Material Flow'!S253:T253)))/'SS Material Flow'!$B118</f>
        <v>0</v>
      </c>
      <c r="L228" s="5">
        <f>(B$184*'SS Material Flow'!$M118+B$185*SUM('SS Material Flow'!$H209:$I209)+B$186*$E228/Common!$B$2)/('SS Material Flow'!$B118)</f>
        <v>0</v>
      </c>
      <c r="M228" s="9">
        <f>(C$184*'SS Material Flow'!$M118+C$185*SUM('SS Material Flow'!$H209:$I209)+C$186*$E228/Common!$B$2)/('SS Material Flow'!$B118)</f>
        <v>0</v>
      </c>
      <c r="N228" s="9">
        <f>(D$184*'SS Material Flow'!$M118+D$185*SUM('SS Material Flow'!$H209:$I209)+D$186*$E228/Common!$B$2)/('SS Material Flow'!$B118)</f>
        <v>0</v>
      </c>
      <c r="O228" s="9">
        <f>(E$184*'SS Material Flow'!$M118+E$185*SUM('SS Material Flow'!$H209:$I209)+E$186*$E228/Common!$B$2)/('SS Material Flow'!$B118)</f>
        <v>0</v>
      </c>
      <c r="P228" s="4">
        <f>(F$184*'SS Material Flow'!$M118+F$185*SUM('SS Material Flow'!$H209:$I209)+F$186*$E228/Common!$B$2)/('SS Material Flow'!$B118)</f>
        <v>0</v>
      </c>
      <c r="Q228" s="5">
        <f>($G$184*B$184*'SS Material Flow'!$M118+$G$185*B$185*SUM('SS Material Flow'!$H209:$I209)+$G$186*B$186*$E228/Common!$B$2)/('SS Material Flow'!$B118)</f>
        <v>0</v>
      </c>
      <c r="R228" s="4">
        <f>($G$184*C$184*'SS Material Flow'!$M118+$G$185*C$185*SUM('SS Material Flow'!$H209:$I209)+$G$186*C$186*$E228/Common!$B$2)/('SS Material Flow'!$B118)</f>
        <v>0</v>
      </c>
    </row>
    <row r="229" spans="1:18" x14ac:dyDescent="0.35">
      <c r="A229" t="str">
        <f t="shared" si="18"/>
        <v>Ferrous Cans</v>
      </c>
      <c r="B229" s="32">
        <f t="array" ref="B229">(SUMPRODUCT('SS Material Flow'!$C165:$Y165,'SS Material Flow'!$C$134:$Y$134,IF('SS Material Flow'!$C$180:$Y$180&gt;0,1/'SS Material Flow'!$C$180:$Y$180,0),TRANSPOSE(J$109:J$131))+(SUM('SS Material Flow'!$B119:$D119,'SS Material Flow'!$F119:$J119,'SS Material Flow'!$L119:$X119)*Single.Stream!J$108))/'SS Material Flow'!$B119+$B$180+$B$181+J$132</f>
        <v>7.0431052441695261</v>
      </c>
      <c r="C229" s="32">
        <f t="array" ref="C229">(SUMPRODUCT('SS Material Flow'!$C165:$Y165,'SS Material Flow'!$C$134:$Y$134,IF('SS Material Flow'!$C$180:$Y$180&gt;0,1/'SS Material Flow'!$C$180:$Y$180,0),TRANSPOSE(K$109:K$131))+(SUM('SS Material Flow'!$B119:$D119,'SS Material Flow'!$F119:$J119,'SS Material Flow'!$L119:$X119)*Single.Stream!K$108))/'SS Material Flow'!$B119+K$132</f>
        <v>0.7</v>
      </c>
      <c r="D229" s="32">
        <f t="array" ref="D229">(SUMPRODUCT('SS Material Flow'!$C165:$Y165,'SS Material Flow'!$C$134:$Y$134,IF('SS Material Flow'!$C$180:$Y$180&gt;0,1/'SS Material Flow'!$C$180:$Y$180,0),TRANSPOSE(L$109:L$131))+(SUM('SS Material Flow'!$B119:$D119,'SS Material Flow'!$F119:$J119,'SS Material Flow'!$L119:$X119)*Single.Stream!L$108))/'SS Material Flow'!$B119+L$132</f>
        <v>0</v>
      </c>
      <c r="E229" s="206">
        <f t="shared" si="19"/>
        <v>1.7599708989745613</v>
      </c>
      <c r="F229" s="173">
        <f t="array" ref="F229">(SUMPRODUCT('SS Material Flow'!$C165:$Y165,'SS Material Flow'!$C$134:$Y$134,IF('SS Material Flow'!$C$180:$Y$180&gt;0,1/'SS Material Flow'!$C$180:$Y$180,0),TRANSPOSE(T$109:T$131))+(SUM('SS Material Flow'!$B119:$D119,'SS Material Flow'!$F119:$J119,'SS Material Flow'!$L119:$X119)*Single.Stream!T$108))/'SS Material Flow'!$B119+T$132</f>
        <v>19.7822893183072</v>
      </c>
      <c r="G229" s="142">
        <f t="array" ref="G229">Common!$D$16*((SUMPRODUCT('SS Material Flow'!$C165:$Y165,'SS Material Flow'!$C$134:$Y$134,IF('SS Material Flow'!$C$180:$Y$180&gt;0,1/'SS Material Flow'!$C$180:$Y$180,0),TRANSPOSE(U$109:U$131))+(SUM('SS Material Flow'!$B119:$D119,'SS Material Flow'!$F119:$J119,'SS Material Flow'!$L119:$X119)*Single.Stream!U$108))/'SS Material Flow'!$B119+U$132)+Common!$D$17*((SUMPRODUCT('SS Material Flow'!$C165:$Y165,'SS Material Flow'!$C$134:$Y$134,IF('SS Material Flow'!$C$180:$Y$180&gt;0,1/'SS Material Flow'!$C$180:$Y$180,0),TRANSPOSE(V$109:V$131))+(SUM('SS Material Flow'!$B119:$D119,'SS Material Flow'!$F119:$J119,'SS Material Flow'!$L119:$X119)*Single.Stream!V$108))/'SS Material Flow'!$B119+V$132)</f>
        <v>1.8298039215686277</v>
      </c>
      <c r="H229" s="142">
        <f t="array" ref="H229">($D$199/$D$197*SUMPRODUCT(1/TRANSPOSE($E$2:$E$3),'SS Material Flow'!$C210:$D210)+$C$199/$C$197*SUMPRODUCT(1/TRANSPOSE($E$4:$E$8),'SS Material Flow'!$E210:$I210))/'SS Material Flow'!$B119</f>
        <v>3.7047387423414513</v>
      </c>
      <c r="I229" s="233">
        <f t="shared" si="20"/>
        <v>25.316831982217277</v>
      </c>
      <c r="J229" s="239">
        <f>Common!$D$61</f>
        <v>12.265493399927911</v>
      </c>
      <c r="K229" s="13">
        <f t="array" ref="K229">(SUMPRODUCT($C$2:$C$9,TRANSPOSE('SS Material Flow'!B254:I254))+SUMPRODUCT(Single.Stream!$C$13:$C$18,TRANSPOSE('SS Material Flow'!J254:O254))+SUMPRODUCT(Single.Stream!$C$21:$C$23,TRANSPOSE('SS Material Flow'!P254:R254))+SUMPRODUCT(Single.Stream!$B$28:$B$29,TRANSPOSE('SS Material Flow'!S254:T254)))/'SS Material Flow'!$B119</f>
        <v>196</v>
      </c>
      <c r="L229" s="5">
        <f>(B$184*'SS Material Flow'!$M119+B$185*SUM('SS Material Flow'!$H210:$I210)+B$186*$E229/Common!$B$2)/('SS Material Flow'!$B119)</f>
        <v>0</v>
      </c>
      <c r="M229" s="9">
        <f>(C$184*'SS Material Flow'!$M119+C$185*SUM('SS Material Flow'!$H210:$I210)+C$186*$E229/Common!$B$2)/('SS Material Flow'!$B119)</f>
        <v>0</v>
      </c>
      <c r="N229" s="9">
        <f>(D$184*'SS Material Flow'!$M119+D$185*SUM('SS Material Flow'!$H210:$I210)+D$186*$E229/Common!$B$2)/('SS Material Flow'!$B119)</f>
        <v>0</v>
      </c>
      <c r="O229" s="9">
        <f>(E$184*'SS Material Flow'!$M119+E$185*SUM('SS Material Flow'!$H210:$I210)+E$186*$E229/Common!$B$2)/('SS Material Flow'!$B119)</f>
        <v>0</v>
      </c>
      <c r="P229" s="4">
        <f>(F$184*'SS Material Flow'!$M119+F$185*SUM('SS Material Flow'!$H210:$I210)+F$186*$E229/Common!$B$2)/('SS Material Flow'!$B119)</f>
        <v>0</v>
      </c>
      <c r="Q229" s="5">
        <f>($G$184*B$184*'SS Material Flow'!$M119+$G$185*B$185*SUM('SS Material Flow'!$H210:$I210)+$G$186*B$186*$E229/Common!$B$2)/('SS Material Flow'!$B119)</f>
        <v>0</v>
      </c>
      <c r="R229" s="4">
        <f>($G$184*C$184*'SS Material Flow'!$M119+$G$185*C$185*SUM('SS Material Flow'!$H210:$I210)+$G$186*C$186*$E229/Common!$B$2)/('SS Material Flow'!$B119)</f>
        <v>0</v>
      </c>
    </row>
    <row r="230" spans="1:18" x14ac:dyDescent="0.35">
      <c r="A230" t="str">
        <f t="shared" si="18"/>
        <v>Ferrous Metal - Other</v>
      </c>
      <c r="B230" s="32">
        <f t="array" ref="B230">(SUMPRODUCT('SS Material Flow'!$C166:$Y166,'SS Material Flow'!$C$134:$Y$134,IF('SS Material Flow'!$C$180:$Y$180&gt;0,1/'SS Material Flow'!$C$180:$Y$180,0),TRANSPOSE(J$109:J$131))+(SUM('SS Material Flow'!$B120:$D120,'SS Material Flow'!$F120:$J120,'SS Material Flow'!$L120:$X120)*Single.Stream!J$108))/'SS Material Flow'!$B120+$B$180+$B$181+J$132</f>
        <v>7.0431052441695261</v>
      </c>
      <c r="C230" s="32">
        <f t="array" ref="C230">(SUMPRODUCT('SS Material Flow'!$C166:$Y166,'SS Material Flow'!$C$134:$Y$134,IF('SS Material Flow'!$C$180:$Y$180&gt;0,1/'SS Material Flow'!$C$180:$Y$180,0),TRANSPOSE(K$109:K$131))+(SUM('SS Material Flow'!$B120:$D120,'SS Material Flow'!$F120:$J120,'SS Material Flow'!$L120:$X120)*Single.Stream!K$108))/'SS Material Flow'!$B120+K$132</f>
        <v>0.7</v>
      </c>
      <c r="D230" s="32">
        <f t="array" ref="D230">(SUMPRODUCT('SS Material Flow'!$C166:$Y166,'SS Material Flow'!$C$134:$Y$134,IF('SS Material Flow'!$C$180:$Y$180&gt;0,1/'SS Material Flow'!$C$180:$Y$180,0),TRANSPOSE(L$109:L$131))+(SUM('SS Material Flow'!$B120:$D120,'SS Material Flow'!$F120:$J120,'SS Material Flow'!$L120:$X120)*Single.Stream!L$108))/'SS Material Flow'!$B120+L$132</f>
        <v>0</v>
      </c>
      <c r="E230" s="206">
        <f t="shared" si="19"/>
        <v>1.759970898974561</v>
      </c>
      <c r="F230" s="173">
        <f t="array" ref="F230">(SUMPRODUCT('SS Material Flow'!$C166:$Y166,'SS Material Flow'!$C$134:$Y$134,IF('SS Material Flow'!$C$180:$Y$180&gt;0,1/'SS Material Flow'!$C$180:$Y$180,0),TRANSPOSE(T$109:T$131))+(SUM('SS Material Flow'!$B120:$D120,'SS Material Flow'!$F120:$J120,'SS Material Flow'!$L120:$X120)*Single.Stream!T$108))/'SS Material Flow'!$B120+T$132</f>
        <v>19.7822893183072</v>
      </c>
      <c r="G230" s="142">
        <f t="array" ref="G230">Common!$D$16*((SUMPRODUCT('SS Material Flow'!$C166:$Y166,'SS Material Flow'!$C$134:$Y$134,IF('SS Material Flow'!$C$180:$Y$180&gt;0,1/'SS Material Flow'!$C$180:$Y$180,0),TRANSPOSE(U$109:U$131))+(SUM('SS Material Flow'!$B120:$D120,'SS Material Flow'!$F120:$J120,'SS Material Flow'!$L120:$X120)*Single.Stream!U$108))/'SS Material Flow'!$B120+U$132)+Common!$D$17*((SUMPRODUCT('SS Material Flow'!$C166:$Y166,'SS Material Flow'!$C$134:$Y$134,IF('SS Material Flow'!$C$180:$Y$180&gt;0,1/'SS Material Flow'!$C$180:$Y$180,0),TRANSPOSE(V$109:V$131))+(SUM('SS Material Flow'!$B120:$D120,'SS Material Flow'!$F120:$J120,'SS Material Flow'!$L120:$X120)*Single.Stream!V$108))/'SS Material Flow'!$B120+V$132)</f>
        <v>1.8298039215686279</v>
      </c>
      <c r="H230" s="142">
        <f t="array" ref="H230">($D$199/$D$197*SUMPRODUCT(1/TRANSPOSE($E$2:$E$3),'SS Material Flow'!$C211:$D211)+$C$199/$C$197*SUMPRODUCT(1/TRANSPOSE($E$4:$E$8),'SS Material Flow'!$E211:$I211))/'SS Material Flow'!$B120</f>
        <v>3.7047387423414508</v>
      </c>
      <c r="I230" s="233">
        <f t="shared" si="20"/>
        <v>25.31683198221728</v>
      </c>
      <c r="J230" s="239">
        <f>Common!$D$61</f>
        <v>12.265493399927911</v>
      </c>
      <c r="K230" s="13">
        <f t="array" ref="K230">(SUMPRODUCT($C$2:$C$9,TRANSPOSE('SS Material Flow'!B255:I255))+SUMPRODUCT(Single.Stream!$C$13:$C$18,TRANSPOSE('SS Material Flow'!J255:O255))+SUMPRODUCT(Single.Stream!$C$21:$C$23,TRANSPOSE('SS Material Flow'!P255:R255))+SUMPRODUCT(Single.Stream!$B$28:$B$29,TRANSPOSE('SS Material Flow'!S255:T255)))/'SS Material Flow'!$B120</f>
        <v>196</v>
      </c>
      <c r="L230" s="5">
        <f>(B$184*'SS Material Flow'!$M120+B$185*SUM('SS Material Flow'!$H211:$I211)+B$186*$E230/Common!$B$2)/('SS Material Flow'!$B120)</f>
        <v>0</v>
      </c>
      <c r="M230" s="9">
        <f>(C$184*'SS Material Flow'!$M120+C$185*SUM('SS Material Flow'!$H211:$I211)+C$186*$E230/Common!$B$2)/('SS Material Flow'!$B120)</f>
        <v>0</v>
      </c>
      <c r="N230" s="9">
        <f>(D$184*'SS Material Flow'!$M120+D$185*SUM('SS Material Flow'!$H211:$I211)+D$186*$E230/Common!$B$2)/('SS Material Flow'!$B120)</f>
        <v>0</v>
      </c>
      <c r="O230" s="9">
        <f>(E$184*'SS Material Flow'!$M120+E$185*SUM('SS Material Flow'!$H211:$I211)+E$186*$E230/Common!$B$2)/('SS Material Flow'!$B120)</f>
        <v>0</v>
      </c>
      <c r="P230" s="4">
        <f>(F$184*'SS Material Flow'!$M120+F$185*SUM('SS Material Flow'!$H211:$I211)+F$186*$E230/Common!$B$2)/('SS Material Flow'!$B120)</f>
        <v>0</v>
      </c>
      <c r="Q230" s="5">
        <f>($G$184*B$184*'SS Material Flow'!$M120+$G$185*B$185*SUM('SS Material Flow'!$H211:$I211)+$G$186*B$186*$E230/Common!$B$2)/('SS Material Flow'!$B120)</f>
        <v>0</v>
      </c>
      <c r="R230" s="4">
        <f>($G$184*C$184*'SS Material Flow'!$M120+$G$185*C$185*SUM('SS Material Flow'!$H211:$I211)+$G$186*C$186*$E230/Common!$B$2)/('SS Material Flow'!$B120)</f>
        <v>0</v>
      </c>
    </row>
    <row r="231" spans="1:18" x14ac:dyDescent="0.35">
      <c r="A231" t="str">
        <f t="shared" si="18"/>
        <v>Aluminum Cans</v>
      </c>
      <c r="B231" s="32">
        <f t="array" ref="B231">(SUMPRODUCT('SS Material Flow'!$C167:$Y167,'SS Material Flow'!$C$134:$Y$134,IF('SS Material Flow'!$C$180:$Y$180&gt;0,1/'SS Material Flow'!$C$180:$Y$180,0),TRANSPOSE(J$109:J$131))+(SUM('SS Material Flow'!$B121:$D121,'SS Material Flow'!$F121:$J121,'SS Material Flow'!$L121:$X121)*Single.Stream!J$108))/'SS Material Flow'!$B121+$B$180+$B$181+J$132</f>
        <v>5.3360384875650144</v>
      </c>
      <c r="C231" s="32">
        <f t="array" ref="C231">(SUMPRODUCT('SS Material Flow'!$C167:$Y167,'SS Material Flow'!$C$134:$Y$134,IF('SS Material Flow'!$C$180:$Y$180&gt;0,1/'SS Material Flow'!$C$180:$Y$180,0),TRANSPOSE(K$109:K$131))+(SUM('SS Material Flow'!$B121:$D121,'SS Material Flow'!$F121:$J121,'SS Material Flow'!$L121:$X121)*Single.Stream!K$108))/'SS Material Flow'!$B121+K$132</f>
        <v>0.7</v>
      </c>
      <c r="D231" s="32">
        <f t="array" ref="D231">(SUMPRODUCT('SS Material Flow'!$C167:$Y167,'SS Material Flow'!$C$134:$Y$134,IF('SS Material Flow'!$C$180:$Y$180&gt;0,1/'SS Material Flow'!$C$180:$Y$180,0),TRANSPOSE(L$109:L$131))+(SUM('SS Material Flow'!$B121:$D121,'SS Material Flow'!$F121:$J121,'SS Material Flow'!$L121:$X121)*Single.Stream!L$108))/'SS Material Flow'!$B121+L$132</f>
        <v>0</v>
      </c>
      <c r="E231" s="206">
        <f t="shared" si="19"/>
        <v>2.9759371875943148</v>
      </c>
      <c r="F231" s="173">
        <f t="array" ref="F231">(SUMPRODUCT('SS Material Flow'!$C167:$Y167,'SS Material Flow'!$C$134:$Y$134,IF('SS Material Flow'!$C$180:$Y$180&gt;0,1/'SS Material Flow'!$C$180:$Y$180,0),TRANSPOSE(T$109:T$131))+(SUM('SS Material Flow'!$B121:$D121,'SS Material Flow'!$F121:$J121,'SS Material Flow'!$L121:$X121)*Single.Stream!T$108))/'SS Material Flow'!$B121+T$132</f>
        <v>6.4005870721737423</v>
      </c>
      <c r="G231" s="142">
        <f t="array" ref="G231">Common!$D$16*((SUMPRODUCT('SS Material Flow'!$C167:$Y167,'SS Material Flow'!$C$134:$Y$134,IF('SS Material Flow'!$C$180:$Y$180&gt;0,1/'SS Material Flow'!$C$180:$Y$180,0),TRANSPOSE(U$109:U$131))+(SUM('SS Material Flow'!$B121:$D121,'SS Material Flow'!$F121:$J121,'SS Material Flow'!$L121:$X121)*Single.Stream!U$108))/'SS Material Flow'!$B121+U$132)+Common!$D$17*((SUMPRODUCT('SS Material Flow'!$C167:$Y167,'SS Material Flow'!$C$134:$Y$134,IF('SS Material Flow'!$C$180:$Y$180&gt;0,1/'SS Material Flow'!$C$180:$Y$180,0),TRANSPOSE(V$109:V$131))+(SUM('SS Material Flow'!$B121:$D121,'SS Material Flow'!$F121:$J121,'SS Material Flow'!$L121:$X121)*Single.Stream!V$108))/'SS Material Flow'!$B121+V$132)</f>
        <v>1.8231372549019611</v>
      </c>
      <c r="H231" s="142">
        <f t="array" ref="H231">($D$199/$D$197*SUMPRODUCT(1/TRANSPOSE($E$2:$E$3),'SS Material Flow'!$C212:$D212)+$C$199/$C$197*SUMPRODUCT(1/TRANSPOSE($E$4:$E$8),'SS Material Flow'!$E212:$I212))/'SS Material Flow'!$B121</f>
        <v>6.264347779886033</v>
      </c>
      <c r="I231" s="233">
        <f t="shared" si="20"/>
        <v>14.488072106961738</v>
      </c>
      <c r="J231" s="239">
        <f>Common!$D$61</f>
        <v>12.265493399927911</v>
      </c>
      <c r="K231" s="13">
        <f t="array" ref="K231">(SUMPRODUCT($C$2:$C$9,TRANSPOSE('SS Material Flow'!B256:I256))+SUMPRODUCT(Single.Stream!$C$13:$C$18,TRANSPOSE('SS Material Flow'!J256:O256))+SUMPRODUCT(Single.Stream!$C$21:$C$23,TRANSPOSE('SS Material Flow'!P256:R256))+SUMPRODUCT(Single.Stream!$B$28:$B$29,TRANSPOSE('SS Material Flow'!S256:T256)))/'SS Material Flow'!$B121</f>
        <v>1697.5</v>
      </c>
      <c r="L231" s="5">
        <f>(B$184*'SS Material Flow'!$M121+B$185*SUM('SS Material Flow'!$H212:$I212)+B$186*$E231/Common!$B$2)/('SS Material Flow'!$B121)</f>
        <v>0</v>
      </c>
      <c r="M231" s="9">
        <f>(C$184*'SS Material Flow'!$M121+C$185*SUM('SS Material Flow'!$H212:$I212)+C$186*$E231/Common!$B$2)/('SS Material Flow'!$B121)</f>
        <v>0</v>
      </c>
      <c r="N231" s="9">
        <f>(D$184*'SS Material Flow'!$M121+D$185*SUM('SS Material Flow'!$H212:$I212)+D$186*$E231/Common!$B$2)/('SS Material Flow'!$B121)</f>
        <v>0</v>
      </c>
      <c r="O231" s="9">
        <f>(E$184*'SS Material Flow'!$M121+E$185*SUM('SS Material Flow'!$H212:$I212)+E$186*$E231/Common!$B$2)/('SS Material Flow'!$B121)</f>
        <v>0</v>
      </c>
      <c r="P231" s="4">
        <f>(F$184*'SS Material Flow'!$M121+F$185*SUM('SS Material Flow'!$H212:$I212)+F$186*$E231/Common!$B$2)/('SS Material Flow'!$B121)</f>
        <v>0</v>
      </c>
      <c r="Q231" s="5">
        <f>($G$184*B$184*'SS Material Flow'!$M121+$G$185*B$185*SUM('SS Material Flow'!$H212:$I212)+$G$186*B$186*$E231/Common!$B$2)/('SS Material Flow'!$B121)</f>
        <v>0</v>
      </c>
      <c r="R231" s="4">
        <f>($G$184*C$184*'SS Material Flow'!$M121+$G$185*C$185*SUM('SS Material Flow'!$H212:$I212)+$G$186*C$186*$E231/Common!$B$2)/('SS Material Flow'!$B121)</f>
        <v>0</v>
      </c>
    </row>
    <row r="232" spans="1:18" x14ac:dyDescent="0.35">
      <c r="A232" t="str">
        <f t="shared" si="18"/>
        <v>Aluminum - Foil</v>
      </c>
      <c r="B232" s="32">
        <f t="array" ref="B232">(SUMPRODUCT('SS Material Flow'!$C168:$Y168,'SS Material Flow'!$C$134:$Y$134,IF('SS Material Flow'!$C$180:$Y$180&gt;0,1/'SS Material Flow'!$C$180:$Y$180,0),TRANSPOSE(J$109:J$131))+(SUM('SS Material Flow'!$B122:$D122,'SS Material Flow'!$F122:$J122,'SS Material Flow'!$L122:$X122)*Single.Stream!J$108))/'SS Material Flow'!$B122+$B$180+$B$181+J$132</f>
        <v>5.3360384875650135</v>
      </c>
      <c r="C232" s="32">
        <f t="array" ref="C232">(SUMPRODUCT('SS Material Flow'!$C168:$Y168,'SS Material Flow'!$C$134:$Y$134,IF('SS Material Flow'!$C$180:$Y$180&gt;0,1/'SS Material Flow'!$C$180:$Y$180,0),TRANSPOSE(K$109:K$131))+(SUM('SS Material Flow'!$B122:$D122,'SS Material Flow'!$F122:$J122,'SS Material Flow'!$L122:$X122)*Single.Stream!K$108))/'SS Material Flow'!$B122+K$132</f>
        <v>0.7</v>
      </c>
      <c r="D232" s="32">
        <f t="array" ref="D232">(SUMPRODUCT('SS Material Flow'!$C168:$Y168,'SS Material Flow'!$C$134:$Y$134,IF('SS Material Flow'!$C$180:$Y$180&gt;0,1/'SS Material Flow'!$C$180:$Y$180,0),TRANSPOSE(L$109:L$131))+(SUM('SS Material Flow'!$B122:$D122,'SS Material Flow'!$F122:$J122,'SS Material Flow'!$L122:$X122)*Single.Stream!L$108))/'SS Material Flow'!$B122+L$132</f>
        <v>0</v>
      </c>
      <c r="E232" s="206">
        <f t="shared" si="19"/>
        <v>2.9759371875943148</v>
      </c>
      <c r="F232" s="173">
        <f t="array" ref="F232">(SUMPRODUCT('SS Material Flow'!$C168:$Y168,'SS Material Flow'!$C$134:$Y$134,IF('SS Material Flow'!$C$180:$Y$180&gt;0,1/'SS Material Flow'!$C$180:$Y$180,0),TRANSPOSE(T$109:T$131))+(SUM('SS Material Flow'!$B122:$D122,'SS Material Flow'!$F122:$J122,'SS Material Flow'!$L122:$X122)*Single.Stream!T$108))/'SS Material Flow'!$B122+T$132</f>
        <v>6.4005870721737423</v>
      </c>
      <c r="G232" s="142">
        <f t="array" ref="G232">Common!$D$16*((SUMPRODUCT('SS Material Flow'!$C168:$Y168,'SS Material Flow'!$C$134:$Y$134,IF('SS Material Flow'!$C$180:$Y$180&gt;0,1/'SS Material Flow'!$C$180:$Y$180,0),TRANSPOSE(U$109:U$131))+(SUM('SS Material Flow'!$B122:$D122,'SS Material Flow'!$F122:$J122,'SS Material Flow'!$L122:$X122)*Single.Stream!U$108))/'SS Material Flow'!$B122+U$132)+Common!$D$17*((SUMPRODUCT('SS Material Flow'!$C168:$Y168,'SS Material Flow'!$C$134:$Y$134,IF('SS Material Flow'!$C$180:$Y$180&gt;0,1/'SS Material Flow'!$C$180:$Y$180,0),TRANSPOSE(V$109:V$131))+(SUM('SS Material Flow'!$B122:$D122,'SS Material Flow'!$F122:$J122,'SS Material Flow'!$L122:$X122)*Single.Stream!V$108))/'SS Material Flow'!$B122+V$132)</f>
        <v>1.8231372549019611</v>
      </c>
      <c r="H232" s="142">
        <f t="array" ref="H232">($D$199/$D$197*SUMPRODUCT(1/TRANSPOSE($E$2:$E$3),'SS Material Flow'!$C213:$D213)+$C$199/$C$197*SUMPRODUCT(1/TRANSPOSE($E$4:$E$8),'SS Material Flow'!$E213:$I213))/'SS Material Flow'!$B122</f>
        <v>6.264347779886033</v>
      </c>
      <c r="I232" s="233">
        <f t="shared" si="20"/>
        <v>14.488072106961738</v>
      </c>
      <c r="J232" s="239">
        <f>Common!$D$61</f>
        <v>12.265493399927911</v>
      </c>
      <c r="K232" s="13">
        <f t="array" ref="K232">(SUMPRODUCT($C$2:$C$9,TRANSPOSE('SS Material Flow'!B257:I257))+SUMPRODUCT(Single.Stream!$C$13:$C$18,TRANSPOSE('SS Material Flow'!J257:O257))+SUMPRODUCT(Single.Stream!$C$21:$C$23,TRANSPOSE('SS Material Flow'!P257:R257))+SUMPRODUCT(Single.Stream!$B$28:$B$29,TRANSPOSE('SS Material Flow'!S257:T257)))/'SS Material Flow'!$B122</f>
        <v>1697.4999999999998</v>
      </c>
      <c r="L232" s="5">
        <f>(B$184*'SS Material Flow'!$M122+B$185*SUM('SS Material Flow'!$H213:$I213)+B$186*$E232/Common!$B$2)/('SS Material Flow'!$B122)</f>
        <v>0</v>
      </c>
      <c r="M232" s="9">
        <f>(C$184*'SS Material Flow'!$M122+C$185*SUM('SS Material Flow'!$H213:$I213)+C$186*$E232/Common!$B$2)/('SS Material Flow'!$B122)</f>
        <v>0</v>
      </c>
      <c r="N232" s="9">
        <f>(D$184*'SS Material Flow'!$M122+D$185*SUM('SS Material Flow'!$H213:$I213)+D$186*$E232/Common!$B$2)/('SS Material Flow'!$B122)</f>
        <v>0</v>
      </c>
      <c r="O232" s="9">
        <f>(E$184*'SS Material Flow'!$M122+E$185*SUM('SS Material Flow'!$H213:$I213)+E$186*$E232/Common!$B$2)/('SS Material Flow'!$B122)</f>
        <v>0</v>
      </c>
      <c r="P232" s="4">
        <f>(F$184*'SS Material Flow'!$M122+F$185*SUM('SS Material Flow'!$H213:$I213)+F$186*$E232/Common!$B$2)/('SS Material Flow'!$B122)</f>
        <v>0</v>
      </c>
      <c r="Q232" s="5">
        <f>($G$184*B$184*'SS Material Flow'!$M122+$G$185*B$185*SUM('SS Material Flow'!$H213:$I213)+$G$186*B$186*$E232/Common!$B$2)/('SS Material Flow'!$B122)</f>
        <v>0</v>
      </c>
      <c r="R232" s="4">
        <f>($G$184*C$184*'SS Material Flow'!$M122+$G$185*C$185*SUM('SS Material Flow'!$H213:$I213)+$G$186*C$186*$E232/Common!$B$2)/('SS Material Flow'!$B122)</f>
        <v>0</v>
      </c>
    </row>
    <row r="233" spans="1:18" x14ac:dyDescent="0.35">
      <c r="A233" t="str">
        <f t="shared" si="18"/>
        <v>Aluminum - Other</v>
      </c>
      <c r="B233" s="32">
        <f t="array" ref="B233">(SUMPRODUCT('SS Material Flow'!$C169:$Y169,'SS Material Flow'!$C$134:$Y$134,IF('SS Material Flow'!$C$180:$Y$180&gt;0,1/'SS Material Flow'!$C$180:$Y$180,0),TRANSPOSE(J$109:J$131))+(SUM('SS Material Flow'!$B123:$D123,'SS Material Flow'!$F123:$J123,'SS Material Flow'!$L123:$X123)*Single.Stream!J$108))/'SS Material Flow'!$B123+$B$180+$B$181+J$132</f>
        <v>5.3360384875650153</v>
      </c>
      <c r="C233" s="32">
        <f t="array" ref="C233">(SUMPRODUCT('SS Material Flow'!$C169:$Y169,'SS Material Flow'!$C$134:$Y$134,IF('SS Material Flow'!$C$180:$Y$180&gt;0,1/'SS Material Flow'!$C$180:$Y$180,0),TRANSPOSE(K$109:K$131))+(SUM('SS Material Flow'!$B123:$D123,'SS Material Flow'!$F123:$J123,'SS Material Flow'!$L123:$X123)*Single.Stream!K$108))/'SS Material Flow'!$B123+K$132</f>
        <v>0.7</v>
      </c>
      <c r="D233" s="32">
        <f t="array" ref="D233">(SUMPRODUCT('SS Material Flow'!$C169:$Y169,'SS Material Flow'!$C$134:$Y$134,IF('SS Material Flow'!$C$180:$Y$180&gt;0,1/'SS Material Flow'!$C$180:$Y$180,0),TRANSPOSE(L$109:L$131))+(SUM('SS Material Flow'!$B123:$D123,'SS Material Flow'!$F123:$J123,'SS Material Flow'!$L123:$X123)*Single.Stream!L$108))/'SS Material Flow'!$B123+L$132</f>
        <v>0</v>
      </c>
      <c r="E233" s="206">
        <f t="shared" si="19"/>
        <v>2.9759371875943152</v>
      </c>
      <c r="F233" s="173">
        <f t="array" ref="F233">(SUMPRODUCT('SS Material Flow'!$C169:$Y169,'SS Material Flow'!$C$134:$Y$134,IF('SS Material Flow'!$C$180:$Y$180&gt;0,1/'SS Material Flow'!$C$180:$Y$180,0),TRANSPOSE(T$109:T$131))+(SUM('SS Material Flow'!$B123:$D123,'SS Material Flow'!$F123:$J123,'SS Material Flow'!$L123:$X123)*Single.Stream!T$108))/'SS Material Flow'!$B123+T$132</f>
        <v>6.4005870721737423</v>
      </c>
      <c r="G233" s="142">
        <f t="array" ref="G233">Common!$D$16*((SUMPRODUCT('SS Material Flow'!$C169:$Y169,'SS Material Flow'!$C$134:$Y$134,IF('SS Material Flow'!$C$180:$Y$180&gt;0,1/'SS Material Flow'!$C$180:$Y$180,0),TRANSPOSE(U$109:U$131))+(SUM('SS Material Flow'!$B123:$D123,'SS Material Flow'!$F123:$J123,'SS Material Flow'!$L123:$X123)*Single.Stream!U$108))/'SS Material Flow'!$B123+U$132)+Common!$D$17*((SUMPRODUCT('SS Material Flow'!$C169:$Y169,'SS Material Flow'!$C$134:$Y$134,IF('SS Material Flow'!$C$180:$Y$180&gt;0,1/'SS Material Flow'!$C$180:$Y$180,0),TRANSPOSE(V$109:V$131))+(SUM('SS Material Flow'!$B123:$D123,'SS Material Flow'!$F123:$J123,'SS Material Flow'!$L123:$X123)*Single.Stream!V$108))/'SS Material Flow'!$B123+V$132)</f>
        <v>1.8231372549019611</v>
      </c>
      <c r="H233" s="142">
        <f t="array" ref="H233">($D$199/$D$197*SUMPRODUCT(1/TRANSPOSE($E$2:$E$3),'SS Material Flow'!$C214:$D214)+$C$199/$C$197*SUMPRODUCT(1/TRANSPOSE($E$4:$E$8),'SS Material Flow'!$E214:$I214))/'SS Material Flow'!$B123</f>
        <v>6.2643477798860339</v>
      </c>
      <c r="I233" s="233">
        <f t="shared" si="20"/>
        <v>14.488072106961738</v>
      </c>
      <c r="J233" s="239">
        <f>Common!$D$61</f>
        <v>12.265493399927911</v>
      </c>
      <c r="K233" s="13">
        <f t="array" ref="K233">(SUMPRODUCT($C$2:$C$9,TRANSPOSE('SS Material Flow'!B258:I258))+SUMPRODUCT(Single.Stream!$C$13:$C$18,TRANSPOSE('SS Material Flow'!J258:O258))+SUMPRODUCT(Single.Stream!$C$21:$C$23,TRANSPOSE('SS Material Flow'!P258:R258))+SUMPRODUCT(Single.Stream!$B$28:$B$29,TRANSPOSE('SS Material Flow'!S258:T258)))/'SS Material Flow'!$B123</f>
        <v>1697.5</v>
      </c>
      <c r="L233" s="5">
        <f>(B$184*'SS Material Flow'!$M123+B$185*SUM('SS Material Flow'!$H214:$I214)+B$186*$E233/Common!$B$2)/('SS Material Flow'!$B123)</f>
        <v>0</v>
      </c>
      <c r="M233" s="9">
        <f>(C$184*'SS Material Flow'!$M123+C$185*SUM('SS Material Flow'!$H214:$I214)+C$186*$E233/Common!$B$2)/('SS Material Flow'!$B123)</f>
        <v>0</v>
      </c>
      <c r="N233" s="9">
        <f>(D$184*'SS Material Flow'!$M123+D$185*SUM('SS Material Flow'!$H214:$I214)+D$186*$E233/Common!$B$2)/('SS Material Flow'!$B123)</f>
        <v>0</v>
      </c>
      <c r="O233" s="9">
        <f>(E$184*'SS Material Flow'!$M123+E$185*SUM('SS Material Flow'!$H214:$I214)+E$186*$E233/Common!$B$2)/('SS Material Flow'!$B123)</f>
        <v>0</v>
      </c>
      <c r="P233" s="4">
        <f>(F$184*'SS Material Flow'!$M123+F$185*SUM('SS Material Flow'!$H214:$I214)+F$186*$E233/Common!$B$2)/('SS Material Flow'!$B123)</f>
        <v>0</v>
      </c>
      <c r="Q233" s="5">
        <f>($G$184*B$184*'SS Material Flow'!$M123+$G$185*B$185*SUM('SS Material Flow'!$H214:$I214)+$G$186*B$186*$E233/Common!$B$2)/('SS Material Flow'!$B123)</f>
        <v>0</v>
      </c>
      <c r="R233" s="4">
        <f>($G$184*C$184*'SS Material Flow'!$M123+$G$185*C$185*SUM('SS Material Flow'!$H214:$I214)+$G$186*C$186*$E233/Common!$B$2)/('SS Material Flow'!$B123)</f>
        <v>0</v>
      </c>
    </row>
    <row r="234" spans="1:18" x14ac:dyDescent="0.35">
      <c r="A234" t="str">
        <f t="shared" si="18"/>
        <v xml:space="preserve">Ferrous - Non-recyclable </v>
      </c>
      <c r="B234" s="32">
        <f t="array" ref="B234">(SUMPRODUCT('SS Material Flow'!$C170:$Y170,'SS Material Flow'!$C$134:$Y$134,IF('SS Material Flow'!$C$180:$Y$180&gt;0,1/'SS Material Flow'!$C$180:$Y$180,0),TRANSPOSE(J$109:J$131))+(SUM('SS Material Flow'!$B124:$D124,'SS Material Flow'!$F124:$J124,'SS Material Flow'!$L124:$X124)*Single.Stream!J$108))/'SS Material Flow'!$B124+$B$180+$B$181+J$132</f>
        <v>7.043105244169527</v>
      </c>
      <c r="C234" s="32">
        <f t="array" ref="C234">(SUMPRODUCT('SS Material Flow'!$C170:$Y170,'SS Material Flow'!$C$134:$Y$134,IF('SS Material Flow'!$C$180:$Y$180&gt;0,1/'SS Material Flow'!$C$180:$Y$180,0),TRANSPOSE(K$109:K$131))+(SUM('SS Material Flow'!$B124:$D124,'SS Material Flow'!$F124:$J124,'SS Material Flow'!$L124:$X124)*Single.Stream!K$108))/'SS Material Flow'!$B124+K$132</f>
        <v>0.7</v>
      </c>
      <c r="D234" s="32">
        <f t="array" ref="D234">(SUMPRODUCT('SS Material Flow'!$C170:$Y170,'SS Material Flow'!$C$134:$Y$134,IF('SS Material Flow'!$C$180:$Y$180&gt;0,1/'SS Material Flow'!$C$180:$Y$180,0),TRANSPOSE(L$109:L$131))+(SUM('SS Material Flow'!$B124:$D124,'SS Material Flow'!$F124:$J124,'SS Material Flow'!$L124:$X124)*Single.Stream!L$108))/'SS Material Flow'!$B124+L$132</f>
        <v>0</v>
      </c>
      <c r="E234" s="206">
        <f t="shared" si="19"/>
        <v>1.759970898974561</v>
      </c>
      <c r="F234" s="173">
        <f t="array" ref="F234">(SUMPRODUCT('SS Material Flow'!$C170:$Y170,'SS Material Flow'!$C$134:$Y$134,IF('SS Material Flow'!$C$180:$Y$180&gt;0,1/'SS Material Flow'!$C$180:$Y$180,0),TRANSPOSE(T$109:T$131))+(SUM('SS Material Flow'!$B124:$D124,'SS Material Flow'!$F124:$J124,'SS Material Flow'!$L124:$X124)*Single.Stream!T$108))/'SS Material Flow'!$B124+T$132</f>
        <v>19.782289318307196</v>
      </c>
      <c r="G234" s="142">
        <f t="array" ref="G234">Common!$D$16*((SUMPRODUCT('SS Material Flow'!$C170:$Y170,'SS Material Flow'!$C$134:$Y$134,IF('SS Material Flow'!$C$180:$Y$180&gt;0,1/'SS Material Flow'!$C$180:$Y$180,0),TRANSPOSE(U$109:U$131))+(SUM('SS Material Flow'!$B124:$D124,'SS Material Flow'!$F124:$J124,'SS Material Flow'!$L124:$X124)*Single.Stream!U$108))/'SS Material Flow'!$B124+U$132)+Common!$D$17*((SUMPRODUCT('SS Material Flow'!$C170:$Y170,'SS Material Flow'!$C$134:$Y$134,IF('SS Material Flow'!$C$180:$Y$180&gt;0,1/'SS Material Flow'!$C$180:$Y$180,0),TRANSPOSE(V$109:V$131))+(SUM('SS Material Flow'!$B124:$D124,'SS Material Flow'!$F124:$J124,'SS Material Flow'!$L124:$X124)*Single.Stream!V$108))/'SS Material Flow'!$B124+V$132)</f>
        <v>1.8298039215686277</v>
      </c>
      <c r="H234" s="142">
        <f t="array" ref="H234">($D$199/$D$197*SUMPRODUCT(1/TRANSPOSE($E$2:$E$3),'SS Material Flow'!$C215:$D215)+$C$199/$C$197*SUMPRODUCT(1/TRANSPOSE($E$4:$E$8),'SS Material Flow'!$E215:$I215))/'SS Material Flow'!$B124</f>
        <v>3.7047387423414508</v>
      </c>
      <c r="I234" s="233">
        <f t="shared" si="20"/>
        <v>25.316831982217277</v>
      </c>
      <c r="J234" s="239">
        <f>Common!$D$61</f>
        <v>12.265493399927911</v>
      </c>
      <c r="K234" s="13">
        <f t="array" ref="K234">(SUMPRODUCT($C$2:$C$9,TRANSPOSE('SS Material Flow'!B259:I259))+SUMPRODUCT(Single.Stream!$C$13:$C$18,TRANSPOSE('SS Material Flow'!J259:O259))+SUMPRODUCT(Single.Stream!$C$21:$C$23,TRANSPOSE('SS Material Flow'!P259:R259))+SUMPRODUCT(Single.Stream!$B$28:$B$29,TRANSPOSE('SS Material Flow'!S259:T259)))/'SS Material Flow'!$B124</f>
        <v>196</v>
      </c>
      <c r="L234" s="5">
        <f>(B$184*'SS Material Flow'!$M124+B$185*SUM('SS Material Flow'!$H215:$I215)+B$186*$E234/Common!$B$2)/('SS Material Flow'!$B124)</f>
        <v>0</v>
      </c>
      <c r="M234" s="9">
        <f>(C$184*'SS Material Flow'!$M124+C$185*SUM('SS Material Flow'!$H215:$I215)+C$186*$E234/Common!$B$2)/('SS Material Flow'!$B124)</f>
        <v>0</v>
      </c>
      <c r="N234" s="9">
        <f>(D$184*'SS Material Flow'!$M124+D$185*SUM('SS Material Flow'!$H215:$I215)+D$186*$E234/Common!$B$2)/('SS Material Flow'!$B124)</f>
        <v>0</v>
      </c>
      <c r="O234" s="9">
        <f>(E$184*'SS Material Flow'!$M124+E$185*SUM('SS Material Flow'!$H215:$I215)+E$186*$E234/Common!$B$2)/('SS Material Flow'!$B124)</f>
        <v>0</v>
      </c>
      <c r="P234" s="4">
        <f>(F$184*'SS Material Flow'!$M124+F$185*SUM('SS Material Flow'!$H215:$I215)+F$186*$E234/Common!$B$2)/('SS Material Flow'!$B124)</f>
        <v>0</v>
      </c>
      <c r="Q234" s="5">
        <f>($G$184*B$184*'SS Material Flow'!$M124+$G$185*B$185*SUM('SS Material Flow'!$H215:$I215)+$G$186*B$186*$E234/Common!$B$2)/('SS Material Flow'!$B124)</f>
        <v>0</v>
      </c>
      <c r="R234" s="4">
        <f>($G$184*C$184*'SS Material Flow'!$M124+$G$185*C$185*SUM('SS Material Flow'!$H215:$I215)+$G$186*C$186*$E234/Common!$B$2)/('SS Material Flow'!$B124)</f>
        <v>0</v>
      </c>
    </row>
    <row r="235" spans="1:18" x14ac:dyDescent="0.35">
      <c r="A235" t="str">
        <f t="shared" si="18"/>
        <v xml:space="preserve">Al - Non-recyclable </v>
      </c>
      <c r="B235" s="32">
        <f t="array" ref="B235">(SUMPRODUCT('SS Material Flow'!$C171:$Y171,'SS Material Flow'!$C$134:$Y$134,IF('SS Material Flow'!$C$180:$Y$180&gt;0,1/'SS Material Flow'!$C$180:$Y$180,0),TRANSPOSE(J$109:J$131))+(SUM('SS Material Flow'!$B125:$D125,'SS Material Flow'!$F125:$J125,'SS Material Flow'!$L125:$X125)*Single.Stream!J$108))/'SS Material Flow'!$B125+$B$180+$B$181+J$132</f>
        <v>5.3360384875650153</v>
      </c>
      <c r="C235" s="32">
        <f t="array" ref="C235">(SUMPRODUCT('SS Material Flow'!$C171:$Y171,'SS Material Flow'!$C$134:$Y$134,IF('SS Material Flow'!$C$180:$Y$180&gt;0,1/'SS Material Flow'!$C$180:$Y$180,0),TRANSPOSE(K$109:K$131))+(SUM('SS Material Flow'!$B125:$D125,'SS Material Flow'!$F125:$J125,'SS Material Flow'!$L125:$X125)*Single.Stream!K$108))/'SS Material Flow'!$B125+K$132</f>
        <v>0.7</v>
      </c>
      <c r="D235" s="32">
        <f t="array" ref="D235">(SUMPRODUCT('SS Material Flow'!$C171:$Y171,'SS Material Flow'!$C$134:$Y$134,IF('SS Material Flow'!$C$180:$Y$180&gt;0,1/'SS Material Flow'!$C$180:$Y$180,0),TRANSPOSE(L$109:L$131))+(SUM('SS Material Flow'!$B125:$D125,'SS Material Flow'!$F125:$J125,'SS Material Flow'!$L125:$X125)*Single.Stream!L$108))/'SS Material Flow'!$B125+L$132</f>
        <v>0</v>
      </c>
      <c r="E235" s="206">
        <f t="shared" si="19"/>
        <v>2.9759371875943152</v>
      </c>
      <c r="F235" s="173">
        <f t="array" ref="F235">(SUMPRODUCT('SS Material Flow'!$C171:$Y171,'SS Material Flow'!$C$134:$Y$134,IF('SS Material Flow'!$C$180:$Y$180&gt;0,1/'SS Material Flow'!$C$180:$Y$180,0),TRANSPOSE(T$109:T$131))+(SUM('SS Material Flow'!$B125:$D125,'SS Material Flow'!$F125:$J125,'SS Material Flow'!$L125:$X125)*Single.Stream!T$108))/'SS Material Flow'!$B125+T$132</f>
        <v>6.4005870721737423</v>
      </c>
      <c r="G235" s="142">
        <f t="array" ref="G235">Common!$D$16*((SUMPRODUCT('SS Material Flow'!$C171:$Y171,'SS Material Flow'!$C$134:$Y$134,IF('SS Material Flow'!$C$180:$Y$180&gt;0,1/'SS Material Flow'!$C$180:$Y$180,0),TRANSPOSE(U$109:U$131))+(SUM('SS Material Flow'!$B125:$D125,'SS Material Flow'!$F125:$J125,'SS Material Flow'!$L125:$X125)*Single.Stream!U$108))/'SS Material Flow'!$B125+U$132)+Common!$D$17*((SUMPRODUCT('SS Material Flow'!$C171:$Y171,'SS Material Flow'!$C$134:$Y$134,IF('SS Material Flow'!$C$180:$Y$180&gt;0,1/'SS Material Flow'!$C$180:$Y$180,0),TRANSPOSE(V$109:V$131))+(SUM('SS Material Flow'!$B125:$D125,'SS Material Flow'!$F125:$J125,'SS Material Flow'!$L125:$X125)*Single.Stream!V$108))/'SS Material Flow'!$B125+V$132)</f>
        <v>1.8231372549019611</v>
      </c>
      <c r="H235" s="142">
        <f t="array" ref="H235">($D$199/$D$197*SUMPRODUCT(1/TRANSPOSE($E$2:$E$3),'SS Material Flow'!$C216:$D216)+$C$199/$C$197*SUMPRODUCT(1/TRANSPOSE($E$4:$E$8),'SS Material Flow'!$E216:$I216))/'SS Material Flow'!$B125</f>
        <v>6.2643477798860339</v>
      </c>
      <c r="I235" s="233">
        <f t="shared" si="20"/>
        <v>14.488072106961738</v>
      </c>
      <c r="J235" s="239">
        <f>Common!$D$61</f>
        <v>12.265493399927911</v>
      </c>
      <c r="K235" s="13">
        <f t="array" ref="K235">(SUMPRODUCT($C$2:$C$9,TRANSPOSE('SS Material Flow'!B260:I260))+SUMPRODUCT(Single.Stream!$C$13:$C$18,TRANSPOSE('SS Material Flow'!J260:O260))+SUMPRODUCT(Single.Stream!$C$21:$C$23,TRANSPOSE('SS Material Flow'!P260:R260))+SUMPRODUCT(Single.Stream!$B$28:$B$29,TRANSPOSE('SS Material Flow'!S260:T260)))/'SS Material Flow'!$B125</f>
        <v>1697.5</v>
      </c>
      <c r="L235" s="5">
        <f>(B$184*'SS Material Flow'!$M125+B$185*SUM('SS Material Flow'!$H216:$I216)+B$186*$E235/Common!$B$2)/('SS Material Flow'!$B125)</f>
        <v>0</v>
      </c>
      <c r="M235" s="9">
        <f>(C$184*'SS Material Flow'!$M125+C$185*SUM('SS Material Flow'!$H216:$I216)+C$186*$E235/Common!$B$2)/('SS Material Flow'!$B125)</f>
        <v>0</v>
      </c>
      <c r="N235" s="9">
        <f>(D$184*'SS Material Flow'!$M125+D$185*SUM('SS Material Flow'!$H216:$I216)+D$186*$E235/Common!$B$2)/('SS Material Flow'!$B125)</f>
        <v>0</v>
      </c>
      <c r="O235" s="9">
        <f>(E$184*'SS Material Flow'!$M125+E$185*SUM('SS Material Flow'!$H216:$I216)+E$186*$E235/Common!$B$2)/('SS Material Flow'!$B125)</f>
        <v>0</v>
      </c>
      <c r="P235" s="4">
        <f>(F$184*'SS Material Flow'!$M125+F$185*SUM('SS Material Flow'!$H216:$I216)+F$186*$E235/Common!$B$2)/('SS Material Flow'!$B125)</f>
        <v>0</v>
      </c>
      <c r="Q235" s="5">
        <f>($G$184*B$184*'SS Material Flow'!$M125+$G$185*B$185*SUM('SS Material Flow'!$H216:$I216)+$G$186*B$186*$E235/Common!$B$2)/('SS Material Flow'!$B125)</f>
        <v>0</v>
      </c>
      <c r="R235" s="4">
        <f>($G$184*C$184*'SS Material Flow'!$M125+$G$185*C$185*SUM('SS Material Flow'!$H216:$I216)+$G$186*C$186*$E235/Common!$B$2)/('SS Material Flow'!$B125)</f>
        <v>0</v>
      </c>
    </row>
    <row r="236" spans="1:18" x14ac:dyDescent="0.35">
      <c r="A236" t="str">
        <f t="shared" si="18"/>
        <v>Glass - Brown</v>
      </c>
      <c r="B236" s="32">
        <f t="array" ref="B236">(SUMPRODUCT('SS Material Flow'!$C172:$Y172,'SS Material Flow'!$C$134:$Y$134,IF('SS Material Flow'!$C$180:$Y$180&gt;0,1/'SS Material Flow'!$C$180:$Y$180,0),TRANSPOSE(J$109:J$131))+(SUM('SS Material Flow'!$B126:$D126,'SS Material Flow'!$F126:$J126,'SS Material Flow'!$L126:$X126)*Single.Stream!J$108))/'SS Material Flow'!$B126+$B$180+$B$181+J$132</f>
        <v>8.5065393792912616</v>
      </c>
      <c r="C236" s="32">
        <f t="array" ref="C236">(SUMPRODUCT('SS Material Flow'!$C172:$Y172,'SS Material Flow'!$C$134:$Y$134,IF('SS Material Flow'!$C$180:$Y$180&gt;0,1/'SS Material Flow'!$C$180:$Y$180,0),TRANSPOSE(K$109:K$131))+(SUM('SS Material Flow'!$B126:$D126,'SS Material Flow'!$F126:$J126,'SS Material Flow'!$L126:$X126)*Single.Stream!K$108))/'SS Material Flow'!$B126+K$132</f>
        <v>0.7</v>
      </c>
      <c r="D236" s="32">
        <f t="array" ref="D236">(SUMPRODUCT('SS Material Flow'!$C172:$Y172,'SS Material Flow'!$C$134:$Y$134,IF('SS Material Flow'!$C$180:$Y$180&gt;0,1/'SS Material Flow'!$C$180:$Y$180,0),TRANSPOSE(L$109:L$131))+(SUM('SS Material Flow'!$B126:$D126,'SS Material Flow'!$F126:$J126,'SS Material Flow'!$L126:$X126)*Single.Stream!L$108))/'SS Material Flow'!$B126+L$132</f>
        <v>0</v>
      </c>
      <c r="E236" s="206">
        <f t="shared" si="19"/>
        <v>0</v>
      </c>
      <c r="F236" s="173">
        <f t="array" ref="F236">(SUMPRODUCT('SS Material Flow'!$C172:$Y172,'SS Material Flow'!$C$134:$Y$134,IF('SS Material Flow'!$C$180:$Y$180&gt;0,1/'SS Material Flow'!$C$180:$Y$180,0),TRANSPOSE(T$109:T$131))+(SUM('SS Material Flow'!$B126:$D126,'SS Material Flow'!$F126:$J126,'SS Material Flow'!$L126:$X126)*Single.Stream!T$108))/'SS Material Flow'!$B126+T$132</f>
        <v>7.193153218760755</v>
      </c>
      <c r="G236" s="142">
        <f t="array" ref="G236">Common!$D$16*((SUMPRODUCT('SS Material Flow'!$C172:$Y172,'SS Material Flow'!$C$134:$Y$134,IF('SS Material Flow'!$C$180:$Y$180&gt;0,1/'SS Material Flow'!$C$180:$Y$180,0),TRANSPOSE(U$109:U$131))+(SUM('SS Material Flow'!$B126:$D126,'SS Material Flow'!$F126:$J126,'SS Material Flow'!$L126:$X126)*Single.Stream!U$108))/'SS Material Flow'!$B126+U$132)+Common!$D$17*((SUMPRODUCT('SS Material Flow'!$C172:$Y172,'SS Material Flow'!$C$134:$Y$134,IF('SS Material Flow'!$C$180:$Y$180&gt;0,1/'SS Material Flow'!$C$180:$Y$180,0),TRANSPOSE(V$109:V$131))+(SUM('SS Material Flow'!$B126:$D126,'SS Material Flow'!$F126:$J126,'SS Material Flow'!$L126:$X126)*Single.Stream!V$108))/'SS Material Flow'!$B126+V$132)</f>
        <v>1.1764705882352944</v>
      </c>
      <c r="H236" s="142">
        <f t="array" ref="H236">($D$199/$D$197*SUMPRODUCT(1/TRANSPOSE($E$2:$E$3),'SS Material Flow'!$C217:$D217)+$C$199/$C$197*SUMPRODUCT(1/TRANSPOSE($E$4:$E$8),'SS Material Flow'!$E217:$I217))/'SS Material Flow'!$B126</f>
        <v>0</v>
      </c>
      <c r="I236" s="233">
        <f t="shared" si="20"/>
        <v>8.3696238069960494</v>
      </c>
      <c r="J236" s="239">
        <f>Common!$D$61</f>
        <v>12.265493399927911</v>
      </c>
      <c r="K236" s="13">
        <f t="array" ref="K236">(SUMPRODUCT($C$2:$C$9,TRANSPOSE('SS Material Flow'!B261:I261))+SUMPRODUCT(Single.Stream!$C$13:$C$18,TRANSPOSE('SS Material Flow'!J261:O261))+SUMPRODUCT(Single.Stream!$C$21:$C$23,TRANSPOSE('SS Material Flow'!P261:R261))+SUMPRODUCT(Single.Stream!$B$28:$B$29,TRANSPOSE('SS Material Flow'!S261:T261)))/'SS Material Flow'!$B126</f>
        <v>18.817999999999998</v>
      </c>
      <c r="L236" s="5">
        <f>(B$184*'SS Material Flow'!$M126+B$185*SUM('SS Material Flow'!$H217:$I217)+B$186*$E236/Common!$B$2)/('SS Material Flow'!$B126)</f>
        <v>0</v>
      </c>
      <c r="M236" s="9">
        <f>(C$184*'SS Material Flow'!$M126+C$185*SUM('SS Material Flow'!$H217:$I217)+C$186*$E236/Common!$B$2)/('SS Material Flow'!$B126)</f>
        <v>0</v>
      </c>
      <c r="N236" s="9">
        <f>(D$184*'SS Material Flow'!$M126+D$185*SUM('SS Material Flow'!$H217:$I217)+D$186*$E236/Common!$B$2)/('SS Material Flow'!$B126)</f>
        <v>0</v>
      </c>
      <c r="O236" s="9">
        <f>(E$184*'SS Material Flow'!$M126+E$185*SUM('SS Material Flow'!$H217:$I217)+E$186*$E236/Common!$B$2)/('SS Material Flow'!$B126)</f>
        <v>0</v>
      </c>
      <c r="P236" s="4">
        <f>(F$184*'SS Material Flow'!$M126+F$185*SUM('SS Material Flow'!$H217:$I217)+F$186*$E236/Common!$B$2)/('SS Material Flow'!$B126)</f>
        <v>0</v>
      </c>
      <c r="Q236" s="5">
        <f>($G$184*B$184*'SS Material Flow'!$M126+$G$185*B$185*SUM('SS Material Flow'!$H217:$I217)+$G$186*B$186*$E236/Common!$B$2)/('SS Material Flow'!$B126)</f>
        <v>0</v>
      </c>
      <c r="R236" s="4">
        <f>($G$184*C$184*'SS Material Flow'!$M126+$G$185*C$185*SUM('SS Material Flow'!$H217:$I217)+$G$186*C$186*$E236/Common!$B$2)/('SS Material Flow'!$B126)</f>
        <v>0</v>
      </c>
    </row>
    <row r="237" spans="1:18" x14ac:dyDescent="0.35">
      <c r="A237" t="str">
        <f t="shared" si="18"/>
        <v>Glass - Green</v>
      </c>
      <c r="B237" s="32">
        <f t="array" ref="B237">(SUMPRODUCT('SS Material Flow'!$C173:$Y173,'SS Material Flow'!$C$134:$Y$134,IF('SS Material Flow'!$C$180:$Y$180&gt;0,1/'SS Material Flow'!$C$180:$Y$180,0),TRANSPOSE(J$109:J$131))+(SUM('SS Material Flow'!$B127:$D127,'SS Material Flow'!$F127:$J127,'SS Material Flow'!$L127:$X127)*Single.Stream!J$108))/'SS Material Flow'!$B127+$B$180+$B$181+J$132</f>
        <v>8.5065393792912598</v>
      </c>
      <c r="C237" s="32">
        <f t="array" ref="C237">(SUMPRODUCT('SS Material Flow'!$C173:$Y173,'SS Material Flow'!$C$134:$Y$134,IF('SS Material Flow'!$C$180:$Y$180&gt;0,1/'SS Material Flow'!$C$180:$Y$180,0),TRANSPOSE(K$109:K$131))+(SUM('SS Material Flow'!$B127:$D127,'SS Material Flow'!$F127:$J127,'SS Material Flow'!$L127:$X127)*Single.Stream!K$108))/'SS Material Flow'!$B127+K$132</f>
        <v>0.7</v>
      </c>
      <c r="D237" s="32">
        <f t="array" ref="D237">(SUMPRODUCT('SS Material Flow'!$C173:$Y173,'SS Material Flow'!$C$134:$Y$134,IF('SS Material Flow'!$C$180:$Y$180&gt;0,1/'SS Material Flow'!$C$180:$Y$180,0),TRANSPOSE(L$109:L$131))+(SUM('SS Material Flow'!$B127:$D127,'SS Material Flow'!$F127:$J127,'SS Material Flow'!$L127:$X127)*Single.Stream!L$108))/'SS Material Flow'!$B127+L$132</f>
        <v>0</v>
      </c>
      <c r="E237" s="206">
        <f t="shared" si="19"/>
        <v>0</v>
      </c>
      <c r="F237" s="173">
        <f t="array" ref="F237">(SUMPRODUCT('SS Material Flow'!$C173:$Y173,'SS Material Flow'!$C$134:$Y$134,IF('SS Material Flow'!$C$180:$Y$180&gt;0,1/'SS Material Flow'!$C$180:$Y$180,0),TRANSPOSE(T$109:T$131))+(SUM('SS Material Flow'!$B127:$D127,'SS Material Flow'!$F127:$J127,'SS Material Flow'!$L127:$X127)*Single.Stream!T$108))/'SS Material Flow'!$B127+T$132</f>
        <v>7.193153218760755</v>
      </c>
      <c r="G237" s="142">
        <f t="array" ref="G237">Common!$D$16*((SUMPRODUCT('SS Material Flow'!$C173:$Y173,'SS Material Flow'!$C$134:$Y$134,IF('SS Material Flow'!$C$180:$Y$180&gt;0,1/'SS Material Flow'!$C$180:$Y$180,0),TRANSPOSE(U$109:U$131))+(SUM('SS Material Flow'!$B127:$D127,'SS Material Flow'!$F127:$J127,'SS Material Flow'!$L127:$X127)*Single.Stream!U$108))/'SS Material Flow'!$B127+U$132)+Common!$D$17*((SUMPRODUCT('SS Material Flow'!$C173:$Y173,'SS Material Flow'!$C$134:$Y$134,IF('SS Material Flow'!$C$180:$Y$180&gt;0,1/'SS Material Flow'!$C$180:$Y$180,0),TRANSPOSE(V$109:V$131))+(SUM('SS Material Flow'!$B127:$D127,'SS Material Flow'!$F127:$J127,'SS Material Flow'!$L127:$X127)*Single.Stream!V$108))/'SS Material Flow'!$B127+V$132)</f>
        <v>1.1764705882352944</v>
      </c>
      <c r="H237" s="142">
        <f t="array" ref="H237">($D$199/$D$197*SUMPRODUCT(1/TRANSPOSE($E$2:$E$3),'SS Material Flow'!$C218:$D218)+$C$199/$C$197*SUMPRODUCT(1/TRANSPOSE($E$4:$E$8),'SS Material Flow'!$E218:$I218))/'SS Material Flow'!$B127</f>
        <v>0</v>
      </c>
      <c r="I237" s="233">
        <f t="shared" si="20"/>
        <v>8.3696238069960494</v>
      </c>
      <c r="J237" s="239">
        <f>Common!$D$61</f>
        <v>12.265493399927911</v>
      </c>
      <c r="K237" s="13">
        <f t="array" ref="K237">(SUMPRODUCT($C$2:$C$9,TRANSPOSE('SS Material Flow'!B262:I262))+SUMPRODUCT(Single.Stream!$C$13:$C$18,TRANSPOSE('SS Material Flow'!J262:O262))+SUMPRODUCT(Single.Stream!$C$21:$C$23,TRANSPOSE('SS Material Flow'!P262:R262))+SUMPRODUCT(Single.Stream!$B$28:$B$29,TRANSPOSE('SS Material Flow'!S262:T262)))/'SS Material Flow'!$B127</f>
        <v>0.94090000000000007</v>
      </c>
      <c r="L237" s="5">
        <f>(B$184*'SS Material Flow'!$M127+B$185*SUM('SS Material Flow'!$H218:$I218)+B$186*$E237/Common!$B$2)/('SS Material Flow'!$B127)</f>
        <v>0</v>
      </c>
      <c r="M237" s="9">
        <f>(C$184*'SS Material Flow'!$M127+C$185*SUM('SS Material Flow'!$H218:$I218)+C$186*$E237/Common!$B$2)/('SS Material Flow'!$B127)</f>
        <v>0</v>
      </c>
      <c r="N237" s="9">
        <f>(D$184*'SS Material Flow'!$M127+D$185*SUM('SS Material Flow'!$H218:$I218)+D$186*$E237/Common!$B$2)/('SS Material Flow'!$B127)</f>
        <v>0</v>
      </c>
      <c r="O237" s="9">
        <f>(E$184*'SS Material Flow'!$M127+E$185*SUM('SS Material Flow'!$H218:$I218)+E$186*$E237/Common!$B$2)/('SS Material Flow'!$B127)</f>
        <v>0</v>
      </c>
      <c r="P237" s="4">
        <f>(F$184*'SS Material Flow'!$M127+F$185*SUM('SS Material Flow'!$H218:$I218)+F$186*$E237/Common!$B$2)/('SS Material Flow'!$B127)</f>
        <v>0</v>
      </c>
      <c r="Q237" s="5">
        <f>($G$184*B$184*'SS Material Flow'!$M127+$G$185*B$185*SUM('SS Material Flow'!$H218:$I218)+$G$186*B$186*$E237/Common!$B$2)/('SS Material Flow'!$B127)</f>
        <v>0</v>
      </c>
      <c r="R237" s="4">
        <f>($G$184*C$184*'SS Material Flow'!$M127+$G$185*C$185*SUM('SS Material Flow'!$H218:$I218)+$G$186*C$186*$E237/Common!$B$2)/('SS Material Flow'!$B127)</f>
        <v>0</v>
      </c>
    </row>
    <row r="238" spans="1:18" x14ac:dyDescent="0.35">
      <c r="A238" t="str">
        <f t="shared" si="18"/>
        <v>Glass - Clear</v>
      </c>
      <c r="B238" s="32">
        <f t="array" ref="B238">(SUMPRODUCT('SS Material Flow'!$C174:$Y174,'SS Material Flow'!$C$134:$Y$134,IF('SS Material Flow'!$C$180:$Y$180&gt;0,1/'SS Material Flow'!$C$180:$Y$180,0),TRANSPOSE(J$109:J$131))+(SUM('SS Material Flow'!$B128:$D128,'SS Material Flow'!$F128:$J128,'SS Material Flow'!$L128:$X128)*Single.Stream!J$108))/'SS Material Flow'!$B128+$B$180+$B$181+J$132</f>
        <v>8.5065393792912616</v>
      </c>
      <c r="C238" s="32">
        <f t="array" ref="C238">(SUMPRODUCT('SS Material Flow'!$C174:$Y174,'SS Material Flow'!$C$134:$Y$134,IF('SS Material Flow'!$C$180:$Y$180&gt;0,1/'SS Material Flow'!$C$180:$Y$180,0),TRANSPOSE(K$109:K$131))+(SUM('SS Material Flow'!$B128:$D128,'SS Material Flow'!$F128:$J128,'SS Material Flow'!$L128:$X128)*Single.Stream!K$108))/'SS Material Flow'!$B128+K$132</f>
        <v>0.7</v>
      </c>
      <c r="D238" s="32">
        <f t="array" ref="D238">(SUMPRODUCT('SS Material Flow'!$C174:$Y174,'SS Material Flow'!$C$134:$Y$134,IF('SS Material Flow'!$C$180:$Y$180&gt;0,1/'SS Material Flow'!$C$180:$Y$180,0),TRANSPOSE(L$109:L$131))+(SUM('SS Material Flow'!$B128:$D128,'SS Material Flow'!$F128:$J128,'SS Material Flow'!$L128:$X128)*Single.Stream!L$108))/'SS Material Flow'!$B128+L$132</f>
        <v>0</v>
      </c>
      <c r="E238" s="206">
        <f t="shared" si="19"/>
        <v>0</v>
      </c>
      <c r="F238" s="173">
        <f t="array" ref="F238">(SUMPRODUCT('SS Material Flow'!$C174:$Y174,'SS Material Flow'!$C$134:$Y$134,IF('SS Material Flow'!$C$180:$Y$180&gt;0,1/'SS Material Flow'!$C$180:$Y$180,0),TRANSPOSE(T$109:T$131))+(SUM('SS Material Flow'!$B128:$D128,'SS Material Flow'!$F128:$J128,'SS Material Flow'!$L128:$X128)*Single.Stream!T$108))/'SS Material Flow'!$B128+T$132</f>
        <v>7.1931532187607568</v>
      </c>
      <c r="G238" s="142">
        <f t="array" ref="G238">Common!$D$16*((SUMPRODUCT('SS Material Flow'!$C174:$Y174,'SS Material Flow'!$C$134:$Y$134,IF('SS Material Flow'!$C$180:$Y$180&gt;0,1/'SS Material Flow'!$C$180:$Y$180,0),TRANSPOSE(U$109:U$131))+(SUM('SS Material Flow'!$B128:$D128,'SS Material Flow'!$F128:$J128,'SS Material Flow'!$L128:$X128)*Single.Stream!U$108))/'SS Material Flow'!$B128+U$132)+Common!$D$17*((SUMPRODUCT('SS Material Flow'!$C174:$Y174,'SS Material Flow'!$C$134:$Y$134,IF('SS Material Flow'!$C$180:$Y$180&gt;0,1/'SS Material Flow'!$C$180:$Y$180,0),TRANSPOSE(V$109:V$131))+(SUM('SS Material Flow'!$B128:$D128,'SS Material Flow'!$F128:$J128,'SS Material Flow'!$L128:$X128)*Single.Stream!V$108))/'SS Material Flow'!$B128+V$132)</f>
        <v>1.1764705882352944</v>
      </c>
      <c r="H238" s="142">
        <f t="array" ref="H238">($D$199/$D$197*SUMPRODUCT(1/TRANSPOSE($E$2:$E$3),'SS Material Flow'!$C219:$D219)+$C$199/$C$197*SUMPRODUCT(1/TRANSPOSE($E$4:$E$8),'SS Material Flow'!$E219:$I219))/'SS Material Flow'!$B128</f>
        <v>0</v>
      </c>
      <c r="I238" s="233">
        <f t="shared" si="20"/>
        <v>8.3696238069960511</v>
      </c>
      <c r="J238" s="239">
        <f>Common!$D$61</f>
        <v>12.265493399927911</v>
      </c>
      <c r="K238" s="13">
        <f t="array" ref="K238">(SUMPRODUCT($C$2:$C$9,TRANSPOSE('SS Material Flow'!B263:I263))+SUMPRODUCT(Single.Stream!$C$13:$C$18,TRANSPOSE('SS Material Flow'!J263:O263))+SUMPRODUCT(Single.Stream!$C$21:$C$23,TRANSPOSE('SS Material Flow'!P263:R263))+SUMPRODUCT(Single.Stream!$B$28:$B$29,TRANSPOSE('SS Material Flow'!S263:T263)))/'SS Material Flow'!$B128</f>
        <v>26.345199999999998</v>
      </c>
      <c r="L238" s="5">
        <f>(B$184*'SS Material Flow'!$M128+B$185*SUM('SS Material Flow'!$H219:$I219)+B$186*$E238/Common!$B$2)/('SS Material Flow'!$B128)</f>
        <v>0</v>
      </c>
      <c r="M238" s="9">
        <f>(C$184*'SS Material Flow'!$M128+C$185*SUM('SS Material Flow'!$H219:$I219)+C$186*$E238/Common!$B$2)/('SS Material Flow'!$B128)</f>
        <v>0</v>
      </c>
      <c r="N238" s="9">
        <f>(D$184*'SS Material Flow'!$M128+D$185*SUM('SS Material Flow'!$H219:$I219)+D$186*$E238/Common!$B$2)/('SS Material Flow'!$B128)</f>
        <v>0</v>
      </c>
      <c r="O238" s="9">
        <f>(E$184*'SS Material Flow'!$M128+E$185*SUM('SS Material Flow'!$H219:$I219)+E$186*$E238/Common!$B$2)/('SS Material Flow'!$B128)</f>
        <v>0</v>
      </c>
      <c r="P238" s="4">
        <f>(F$184*'SS Material Flow'!$M128+F$185*SUM('SS Material Flow'!$H219:$I219)+F$186*$E238/Common!$B$2)/('SS Material Flow'!$B128)</f>
        <v>0</v>
      </c>
      <c r="Q238" s="5">
        <f>($G$184*B$184*'SS Material Flow'!$M128+$G$185*B$185*SUM('SS Material Flow'!$H219:$I219)+$G$186*B$186*$E238/Common!$B$2)/('SS Material Flow'!$B128)</f>
        <v>0</v>
      </c>
      <c r="R238" s="4">
        <f>($G$184*C$184*'SS Material Flow'!$M128+$G$185*C$185*SUM('SS Material Flow'!$H219:$I219)+$G$186*C$186*$E238/Common!$B$2)/('SS Material Flow'!$B128)</f>
        <v>0</v>
      </c>
    </row>
    <row r="239" spans="1:18" x14ac:dyDescent="0.35">
      <c r="A239" t="str">
        <f t="shared" si="18"/>
        <v>Mixed Glass</v>
      </c>
      <c r="B239" s="32">
        <f t="array" ref="B239">(SUMPRODUCT('SS Material Flow'!$C175:$Y175,'SS Material Flow'!$C$134:$Y$134,IF('SS Material Flow'!$C$180:$Y$180&gt;0,1/'SS Material Flow'!$C$180:$Y$180,0),TRANSPOSE(J$109:J$131))+(SUM('SS Material Flow'!$B129:$D129,'SS Material Flow'!$F129:$J129,'SS Material Flow'!$L129:$X129)*Single.Stream!J$108))/'SS Material Flow'!$B129+$B$180+$B$181+J$132</f>
        <v>8.5065393792912634</v>
      </c>
      <c r="C239" s="32">
        <f t="array" ref="C239">(SUMPRODUCT('SS Material Flow'!$C175:$Y175,'SS Material Flow'!$C$134:$Y$134,IF('SS Material Flow'!$C$180:$Y$180&gt;0,1/'SS Material Flow'!$C$180:$Y$180,0),TRANSPOSE(K$109:K$131))+(SUM('SS Material Flow'!$B129:$D129,'SS Material Flow'!$F129:$J129,'SS Material Flow'!$L129:$X129)*Single.Stream!K$108))/'SS Material Flow'!$B129+K$132</f>
        <v>0.7</v>
      </c>
      <c r="D239" s="32">
        <f t="array" ref="D239">(SUMPRODUCT('SS Material Flow'!$C175:$Y175,'SS Material Flow'!$C$134:$Y$134,IF('SS Material Flow'!$C$180:$Y$180&gt;0,1/'SS Material Flow'!$C$180:$Y$180,0),TRANSPOSE(L$109:L$131))+(SUM('SS Material Flow'!$B129:$D129,'SS Material Flow'!$F129:$J129,'SS Material Flow'!$L129:$X129)*Single.Stream!L$108))/'SS Material Flow'!$B129+L$132</f>
        <v>0</v>
      </c>
      <c r="E239" s="206">
        <f t="shared" si="19"/>
        <v>0</v>
      </c>
      <c r="F239" s="173">
        <f t="array" ref="F239">(SUMPRODUCT('SS Material Flow'!$C175:$Y175,'SS Material Flow'!$C$134:$Y$134,IF('SS Material Flow'!$C$180:$Y$180&gt;0,1/'SS Material Flow'!$C$180:$Y$180,0),TRANSPOSE(T$109:T$131))+(SUM('SS Material Flow'!$B129:$D129,'SS Material Flow'!$F129:$J129,'SS Material Flow'!$L129:$X129)*Single.Stream!T$108))/'SS Material Flow'!$B129+T$132</f>
        <v>7.1931532187607541</v>
      </c>
      <c r="G239" s="142">
        <f t="array" ref="G239">Common!$D$16*((SUMPRODUCT('SS Material Flow'!$C175:$Y175,'SS Material Flow'!$C$134:$Y$134,IF('SS Material Flow'!$C$180:$Y$180&gt;0,1/'SS Material Flow'!$C$180:$Y$180,0),TRANSPOSE(U$109:U$131))+(SUM('SS Material Flow'!$B129:$D129,'SS Material Flow'!$F129:$J129,'SS Material Flow'!$L129:$X129)*Single.Stream!U$108))/'SS Material Flow'!$B129+U$132)+Common!$D$17*((SUMPRODUCT('SS Material Flow'!$C175:$Y175,'SS Material Flow'!$C$134:$Y$134,IF('SS Material Flow'!$C$180:$Y$180&gt;0,1/'SS Material Flow'!$C$180:$Y$180,0),TRANSPOSE(V$109:V$131))+(SUM('SS Material Flow'!$B129:$D129,'SS Material Flow'!$F129:$J129,'SS Material Flow'!$L129:$X129)*Single.Stream!V$108))/'SS Material Flow'!$B129+V$132)</f>
        <v>1.1764705882352944</v>
      </c>
      <c r="H239" s="142">
        <f t="array" ref="H239">($D$199/$D$197*SUMPRODUCT(1/TRANSPOSE($E$2:$E$3),'SS Material Flow'!$C220:$D220)+$C$199/$C$197*SUMPRODUCT(1/TRANSPOSE($E$4:$E$8),'SS Material Flow'!$E220:$I220))/'SS Material Flow'!$B129</f>
        <v>0</v>
      </c>
      <c r="I239" s="233">
        <f t="shared" si="20"/>
        <v>8.3696238069960494</v>
      </c>
      <c r="J239" s="239">
        <f>Common!$D$61</f>
        <v>12.265493399927911</v>
      </c>
      <c r="K239" s="13">
        <f t="array" ref="K239">(SUMPRODUCT($C$2:$C$9,TRANSPOSE('SS Material Flow'!B264:I264))+SUMPRODUCT(Single.Stream!$C$13:$C$18,TRANSPOSE('SS Material Flow'!J264:O264))+SUMPRODUCT(Single.Stream!$C$21:$C$23,TRANSPOSE('SS Material Flow'!P264:R264))+SUMPRODUCT(Single.Stream!$B$28:$B$29,TRANSPOSE('SS Material Flow'!S264:T264)))/'SS Material Flow'!$B129</f>
        <v>9.4090000000000007</v>
      </c>
      <c r="L239" s="5">
        <f>(B$184*'SS Material Flow'!$M129+B$185*SUM('SS Material Flow'!$H220:$I220)+B$186*$E239/Common!$B$2)/('SS Material Flow'!$B129)</f>
        <v>0</v>
      </c>
      <c r="M239" s="9">
        <f>(C$184*'SS Material Flow'!$M129+C$185*SUM('SS Material Flow'!$H220:$I220)+C$186*$E239/Common!$B$2)/('SS Material Flow'!$B129)</f>
        <v>0</v>
      </c>
      <c r="N239" s="9">
        <f>(D$184*'SS Material Flow'!$M129+D$185*SUM('SS Material Flow'!$H220:$I220)+D$186*$E239/Common!$B$2)/('SS Material Flow'!$B129)</f>
        <v>0</v>
      </c>
      <c r="O239" s="9">
        <f>(E$184*'SS Material Flow'!$M129+E$185*SUM('SS Material Flow'!$H220:$I220)+E$186*$E239/Common!$B$2)/('SS Material Flow'!$B129)</f>
        <v>0</v>
      </c>
      <c r="P239" s="4">
        <f>(F$184*'SS Material Flow'!$M129+F$185*SUM('SS Material Flow'!$H220:$I220)+F$186*$E239/Common!$B$2)/('SS Material Flow'!$B129)</f>
        <v>0</v>
      </c>
      <c r="Q239" s="5">
        <f>($G$184*B$184*'SS Material Flow'!$M129+$G$185*B$185*SUM('SS Material Flow'!$H220:$I220)+$G$186*B$186*$E239/Common!$B$2)/('SS Material Flow'!$B129)</f>
        <v>0</v>
      </c>
      <c r="R239" s="4">
        <f>($G$184*C$184*'SS Material Flow'!$M129+$G$185*C$185*SUM('SS Material Flow'!$H220:$I220)+$G$186*C$186*$E239/Common!$B$2)/('SS Material Flow'!$B129)</f>
        <v>0</v>
      </c>
    </row>
    <row r="240" spans="1:18" x14ac:dyDescent="0.35">
      <c r="A240" t="str">
        <f t="shared" si="18"/>
        <v>Glass - Non-recyclable</v>
      </c>
      <c r="B240" s="32">
        <f t="array" ref="B240">(SUMPRODUCT('SS Material Flow'!$C176:$Y176,'SS Material Flow'!$C$134:$Y$134,IF('SS Material Flow'!$C$180:$Y$180&gt;0,1/'SS Material Flow'!$C$180:$Y$180,0),TRANSPOSE(J$109:J$131))+(SUM('SS Material Flow'!$B130:$D130,'SS Material Flow'!$F130:$J130,'SS Material Flow'!$L130:$X130)*Single.Stream!J$108))/'SS Material Flow'!$B130+$B$180+$B$181+J$132</f>
        <v>8.5065393792912634</v>
      </c>
      <c r="C240" s="32">
        <f t="array" ref="C240">(SUMPRODUCT('SS Material Flow'!$C176:$Y176,'SS Material Flow'!$C$134:$Y$134,IF('SS Material Flow'!$C$180:$Y$180&gt;0,1/'SS Material Flow'!$C$180:$Y$180,0),TRANSPOSE(K$109:K$131))+(SUM('SS Material Flow'!$B130:$D130,'SS Material Flow'!$F130:$J130,'SS Material Flow'!$L130:$X130)*Single.Stream!K$108))/'SS Material Flow'!$B130+K$132</f>
        <v>0.7</v>
      </c>
      <c r="D240" s="32">
        <f t="array" ref="D240">(SUMPRODUCT('SS Material Flow'!$C176:$Y176,'SS Material Flow'!$C$134:$Y$134,IF('SS Material Flow'!$C$180:$Y$180&gt;0,1/'SS Material Flow'!$C$180:$Y$180,0),TRANSPOSE(L$109:L$131))+(SUM('SS Material Flow'!$B130:$D130,'SS Material Flow'!$F130:$J130,'SS Material Flow'!$L130:$X130)*Single.Stream!L$108))/'SS Material Flow'!$B130+L$132</f>
        <v>0</v>
      </c>
      <c r="E240" s="206">
        <f t="shared" si="19"/>
        <v>0</v>
      </c>
      <c r="F240" s="173">
        <f t="array" ref="F240">(SUMPRODUCT('SS Material Flow'!$C176:$Y176,'SS Material Flow'!$C$134:$Y$134,IF('SS Material Flow'!$C$180:$Y$180&gt;0,1/'SS Material Flow'!$C$180:$Y$180,0),TRANSPOSE(T$109:T$131))+(SUM('SS Material Flow'!$B130:$D130,'SS Material Flow'!$F130:$J130,'SS Material Flow'!$L130:$X130)*Single.Stream!T$108))/'SS Material Flow'!$B130+T$132</f>
        <v>7.1931532187607541</v>
      </c>
      <c r="G240" s="142">
        <f t="array" ref="G240">Common!$D$16*((SUMPRODUCT('SS Material Flow'!$C176:$Y176,'SS Material Flow'!$C$134:$Y$134,IF('SS Material Flow'!$C$180:$Y$180&gt;0,1/'SS Material Flow'!$C$180:$Y$180,0),TRANSPOSE(U$109:U$131))+(SUM('SS Material Flow'!$B130:$D130,'SS Material Flow'!$F130:$J130,'SS Material Flow'!$L130:$X130)*Single.Stream!U$108))/'SS Material Flow'!$B130+U$132)+Common!$D$17*((SUMPRODUCT('SS Material Flow'!$C176:$Y176,'SS Material Flow'!$C$134:$Y$134,IF('SS Material Flow'!$C$180:$Y$180&gt;0,1/'SS Material Flow'!$C$180:$Y$180,0),TRANSPOSE(V$109:V$131))+(SUM('SS Material Flow'!$B130:$D130,'SS Material Flow'!$F130:$J130,'SS Material Flow'!$L130:$X130)*Single.Stream!V$108))/'SS Material Flow'!$B130+V$132)</f>
        <v>1.1764705882352944</v>
      </c>
      <c r="H240" s="142">
        <f t="array" ref="H240">($D$199/$D$197*SUMPRODUCT(1/TRANSPOSE($E$2:$E$3),'SS Material Flow'!$C221:$D221)+$C$199/$C$197*SUMPRODUCT(1/TRANSPOSE($E$4:$E$8),'SS Material Flow'!$E221:$I221))/'SS Material Flow'!$B130</f>
        <v>0</v>
      </c>
      <c r="I240" s="233">
        <f t="shared" si="20"/>
        <v>8.3696238069960494</v>
      </c>
      <c r="J240" s="239">
        <f>Common!$D$61</f>
        <v>12.265493399927911</v>
      </c>
      <c r="K240" s="13">
        <f t="array" ref="K240">(SUMPRODUCT($C$2:$C$9,TRANSPOSE('SS Material Flow'!B265:I265))+SUMPRODUCT(Single.Stream!$C$13:$C$18,TRANSPOSE('SS Material Flow'!J265:O265))+SUMPRODUCT(Single.Stream!$C$21:$C$23,TRANSPOSE('SS Material Flow'!P265:R265))+SUMPRODUCT(Single.Stream!$B$28:$B$29,TRANSPOSE('SS Material Flow'!S265:T265)))/'SS Material Flow'!$B130</f>
        <v>9.4090000000000007</v>
      </c>
      <c r="L240" s="5">
        <f>(B$184*'SS Material Flow'!$M130+B$185*SUM('SS Material Flow'!$H221:$I221)+B$186*$E240/Common!$B$2)/('SS Material Flow'!$B130)</f>
        <v>0</v>
      </c>
      <c r="M240" s="9">
        <f>(C$184*'SS Material Flow'!$M130+C$185*SUM('SS Material Flow'!$H221:$I221)+C$186*$E240/Common!$B$2)/('SS Material Flow'!$B130)</f>
        <v>0</v>
      </c>
      <c r="N240" s="9">
        <f>(D$184*'SS Material Flow'!$M130+D$185*SUM('SS Material Flow'!$H221:$I221)+D$186*$E240/Common!$B$2)/('SS Material Flow'!$B130)</f>
        <v>0</v>
      </c>
      <c r="O240" s="9">
        <f>(E$184*'SS Material Flow'!$M130+E$185*SUM('SS Material Flow'!$H221:$I221)+E$186*$E240/Common!$B$2)/('SS Material Flow'!$B130)</f>
        <v>0</v>
      </c>
      <c r="P240" s="4">
        <f>(F$184*'SS Material Flow'!$M130+F$185*SUM('SS Material Flow'!$H221:$I221)+F$186*$E240/Common!$B$2)/('SS Material Flow'!$B130)</f>
        <v>0</v>
      </c>
      <c r="Q240" s="5">
        <f>($G$184*B$184*'SS Material Flow'!$M130+$G$185*B$185*SUM('SS Material Flow'!$H221:$I221)+$G$186*B$186*$E240/Common!$B$2)/('SS Material Flow'!$B130)</f>
        <v>0</v>
      </c>
      <c r="R240" s="4">
        <f>($G$184*C$184*'SS Material Flow'!$M130+$G$185*C$185*SUM('SS Material Flow'!$H221:$I221)+$G$186*C$186*$E240/Common!$B$2)/('SS Material Flow'!$B130)</f>
        <v>0</v>
      </c>
    </row>
    <row r="241" spans="1:116" x14ac:dyDescent="0.35">
      <c r="A241" t="str">
        <f t="shared" si="18"/>
        <v>Misc. Organic</v>
      </c>
      <c r="B241" s="32">
        <f t="array" ref="B241">(SUMPRODUCT('SS Material Flow'!$C177:$Y177,'SS Material Flow'!$C$134:$Y$134,IF('SS Material Flow'!$C$180:$Y$180&gt;0,1/'SS Material Flow'!$C$180:$Y$180,0),TRANSPOSE(J$109:J$131))+(SUM('SS Material Flow'!$B131:$D131,'SS Material Flow'!$F131:$J131,'SS Material Flow'!$L131:$X131)*Single.Stream!J$108))/'SS Material Flow'!$B131+$B$180+$B$181+J$132</f>
        <v>3.5917727575846561</v>
      </c>
      <c r="C241" s="32">
        <f t="array" ref="C241">(SUMPRODUCT('SS Material Flow'!$C177:$Y177,'SS Material Flow'!$C$134:$Y$134,IF('SS Material Flow'!$C$180:$Y$180&gt;0,1/'SS Material Flow'!$C$180:$Y$180,0),TRANSPOSE(K$109:K$131))+(SUM('SS Material Flow'!$B131:$D131,'SS Material Flow'!$F131:$J131,'SS Material Flow'!$L131:$X131)*Single.Stream!K$108))/'SS Material Flow'!$B131+K$132</f>
        <v>0.7</v>
      </c>
      <c r="D241" s="32">
        <f t="array" ref="D241">(SUMPRODUCT('SS Material Flow'!$C177:$Y177,'SS Material Flow'!$C$134:$Y$134,IF('SS Material Flow'!$C$180:$Y$180&gt;0,1/'SS Material Flow'!$C$180:$Y$180,0),TRANSPOSE(L$109:L$131))+(SUM('SS Material Flow'!$B131:$D131,'SS Material Flow'!$F131:$J131,'SS Material Flow'!$L131:$X131)*Single.Stream!L$108))/'SS Material Flow'!$B131+L$132</f>
        <v>0</v>
      </c>
      <c r="E241" s="206">
        <f t="shared" si="19"/>
        <v>0</v>
      </c>
      <c r="F241" s="173">
        <f t="array" ref="F241">(SUMPRODUCT('SS Material Flow'!$C177:$Y177,'SS Material Flow'!$C$134:$Y$134,IF('SS Material Flow'!$C$180:$Y$180&gt;0,1/'SS Material Flow'!$C$180:$Y$180,0),TRANSPOSE(T$109:T$131))+(SUM('SS Material Flow'!$B131:$D131,'SS Material Flow'!$F131:$J131,'SS Material Flow'!$L131:$X131)*Single.Stream!T$108))/'SS Material Flow'!$B131+T$132</f>
        <v>5.0047447907919604</v>
      </c>
      <c r="G241" s="142">
        <f t="array" ref="G241">Common!$D$16*((SUMPRODUCT('SS Material Flow'!$C177:$Y177,'SS Material Flow'!$C$134:$Y$134,IF('SS Material Flow'!$C$180:$Y$180&gt;0,1/'SS Material Flow'!$C$180:$Y$180,0),TRANSPOSE(U$109:U$131))+(SUM('SS Material Flow'!$B131:$D131,'SS Material Flow'!$F131:$J131,'SS Material Flow'!$L131:$X131)*Single.Stream!U$108))/'SS Material Flow'!$B131+U$132)+Common!$D$17*((SUMPRODUCT('SS Material Flow'!$C177:$Y177,'SS Material Flow'!$C$134:$Y$134,IF('SS Material Flow'!$C$180:$Y$180&gt;0,1/'SS Material Flow'!$C$180:$Y$180,0),TRANSPOSE(V$109:V$131))+(SUM('SS Material Flow'!$B131:$D131,'SS Material Flow'!$F131:$J131,'SS Material Flow'!$L131:$X131)*Single.Stream!V$108))/'SS Material Flow'!$B131+V$132)</f>
        <v>1.1764705882352944</v>
      </c>
      <c r="H241" s="142">
        <f t="array" ref="H241">($D$199/$D$197*SUMPRODUCT(1/TRANSPOSE($E$2:$E$3),'SS Material Flow'!$C222:$D222)+$C$199/$C$197*SUMPRODUCT(1/TRANSPOSE($E$4:$E$8),'SS Material Flow'!$E222:$I222))/'SS Material Flow'!$B131</f>
        <v>0</v>
      </c>
      <c r="I241" s="233">
        <f t="shared" si="20"/>
        <v>6.1812153790272548</v>
      </c>
      <c r="J241" s="239">
        <f>Common!$D$61</f>
        <v>12.265493399927911</v>
      </c>
      <c r="K241" s="13">
        <f t="array" ref="K241">(SUMPRODUCT($C$2:$C$9,TRANSPOSE('SS Material Flow'!B266:I266))+SUMPRODUCT(Single.Stream!$C$13:$C$18,TRANSPOSE('SS Material Flow'!J266:O266))+SUMPRODUCT(Single.Stream!$C$21:$C$23,TRANSPOSE('SS Material Flow'!P266:R266))+SUMPRODUCT(Single.Stream!$B$28:$B$29,TRANSPOSE('SS Material Flow'!S266:T266)))/'SS Material Flow'!$B131</f>
        <v>0</v>
      </c>
      <c r="L241" s="5">
        <f>(B$184*'SS Material Flow'!$M131+B$185*SUM('SS Material Flow'!$H222:$I222)+B$186*$E241/Common!$B$2)/('SS Material Flow'!$B131)</f>
        <v>0</v>
      </c>
      <c r="M241" s="9">
        <f>(C$184*'SS Material Flow'!$M131+C$185*SUM('SS Material Flow'!$H222:$I222)+C$186*$E241/Common!$B$2)/('SS Material Flow'!$B131)</f>
        <v>0</v>
      </c>
      <c r="N241" s="9">
        <f>(D$184*'SS Material Flow'!$M131+D$185*SUM('SS Material Flow'!$H222:$I222)+D$186*$E241/Common!$B$2)/('SS Material Flow'!$B131)</f>
        <v>0</v>
      </c>
      <c r="O241" s="9">
        <f>(E$184*'SS Material Flow'!$M131+E$185*SUM('SS Material Flow'!$H222:$I222)+E$186*$E241/Common!$B$2)/('SS Material Flow'!$B131)</f>
        <v>0</v>
      </c>
      <c r="P241" s="4">
        <f>(F$184*'SS Material Flow'!$M131+F$185*SUM('SS Material Flow'!$H222:$I222)+F$186*$E241/Common!$B$2)/('SS Material Flow'!$B131)</f>
        <v>0</v>
      </c>
      <c r="Q241" s="5">
        <f>($G$184*B$184*'SS Material Flow'!$M131+$G$185*B$185*SUM('SS Material Flow'!$H222:$I222)+$G$186*B$186*$E241/Common!$B$2)/('SS Material Flow'!$B131)</f>
        <v>0</v>
      </c>
      <c r="R241" s="4">
        <f>($G$184*C$184*'SS Material Flow'!$M131+$G$185*C$185*SUM('SS Material Flow'!$H222:$I222)+$G$186*C$186*$E241/Common!$B$2)/('SS Material Flow'!$B131)</f>
        <v>0</v>
      </c>
    </row>
    <row r="242" spans="1:116" x14ac:dyDescent="0.35">
      <c r="A242" t="str">
        <f t="shared" si="18"/>
        <v>Misc. Inorganic</v>
      </c>
      <c r="B242" s="32">
        <f t="array" ref="B242">(SUMPRODUCT('SS Material Flow'!$C178:$Y178,'SS Material Flow'!$C$134:$Y$134,IF('SS Material Flow'!$C$180:$Y$180&gt;0,1/'SS Material Flow'!$C$180:$Y$180,0),TRANSPOSE(J$109:J$131))+(SUM('SS Material Flow'!$B132:$D132,'SS Material Flow'!$F132:$J132,'SS Material Flow'!$L132:$X132)*Single.Stream!J$108))/'SS Material Flow'!$B132+$B$180+$B$181+J$132</f>
        <v>3.5917727575846561</v>
      </c>
      <c r="C242" s="32">
        <f t="array" ref="C242">(SUMPRODUCT('SS Material Flow'!$C178:$Y178,'SS Material Flow'!$C$134:$Y$134,IF('SS Material Flow'!$C$180:$Y$180&gt;0,1/'SS Material Flow'!$C$180:$Y$180,0),TRANSPOSE(K$109:K$131))+(SUM('SS Material Flow'!$B132:$D132,'SS Material Flow'!$F132:$J132,'SS Material Flow'!$L132:$X132)*Single.Stream!K$108))/'SS Material Flow'!$B132+K$132</f>
        <v>0.7</v>
      </c>
      <c r="D242" s="32">
        <f t="array" ref="D242">(SUMPRODUCT('SS Material Flow'!$C178:$Y178,'SS Material Flow'!$C$134:$Y$134,IF('SS Material Flow'!$C$180:$Y$180&gt;0,1/'SS Material Flow'!$C$180:$Y$180,0),TRANSPOSE(L$109:L$131))+(SUM('SS Material Flow'!$B132:$D132,'SS Material Flow'!$F132:$J132,'SS Material Flow'!$L132:$X132)*Single.Stream!L$108))/'SS Material Flow'!$B132+L$132</f>
        <v>0</v>
      </c>
      <c r="E242" s="206">
        <f t="shared" si="19"/>
        <v>0</v>
      </c>
      <c r="F242" s="173">
        <f t="array" ref="F242">(SUMPRODUCT('SS Material Flow'!$C178:$Y178,'SS Material Flow'!$C$134:$Y$134,IF('SS Material Flow'!$C$180:$Y$180&gt;0,1/'SS Material Flow'!$C$180:$Y$180,0),TRANSPOSE(T$109:T$131))+(SUM('SS Material Flow'!$B132:$D132,'SS Material Flow'!$F132:$J132,'SS Material Flow'!$L132:$X132)*Single.Stream!T$108))/'SS Material Flow'!$B132+T$132</f>
        <v>5.0047447907919604</v>
      </c>
      <c r="G242" s="142">
        <f t="array" ref="G242">Common!$D$16*((SUMPRODUCT('SS Material Flow'!$C178:$Y178,'SS Material Flow'!$C$134:$Y$134,IF('SS Material Flow'!$C$180:$Y$180&gt;0,1/'SS Material Flow'!$C$180:$Y$180,0),TRANSPOSE(U$109:U$131))+(SUM('SS Material Flow'!$B132:$D132,'SS Material Flow'!$F132:$J132,'SS Material Flow'!$L132:$X132)*Single.Stream!U$108))/'SS Material Flow'!$B132+U$132)+Common!$D$17*((SUMPRODUCT('SS Material Flow'!$C178:$Y178,'SS Material Flow'!$C$134:$Y$134,IF('SS Material Flow'!$C$180:$Y$180&gt;0,1/'SS Material Flow'!$C$180:$Y$180,0),TRANSPOSE(V$109:V$131))+(SUM('SS Material Flow'!$B132:$D132,'SS Material Flow'!$F132:$J132,'SS Material Flow'!$L132:$X132)*Single.Stream!V$108))/'SS Material Flow'!$B132+V$132)</f>
        <v>1.1764705882352944</v>
      </c>
      <c r="H242" s="142">
        <f t="array" ref="H242">($D$199/$D$197*SUMPRODUCT(1/TRANSPOSE($E$2:$E$3),'SS Material Flow'!$C223:$D223)+$C$199/$C$197*SUMPRODUCT(1/TRANSPOSE($E$4:$E$8),'SS Material Flow'!$E223:$I223))/'SS Material Flow'!$B132</f>
        <v>0</v>
      </c>
      <c r="I242" s="233">
        <f t="shared" si="20"/>
        <v>6.1812153790272548</v>
      </c>
      <c r="J242" s="239">
        <f>Common!$D$61</f>
        <v>12.265493399927911</v>
      </c>
      <c r="K242" s="13">
        <f t="array" ref="K242">(SUMPRODUCT($C$2:$C$9,TRANSPOSE('SS Material Flow'!B267:I267))+SUMPRODUCT(Single.Stream!$C$13:$C$18,TRANSPOSE('SS Material Flow'!J267:O267))+SUMPRODUCT(Single.Stream!$C$21:$C$23,TRANSPOSE('SS Material Flow'!P267:R267))+SUMPRODUCT(Single.Stream!$B$28:$B$29,TRANSPOSE('SS Material Flow'!S267:T267)))/'SS Material Flow'!$B132</f>
        <v>0</v>
      </c>
      <c r="L242" s="5">
        <f>(B$184*'SS Material Flow'!$M132+B$185*SUM('SS Material Flow'!$H223:$I223)+B$186*$E242/Common!$B$2)/('SS Material Flow'!$B132)</f>
        <v>0</v>
      </c>
      <c r="M242" s="9">
        <f>(C$184*'SS Material Flow'!$M132+C$185*SUM('SS Material Flow'!$H223:$I223)+C$186*$E242/Common!$B$2)/('SS Material Flow'!$B132)</f>
        <v>0</v>
      </c>
      <c r="N242" s="9">
        <f>(D$184*'SS Material Flow'!$M132+D$185*SUM('SS Material Flow'!$H223:$I223)+D$186*$E242/Common!$B$2)/('SS Material Flow'!$B132)</f>
        <v>0</v>
      </c>
      <c r="O242" s="9">
        <f>(E$184*'SS Material Flow'!$M132+E$185*SUM('SS Material Flow'!$H223:$I223)+E$186*$E242/Common!$B$2)/('SS Material Flow'!$B132)</f>
        <v>0</v>
      </c>
      <c r="P242" s="4">
        <f>(F$184*'SS Material Flow'!$M132+F$185*SUM('SS Material Flow'!$H223:$I223)+F$186*$E242/Common!$B$2)/('SS Material Flow'!$B132)</f>
        <v>0</v>
      </c>
      <c r="Q242" s="5">
        <f>($G$184*B$184*'SS Material Flow'!$M132+$G$185*B$185*SUM('SS Material Flow'!$H223:$I223)+$G$186*B$186*$E242/Common!$B$2)/('SS Material Flow'!$B132)</f>
        <v>0</v>
      </c>
      <c r="R242" s="4">
        <f>($G$184*C$184*'SS Material Flow'!$M132+$G$185*C$185*SUM('SS Material Flow'!$H223:$I223)+$G$186*C$186*$E242/Common!$B$2)/('SS Material Flow'!$B132)</f>
        <v>0</v>
      </c>
    </row>
    <row r="243" spans="1:116" x14ac:dyDescent="0.35">
      <c r="A243" t="str">
        <f t="shared" si="18"/>
        <v>E-waste</v>
      </c>
      <c r="B243" s="32">
        <f t="array" ref="B243">(SUMPRODUCT('SS Material Flow'!$C179:$Y179,'SS Material Flow'!$C$134:$Y$134,IF('SS Material Flow'!$C$180:$Y$180&gt;0,1/'SS Material Flow'!$C$180:$Y$180,0),TRANSPOSE(J$109:J$131))+(SUM('SS Material Flow'!$B133:$D133,'SS Material Flow'!$F133:$J133,'SS Material Flow'!$L133:$X133)*Single.Stream!J$108))/'SS Material Flow'!$B133+$B$180+$B$181+J$132</f>
        <v>3.5917727575846561</v>
      </c>
      <c r="C243" s="32">
        <f t="array" ref="C243">(SUMPRODUCT('SS Material Flow'!$C179:$Y179,'SS Material Flow'!$C$134:$Y$134,IF('SS Material Flow'!$C$180:$Y$180&gt;0,1/'SS Material Flow'!$C$180:$Y$180,0),TRANSPOSE(K$109:K$131))+(SUM('SS Material Flow'!$B133:$D133,'SS Material Flow'!$F133:$J133,'SS Material Flow'!$L133:$X133)*Single.Stream!K$108))/'SS Material Flow'!$B133+K$132</f>
        <v>0.7</v>
      </c>
      <c r="D243" s="32">
        <f t="array" ref="D243">(SUMPRODUCT('SS Material Flow'!$C179:$Y179,'SS Material Flow'!$C$134:$Y$134,IF('SS Material Flow'!$C$180:$Y$180&gt;0,1/'SS Material Flow'!$C$180:$Y$180,0),TRANSPOSE(L$109:L$131))+(SUM('SS Material Flow'!$B133:$D133,'SS Material Flow'!$F133:$J133,'SS Material Flow'!$L133:$X133)*Single.Stream!L$108))/'SS Material Flow'!$B133+L$132</f>
        <v>0</v>
      </c>
      <c r="E243" s="206">
        <f t="shared" si="19"/>
        <v>0</v>
      </c>
      <c r="F243" s="174">
        <f t="array" ref="F243">(SUMPRODUCT('SS Material Flow'!$C179:$Y179,'SS Material Flow'!$C$134:$Y$134,IF('SS Material Flow'!$C$180:$Y$180&gt;0,1/'SS Material Flow'!$C$180:$Y$180,0),TRANSPOSE(T$109:T$131))+(SUM('SS Material Flow'!$B133:$D133,'SS Material Flow'!$F133:$J133,'SS Material Flow'!$L133:$X133)*Single.Stream!T$108))/'SS Material Flow'!$B133+T$132</f>
        <v>5.0047447907919604</v>
      </c>
      <c r="G243" s="143">
        <f t="array" ref="G243">Common!$D$16*((SUMPRODUCT('SS Material Flow'!$C179:$Y179,'SS Material Flow'!$C$134:$Y$134,IF('SS Material Flow'!$C$180:$Y$180&gt;0,1/'SS Material Flow'!$C$180:$Y$180,0),TRANSPOSE(U$109:U$131))+(SUM('SS Material Flow'!$B133:$D133,'SS Material Flow'!$F133:$J133,'SS Material Flow'!$L133:$X133)*Single.Stream!U$108))/'SS Material Flow'!$B133+U$132)+Common!$D$17*((SUMPRODUCT('SS Material Flow'!$C179:$Y179,'SS Material Flow'!$C$134:$Y$134,IF('SS Material Flow'!$C$180:$Y$180&gt;0,1/'SS Material Flow'!$C$180:$Y$180,0),TRANSPOSE(V$109:V$131))+(SUM('SS Material Flow'!$B133:$D133,'SS Material Flow'!$F133:$J133,'SS Material Flow'!$L133:$X133)*Single.Stream!V$108))/'SS Material Flow'!$B133+V$132)</f>
        <v>1.1764705882352944</v>
      </c>
      <c r="H243" s="143">
        <f t="array" ref="H243">($D$199/$D$197*SUMPRODUCT(1/TRANSPOSE($E$2:$E$3),'SS Material Flow'!$C224:$D224)+$C$199/$C$197*SUMPRODUCT(1/TRANSPOSE($E$4:$E$8),'SS Material Flow'!$E224:$I224))/'SS Material Flow'!$B133</f>
        <v>0</v>
      </c>
      <c r="I243" s="237">
        <f t="shared" si="20"/>
        <v>6.1812153790272548</v>
      </c>
      <c r="J243" s="240">
        <f>Common!$D$61</f>
        <v>12.265493399927911</v>
      </c>
      <c r="K243" s="225">
        <f t="array" ref="K243">(SUMPRODUCT($C$2:$C$9,TRANSPOSE('SS Material Flow'!B268:I268))+SUMPRODUCT(Single.Stream!$C$13:$C$18,TRANSPOSE('SS Material Flow'!J268:O268))+SUMPRODUCT(Single.Stream!$C$21:$C$23,TRANSPOSE('SS Material Flow'!P268:R268))+SUMPRODUCT(Single.Stream!$B$28:$B$29,TRANSPOSE('SS Material Flow'!S268:T268)))/'SS Material Flow'!$B133</f>
        <v>0</v>
      </c>
      <c r="L243" s="10">
        <f>(B$184*'SS Material Flow'!$M133+B$185*SUM('SS Material Flow'!$H224:$I224)+B$186*$E243/Common!$B$2)/('SS Material Flow'!$B133)</f>
        <v>0</v>
      </c>
      <c r="M243" s="1">
        <f>(C$184*'SS Material Flow'!$M133+C$185*SUM('SS Material Flow'!$H224:$I224)+C$186*$E243/Common!$B$2)/('SS Material Flow'!$B133)</f>
        <v>0</v>
      </c>
      <c r="N243" s="1">
        <f>(D$184*'SS Material Flow'!$M133+D$185*SUM('SS Material Flow'!$H224:$I224)+D$186*$E243/Common!$B$2)/('SS Material Flow'!$B133)</f>
        <v>0</v>
      </c>
      <c r="O243" s="1">
        <f>(E$184*'SS Material Flow'!$M133+E$185*SUM('SS Material Flow'!$H224:$I224)+E$186*$E243/Common!$B$2)/('SS Material Flow'!$B133)</f>
        <v>0</v>
      </c>
      <c r="P243" s="22">
        <f>(F$184*'SS Material Flow'!$M133+F$185*SUM('SS Material Flow'!$H224:$I224)+F$186*$E243/Common!$B$2)/('SS Material Flow'!$B133)</f>
        <v>0</v>
      </c>
      <c r="Q243" s="10">
        <f>($G$184*B$184*'SS Material Flow'!$M133+$G$185*B$185*SUM('SS Material Flow'!$H224:$I224)+$G$186*B$186*$E243/Common!$B$2)/('SS Material Flow'!$B133)</f>
        <v>0</v>
      </c>
      <c r="R243" s="22">
        <f>($G$184*C$184*'SS Material Flow'!$M133+$G$185*C$185*SUM('SS Material Flow'!$H224:$I224)+$G$186*C$186*$E243/Common!$B$2)/('SS Material Flow'!$B133)</f>
        <v>0</v>
      </c>
    </row>
    <row r="244" spans="1:116" x14ac:dyDescent="0.35">
      <c r="A244" t="s">
        <v>359</v>
      </c>
      <c r="B244" s="32">
        <f t="array" ref="B244">SUMPRODUCT(B203:B243,'SS Material Flow'!$B$93:$B$133)</f>
        <v>419.22371173371675</v>
      </c>
      <c r="C244" s="32">
        <f t="array" ref="C244">SUMPRODUCT(C$203:C$243,'SS Material Flow'!$B$93:$B$133)</f>
        <v>70.000017500000013</v>
      </c>
      <c r="D244" s="32">
        <f t="array" ref="D244">SUMPRODUCT(D$203:D$243,'SS Material Flow'!$B$93:$B$133)</f>
        <v>0</v>
      </c>
      <c r="E244" s="32">
        <f t="array" ref="E244">SUMPRODUCT(E$203:E$243,'SS Material Flow'!$B$93:$B$133)</f>
        <v>93.066602195313322</v>
      </c>
      <c r="F244" s="32">
        <f t="array" ref="F244">SUMPRODUCT(F$203:F$243,'SS Material Flow'!$B$93:$B$133)</f>
        <v>448.96867369726095</v>
      </c>
      <c r="G244" s="32">
        <f t="array" ref="G244">SUMPRODUCT(G$203:G$243,'SS Material Flow'!$B$93:$B$133)</f>
        <v>179.04396067588243</v>
      </c>
      <c r="H244" s="32">
        <f t="array" ref="H244">SUMPRODUCT(H$203:H$243,'SS Material Flow'!$B$93:$B$133)</f>
        <v>195.9051976211345</v>
      </c>
      <c r="I244" s="32">
        <f t="array" ref="I244">SUMPRODUCT(I$203:I$243,'SS Material Flow'!$B$93:$B$133)</f>
        <v>823.91783199427744</v>
      </c>
      <c r="J244" s="32">
        <f t="array" ref="J244">SUMPRODUCT(J$203:J$243,'SS Material Flow'!$B$93:$B$133)</f>
        <v>1226.5496466301252</v>
      </c>
      <c r="K244" s="32">
        <f>SUMPRODUCT(K$203:K$243,'SS Material Flow'!$B$93:$B$133)</f>
        <v>21482.400546622997</v>
      </c>
      <c r="L244" s="32">
        <f t="array" ref="L244">SUMPRODUCT(L$203:L$243,'SS Material Flow'!$B$93:$B$133)</f>
        <v>0</v>
      </c>
      <c r="M244" s="32">
        <f t="array" ref="M244">SUMPRODUCT(M$203:M$243,'SS Material Flow'!$B$93:$B$133)</f>
        <v>0</v>
      </c>
      <c r="N244" s="32">
        <f t="array" ref="N244">SUMPRODUCT(N$203:N$243,'SS Material Flow'!$B$93:$B$133)</f>
        <v>0</v>
      </c>
      <c r="O244" s="32">
        <f t="array" ref="O244">SUMPRODUCT(O$203:O$243,'SS Material Flow'!$B$93:$B$133)</f>
        <v>0</v>
      </c>
      <c r="P244" s="32">
        <f t="array" ref="P244">SUMPRODUCT(P$203:P$243,'SS Material Flow'!$B$93:$B$133)</f>
        <v>0</v>
      </c>
      <c r="Q244" s="32">
        <f t="array" ref="Q244">SUMPRODUCT(Q$203:Q$243,'SS Material Flow'!$B$93:$B$133)</f>
        <v>0</v>
      </c>
      <c r="R244" s="32">
        <f t="array" ref="R244">SUMPRODUCT(R$203:R$243,'SS Material Flow'!$B$93:$B$133)</f>
        <v>0</v>
      </c>
    </row>
    <row r="245" spans="1:116" x14ac:dyDescent="0.35">
      <c r="A245" t="s">
        <v>360</v>
      </c>
      <c r="B245" s="342">
        <f>B244/'SS Material Flow'!$B$134</f>
        <v>4.1922360692781524</v>
      </c>
      <c r="C245" s="342">
        <f>C244/'SS Material Flow'!$B$134</f>
        <v>0.70000000000000051</v>
      </c>
      <c r="D245" s="32">
        <f>D244/'SS Material Flow'!$B$134</f>
        <v>0</v>
      </c>
      <c r="E245" s="342">
        <f>E244/'SS Material Flow'!$B$134</f>
        <v>0.93066578928668631</v>
      </c>
      <c r="F245" s="32">
        <f>F244/'SS Material Flow'!$B$134</f>
        <v>4.4896856145512078</v>
      </c>
      <c r="G245" s="32">
        <f>G244/'SS Material Flow'!$B$134</f>
        <v>1.7904391591490354</v>
      </c>
      <c r="H245" s="32">
        <f>H244/'SS Material Flow'!$B$134</f>
        <v>1.9590514864484745</v>
      </c>
      <c r="I245" s="32">
        <f>I244/'SS Material Flow'!$B$134</f>
        <v>8.2391762601487137</v>
      </c>
      <c r="J245" s="32">
        <f>J244/'SS Material Flow'!$B$134</f>
        <v>12.265493399927907</v>
      </c>
      <c r="K245" s="32">
        <f>K244/'SS Material Flow'!$B$134</f>
        <v>214.82395176024212</v>
      </c>
      <c r="L245" s="32">
        <f>L244/'SS Material Flow'!$B$134</f>
        <v>0</v>
      </c>
      <c r="M245" s="32">
        <f>M244/'SS Material Flow'!$B$134</f>
        <v>0</v>
      </c>
      <c r="N245" s="32">
        <f>N244/'SS Material Flow'!$B$134</f>
        <v>0</v>
      </c>
      <c r="O245" s="32">
        <f>O244/'SS Material Flow'!$B$134</f>
        <v>0</v>
      </c>
      <c r="P245" s="32">
        <f>P244/'SS Material Flow'!$B$134</f>
        <v>0</v>
      </c>
      <c r="Q245" s="32">
        <f>Q244/'SS Material Flow'!$B$134</f>
        <v>0</v>
      </c>
      <c r="R245" s="32">
        <f>R244/'SS Material Flow'!$B$134</f>
        <v>0</v>
      </c>
    </row>
    <row r="246" spans="1:116" x14ac:dyDescent="0.35">
      <c r="B246" s="32"/>
      <c r="C246" s="32"/>
      <c r="D246" s="32"/>
      <c r="E246" s="206"/>
      <c r="F246" s="238"/>
      <c r="G246" s="142"/>
      <c r="H246" s="142"/>
      <c r="I246" s="233"/>
      <c r="J246" s="234"/>
      <c r="K246" s="13"/>
      <c r="L246" s="9"/>
      <c r="M246" s="9"/>
      <c r="N246" s="9"/>
      <c r="O246" s="9"/>
      <c r="P246" s="9"/>
      <c r="Q246" s="9"/>
      <c r="R246" s="9"/>
    </row>
    <row r="247" spans="1:116" x14ac:dyDescent="0.35">
      <c r="B247" s="32"/>
      <c r="C247" s="32"/>
      <c r="D247" s="32"/>
      <c r="E247" s="206"/>
      <c r="F247" s="238"/>
      <c r="G247" s="142"/>
      <c r="H247" s="142"/>
      <c r="I247" s="233"/>
      <c r="J247" s="234"/>
      <c r="K247" s="13"/>
      <c r="L247" s="9"/>
      <c r="M247" s="9"/>
      <c r="N247" s="9"/>
      <c r="O247" s="9"/>
      <c r="P247" s="9"/>
      <c r="Q247" s="9"/>
      <c r="R247" s="9"/>
    </row>
    <row r="248" spans="1:116" x14ac:dyDescent="0.35">
      <c r="B248" s="32"/>
      <c r="C248" s="32"/>
      <c r="D248" s="32"/>
      <c r="E248" s="206"/>
      <c r="F248" s="238"/>
      <c r="G248" s="142"/>
      <c r="H248" s="142"/>
      <c r="I248" s="233"/>
      <c r="J248" s="234"/>
      <c r="K248" s="13"/>
      <c r="L248" s="9"/>
      <c r="M248" s="9"/>
      <c r="N248" s="9"/>
      <c r="O248" s="9"/>
      <c r="P248" s="9"/>
      <c r="Q248" s="9"/>
      <c r="R248" s="9"/>
    </row>
    <row r="249" spans="1:116" x14ac:dyDescent="0.35">
      <c r="B249" s="32"/>
      <c r="C249" s="32"/>
      <c r="D249" s="32"/>
      <c r="E249" s="206"/>
      <c r="F249" s="238"/>
      <c r="G249" s="142"/>
      <c r="H249" s="142"/>
      <c r="I249" s="233"/>
      <c r="J249" s="234"/>
      <c r="K249" s="13"/>
      <c r="L249" s="9"/>
      <c r="M249" s="9"/>
      <c r="N249" s="9"/>
      <c r="O249" s="9"/>
      <c r="P249" s="9"/>
      <c r="Q249" s="9"/>
      <c r="R249" s="9"/>
    </row>
    <row r="250" spans="1:116" x14ac:dyDescent="0.35">
      <c r="B250" s="32"/>
      <c r="C250" s="32"/>
      <c r="D250" s="32"/>
    </row>
    <row r="251" spans="1:116" x14ac:dyDescent="0.35">
      <c r="A251" s="2" t="s">
        <v>346</v>
      </c>
      <c r="B251" s="33" t="s">
        <v>42</v>
      </c>
      <c r="C251" s="32"/>
      <c r="D251" s="32"/>
      <c r="AP251" s="2" t="s">
        <v>43</v>
      </c>
      <c r="CE251" s="2" t="s">
        <v>28</v>
      </c>
      <c r="DA251" t="s">
        <v>347</v>
      </c>
    </row>
    <row r="252" spans="1:116" x14ac:dyDescent="0.35">
      <c r="B252" s="32" t="str">
        <f>Common!C64</f>
        <v>CO2 - fossil</v>
      </c>
      <c r="C252" s="32" t="str">
        <f>Common!D64</f>
        <v>CO2 - biomass</v>
      </c>
      <c r="D252" s="32" t="str">
        <f>Common!E64</f>
        <v>CO2 - Stored</v>
      </c>
      <c r="E252" s="32" t="str">
        <f>Common!F64</f>
        <v>Methane - Fossil</v>
      </c>
      <c r="F252" s="32" t="str">
        <f>Common!G64</f>
        <v>Methane - Biogenic</v>
      </c>
      <c r="G252" s="32" t="str">
        <f>Common!H64</f>
        <v>Nitrous Oxide</v>
      </c>
      <c r="H252" s="32" t="str">
        <f>Common!I64</f>
        <v>Particulates (Total)</v>
      </c>
      <c r="I252" s="32" t="str">
        <f>Common!J64</f>
        <v>PM10</v>
      </c>
      <c r="J252" s="32" t="str">
        <f>Common!K64</f>
        <v>PM-2.5</v>
      </c>
      <c r="K252" s="32" t="str">
        <f>Common!L64</f>
        <v>Nitrogen Oxides</v>
      </c>
      <c r="L252" s="32" t="str">
        <f>Common!M64</f>
        <v>Hydrocarbons (non CH4)</v>
      </c>
      <c r="M252" s="32" t="str">
        <f>Common!N64</f>
        <v>Sulfur Oxides</v>
      </c>
      <c r="N252" s="32" t="str">
        <f>Common!O64</f>
        <v>Carbon Monoxide</v>
      </c>
      <c r="O252" s="32" t="str">
        <f>Common!P64</f>
        <v>Ammonia</v>
      </c>
      <c r="P252" s="32" t="str">
        <f>Common!Q64</f>
        <v>Lead</v>
      </c>
      <c r="Q252" s="32" t="str">
        <f>Common!R64</f>
        <v>Hydrochloric acid</v>
      </c>
      <c r="R252" s="32" t="str">
        <f>Common!S64</f>
        <v>Mercury</v>
      </c>
      <c r="S252" s="32" t="str">
        <f>Common!T64</f>
        <v>Benzene</v>
      </c>
      <c r="T252" s="32" t="str">
        <f>Common!U64</f>
        <v>Chloroform</v>
      </c>
      <c r="U252" s="32" t="str">
        <f>Common!V64</f>
        <v>Carbon tetrachloride</v>
      </c>
      <c r="V252" s="32" t="str">
        <f>Common!W64</f>
        <v>Ethylene dichloride</v>
      </c>
      <c r="W252" s="32" t="str">
        <f>Common!X64</f>
        <v>Methylene chloride</v>
      </c>
      <c r="X252" s="32" t="str">
        <f>Common!Y64</f>
        <v>Trichloroethene</v>
      </c>
      <c r="Y252" s="32" t="str">
        <f>Common!Z64</f>
        <v>Tetrachloroethene</v>
      </c>
      <c r="Z252" s="32" t="str">
        <f>Common!AA64</f>
        <v>Vinyl chloride</v>
      </c>
      <c r="AA252" s="32" t="str">
        <f>Common!AB64</f>
        <v>Toluene</v>
      </c>
      <c r="AB252" s="32" t="str">
        <f>Common!AC64</f>
        <v>Xylenes</v>
      </c>
      <c r="AC252" s="32" t="str">
        <f>Common!AD64</f>
        <v>Ethylbenzene</v>
      </c>
      <c r="AD252" s="32" t="str">
        <f>Common!AE64</f>
        <v>Dioxins</v>
      </c>
      <c r="AE252" s="32" t="str">
        <f>Common!AF64</f>
        <v>Furans</v>
      </c>
      <c r="AF252" s="32" t="str">
        <f>Common!AG64</f>
        <v>Hydrogen Sulfide</v>
      </c>
      <c r="AG252" s="32" t="str">
        <f>Common!AH64</f>
        <v>Airborne Emission 2</v>
      </c>
      <c r="AH252" s="32" t="str">
        <f>Common!AI64</f>
        <v>Airborne Emission 3</v>
      </c>
      <c r="AI252" s="32" t="str">
        <f>Common!AJ64</f>
        <v>Airborne Emission 4</v>
      </c>
      <c r="AJ252" s="32" t="str">
        <f>Common!AK64</f>
        <v>Airborne Emission 5</v>
      </c>
      <c r="AK252" s="32" t="str">
        <f>Common!AL64</f>
        <v>Airborne Emission 6</v>
      </c>
      <c r="AL252" s="32" t="str">
        <f>Common!AM64</f>
        <v>Airborne Emission 7</v>
      </c>
      <c r="AM252" s="32" t="str">
        <f>Common!AN64</f>
        <v>Airborne Emission 8</v>
      </c>
      <c r="AN252" s="32" t="str">
        <f>Common!AO64</f>
        <v>Airborne Emission 9</v>
      </c>
      <c r="AO252" s="32" t="str">
        <f>Common!AP64</f>
        <v>Airborne Emission 10</v>
      </c>
      <c r="AP252" s="32" t="str">
        <f>Common!AQ64</f>
        <v>Dissolved Solids</v>
      </c>
      <c r="AQ252" s="32" t="str">
        <f>Common!AR64</f>
        <v>Suspended Solids</v>
      </c>
      <c r="AR252" s="32" t="str">
        <f>Common!AS64</f>
        <v>BOD</v>
      </c>
      <c r="AS252" s="32" t="str">
        <f>Common!AT64</f>
        <v>COD</v>
      </c>
      <c r="AT252" s="32" t="str">
        <f>Common!AU64</f>
        <v>Sulfate</v>
      </c>
      <c r="AU252" s="32" t="str">
        <f>Common!AV64</f>
        <v>Iron</v>
      </c>
      <c r="AV252" s="32" t="str">
        <f>Common!AW64</f>
        <v>Ammonia</v>
      </c>
      <c r="AW252" s="32" t="str">
        <f>Common!AX64</f>
        <v>Copper</v>
      </c>
      <c r="AX252" s="32" t="str">
        <f>Common!AY64</f>
        <v>Cadmium</v>
      </c>
      <c r="AY252" s="32" t="str">
        <f>Common!AZ64</f>
        <v>Arsenic</v>
      </c>
      <c r="AZ252" s="32" t="str">
        <f>Common!BA64</f>
        <v>Mercury</v>
      </c>
      <c r="BA252" s="32" t="str">
        <f>Common!BB64</f>
        <v>Phosphate</v>
      </c>
      <c r="BB252" s="32" t="str">
        <f>Common!BC64</f>
        <v>Selenium</v>
      </c>
      <c r="BC252" s="32" t="str">
        <f>Common!BD64</f>
        <v>Chromium</v>
      </c>
      <c r="BD252" s="32" t="str">
        <f>Common!BE64</f>
        <v>Lead</v>
      </c>
      <c r="BE252" s="32" t="str">
        <f>Common!BF64</f>
        <v>Zinc</v>
      </c>
      <c r="BF252" s="32" t="str">
        <f>Common!BG64</f>
        <v>Barium</v>
      </c>
      <c r="BG252" s="32" t="str">
        <f>Common!BH64</f>
        <v>Silver</v>
      </c>
      <c r="BH252" s="32" t="str">
        <f>Common!BI64</f>
        <v>Nitrate</v>
      </c>
      <c r="BI252" s="32" t="str">
        <f>Common!BJ64</f>
        <v>Benzene</v>
      </c>
      <c r="BJ252" s="32" t="str">
        <f>Common!BK64</f>
        <v>Chloroform</v>
      </c>
      <c r="BK252" s="32" t="str">
        <f>Common!BL64</f>
        <v>Carbon tetrachloride</v>
      </c>
      <c r="BL252" s="32" t="str">
        <f>Common!BM64</f>
        <v>Ethylene dichloride</v>
      </c>
      <c r="BM252" s="32" t="str">
        <f>Common!BN64</f>
        <v>Methylene chloride</v>
      </c>
      <c r="BN252" s="32" t="str">
        <f>Common!BO64</f>
        <v>Trichloroethene</v>
      </c>
      <c r="BO252" s="32" t="str">
        <f>Common!BP64</f>
        <v>Tetrachloroethene</v>
      </c>
      <c r="BP252" s="32" t="str">
        <f>Common!BQ64</f>
        <v>Vinyl chloride</v>
      </c>
      <c r="BQ252" s="32" t="str">
        <f>Common!BR64</f>
        <v>Toluene</v>
      </c>
      <c r="BR252" s="32" t="str">
        <f>Common!BS64</f>
        <v>Xylenes</v>
      </c>
      <c r="BS252" s="32" t="str">
        <f>Common!BT64</f>
        <v>Ethylbenzene</v>
      </c>
      <c r="BT252" s="32" t="str">
        <f>Common!BU64</f>
        <v>Hydrocarbons unspecified</v>
      </c>
      <c r="BU252" s="32" t="str">
        <f>Common!BV64</f>
        <v>Waterborne Emission 1</v>
      </c>
      <c r="BV252" s="32" t="str">
        <f>Common!BW64</f>
        <v>Waterborne Emission 2</v>
      </c>
      <c r="BW252" s="32" t="str">
        <f>Common!BX64</f>
        <v>Waterborne Emission 3</v>
      </c>
      <c r="BX252" s="32" t="str">
        <f>Common!BY64</f>
        <v>Waterborne Emission 4</v>
      </c>
      <c r="BY252" s="32" t="str">
        <f>Common!BZ64</f>
        <v>Waterborne Emission 5</v>
      </c>
      <c r="BZ252" s="32" t="str">
        <f>Common!CA64</f>
        <v>Waterborne Emission 6</v>
      </c>
      <c r="CA252" s="32" t="str">
        <f>Common!CB64</f>
        <v>Waterborne Emission 7</v>
      </c>
      <c r="CB252" s="32" t="str">
        <f>Common!CC64</f>
        <v>Waterborne Emission 8</v>
      </c>
      <c r="CC252" s="32" t="str">
        <f>Common!CD64</f>
        <v>Waterborne Emission 9</v>
      </c>
      <c r="CD252" s="32" t="str">
        <f>Common!CE64</f>
        <v>Waterborne Emission 10</v>
      </c>
      <c r="CE252" s="32" t="str">
        <f>Common!CF64</f>
        <v>Coal</v>
      </c>
      <c r="CF252" s="32" t="str">
        <f>Common!CG64</f>
        <v>Natural gas</v>
      </c>
      <c r="CG252" s="32" t="str">
        <f>Common!CH64</f>
        <v>Uranium</v>
      </c>
      <c r="CH252" s="32" t="str">
        <f>Common!CI64</f>
        <v>Crude oil</v>
      </c>
      <c r="CI252" s="32" t="str">
        <f>Common!CJ64</f>
        <v>Energy Use (MJ)</v>
      </c>
      <c r="CJ252" s="32" t="str">
        <f>Common!CK64</f>
        <v>Coal (Mg)</v>
      </c>
      <c r="CK252" s="32" t="str">
        <f>Common!CL64</f>
        <v>Natural Gas (m3)</v>
      </c>
      <c r="CL252" s="32" t="str">
        <f>Common!CM64</f>
        <v>Residual Oil (L)</v>
      </c>
      <c r="CM252" s="32" t="str">
        <f>Common!CN64</f>
        <v>Distillate Oil (L)</v>
      </c>
      <c r="CN252" s="32" t="str">
        <f>Common!CO64</f>
        <v>Uranium (Mg)</v>
      </c>
      <c r="CO252" s="32" t="str">
        <f>Common!CP64</f>
        <v>Wood (Mg)</v>
      </c>
      <c r="CP252" s="32" t="str">
        <f>Common!CQ64</f>
        <v>Other</v>
      </c>
      <c r="CQ252" s="32" t="str">
        <f>Common!CR64</f>
        <v>Gasoline (L)</v>
      </c>
      <c r="CR252" s="32" t="str">
        <f>Common!CS64</f>
        <v>Diesel (L)</v>
      </c>
      <c r="CS252" s="32" t="str">
        <f>Common!CT64</f>
        <v>LPG (L)</v>
      </c>
      <c r="CT252" s="32" t="str">
        <f>Common!CU64</f>
        <v>Crude oil (L)</v>
      </c>
      <c r="CU252" s="32" t="str">
        <f>Common!CV64</f>
        <v>Collection Truck Idling Time (min/Mg)</v>
      </c>
      <c r="CV252" s="32" t="str">
        <f>Common!CW64</f>
        <v>Medium Duty/Collection Vehicle</v>
      </c>
      <c r="CW252" s="32" t="str">
        <f>Common!CX64</f>
        <v>Heavy-duty Truck</v>
      </c>
      <c r="CX252" s="32" t="str">
        <f>Common!CY64</f>
        <v>Rail</v>
      </c>
      <c r="CY252" s="32" t="str">
        <f>Common!CZ64</f>
        <v>Barge</v>
      </c>
      <c r="CZ252" s="32" t="str">
        <f>Common!DA64</f>
        <v>Ocean Freighter</v>
      </c>
      <c r="DA252" s="32" t="str">
        <f>Common!DB64</f>
        <v>Medium Duty/Collection Vehicle</v>
      </c>
      <c r="DB252" s="32" t="str">
        <f>Common!DC64</f>
        <v>Heavy-duty Truck</v>
      </c>
      <c r="DC252" s="32" t="str">
        <f>Common!DD64</f>
        <v>Rail</v>
      </c>
      <c r="DD252" s="32" t="str">
        <f>Common!DE64</f>
        <v>Barge</v>
      </c>
      <c r="DE252" s="32" t="str">
        <f>Common!DF64</f>
        <v>Ocean Freighter</v>
      </c>
      <c r="DF252" s="32" t="str">
        <f>Common!DG64</f>
        <v>Electricity (kWh/Mg)</v>
      </c>
      <c r="DG252" s="32" t="str">
        <f>Common!DH64</f>
        <v>Bottom ash</v>
      </c>
      <c r="DH252" s="32" t="str">
        <f>Common!DI64</f>
        <v>Fly ash</v>
      </c>
      <c r="DI252" s="32" t="str">
        <f>Common!DJ64</f>
        <v>Recyclables</v>
      </c>
      <c r="DJ252" s="32" t="str">
        <f>Common!DK64</f>
        <v>RDF</v>
      </c>
      <c r="DK252" s="32" t="str">
        <f>Common!DL64</f>
        <v>Residual</v>
      </c>
      <c r="DL252" s="32"/>
    </row>
    <row r="253" spans="1:116" x14ac:dyDescent="0.35">
      <c r="A253" t="str">
        <f t="shared" ref="A253:A293" si="21">A136</f>
        <v>Yard Trimmings, Leaves</v>
      </c>
      <c r="B253" s="32">
        <f>$E203*Common!C$69</f>
        <v>0</v>
      </c>
      <c r="C253" s="32">
        <f>$E203*Common!D$69</f>
        <v>0</v>
      </c>
      <c r="D253" s="32">
        <f>$E203*Common!E$69</f>
        <v>0</v>
      </c>
      <c r="E253" s="32">
        <f>$E203*Common!F$69</f>
        <v>0</v>
      </c>
      <c r="F253" s="32">
        <f>$E203*Common!G$69</f>
        <v>0</v>
      </c>
      <c r="G253" s="32">
        <f>$E203*Common!H$69</f>
        <v>0</v>
      </c>
      <c r="H253" s="32">
        <f>$E203*Common!I$69</f>
        <v>0</v>
      </c>
      <c r="I253" s="32">
        <f>$E203*Common!J$69</f>
        <v>0</v>
      </c>
      <c r="J253" s="32">
        <f>$E203*Common!K$69</f>
        <v>0</v>
      </c>
      <c r="K253" s="32">
        <f>$E203*Common!L$69</f>
        <v>0</v>
      </c>
      <c r="L253" s="32">
        <f>$E203*Common!M$69</f>
        <v>0</v>
      </c>
      <c r="M253" s="32">
        <f>$E203*Common!N$69</f>
        <v>0</v>
      </c>
      <c r="N253" s="32">
        <f>$E203*Common!O$69</f>
        <v>0</v>
      </c>
      <c r="O253" s="32">
        <f>$E203*Common!P$69</f>
        <v>0</v>
      </c>
      <c r="P253" s="32">
        <f>$E203*Common!Q$69</f>
        <v>0</v>
      </c>
      <c r="Q253" s="32">
        <f>$E203*Common!R$69</f>
        <v>0</v>
      </c>
      <c r="R253" s="32">
        <f>$E203*Common!S$69</f>
        <v>0</v>
      </c>
      <c r="S253" s="32">
        <f>$E203*Common!T$69</f>
        <v>0</v>
      </c>
      <c r="T253" s="32">
        <f>$E203*Common!U$69</f>
        <v>0</v>
      </c>
      <c r="U253" s="32">
        <f>$E203*Common!V$69</f>
        <v>0</v>
      </c>
      <c r="V253" s="32">
        <f>$E203*Common!W$69</f>
        <v>0</v>
      </c>
      <c r="W253" s="32">
        <f>$E203*Common!X$69</f>
        <v>0</v>
      </c>
      <c r="X253" s="32">
        <f>$E203*Common!Y$69</f>
        <v>0</v>
      </c>
      <c r="Y253" s="32">
        <f>$E203*Common!Z$69</f>
        <v>0</v>
      </c>
      <c r="Z253" s="32">
        <f>$E203*Common!AA$69</f>
        <v>0</v>
      </c>
      <c r="AA253" s="32">
        <f>$E203*Common!AB$69</f>
        <v>0</v>
      </c>
      <c r="AB253" s="32">
        <f>$E203*Common!AC$69</f>
        <v>0</v>
      </c>
      <c r="AC253" s="32">
        <f>$E203*Common!AD$69</f>
        <v>0</v>
      </c>
      <c r="AD253" s="32">
        <f>$E203*Common!AE$69</f>
        <v>0</v>
      </c>
      <c r="AE253" s="32">
        <f>$E203*Common!AF$69</f>
        <v>0</v>
      </c>
      <c r="AF253" s="32">
        <f>$E203*Common!AG$69</f>
        <v>0</v>
      </c>
      <c r="AG253" s="32">
        <f>$E203*Common!AH$69</f>
        <v>0</v>
      </c>
      <c r="AH253" s="32">
        <f>$E203*Common!AI$69</f>
        <v>0</v>
      </c>
      <c r="AI253" s="32">
        <f>$E203*Common!AJ$69</f>
        <v>0</v>
      </c>
      <c r="AJ253" s="32">
        <f>$E203*Common!AK$69</f>
        <v>0</v>
      </c>
      <c r="AK253" s="32">
        <f>$E203*Common!AL$69</f>
        <v>0</v>
      </c>
      <c r="AL253" s="32">
        <f>$E203*Common!AM$69</f>
        <v>0</v>
      </c>
      <c r="AM253" s="32">
        <f>$E203*Common!AN$69</f>
        <v>0</v>
      </c>
      <c r="AN253" s="32">
        <f>$E203*Common!AO$69</f>
        <v>0</v>
      </c>
      <c r="AO253" s="32">
        <f>$E203*Common!AP$69</f>
        <v>0</v>
      </c>
      <c r="AP253" s="32">
        <f>$E203*Common!AQ$69</f>
        <v>0</v>
      </c>
      <c r="AQ253" s="32">
        <f>$E203*Common!AR$69</f>
        <v>0</v>
      </c>
      <c r="AR253" s="32">
        <f>$E203*Common!AS$69</f>
        <v>0</v>
      </c>
      <c r="AS253" s="32">
        <f>$E203*Common!AT$69</f>
        <v>0</v>
      </c>
      <c r="AT253" s="32">
        <f>$E203*Common!AU$69</f>
        <v>0</v>
      </c>
      <c r="AU253" s="32">
        <f>$E203*Common!AV$69</f>
        <v>0</v>
      </c>
      <c r="AV253" s="32">
        <f>$E203*Common!AW$69</f>
        <v>0</v>
      </c>
      <c r="AW253" s="32">
        <f>$E203*Common!AX$69</f>
        <v>0</v>
      </c>
      <c r="AX253" s="32">
        <f>$E203*Common!AY$69</f>
        <v>0</v>
      </c>
      <c r="AY253" s="32">
        <f>$E203*Common!AZ$69</f>
        <v>0</v>
      </c>
      <c r="AZ253" s="32">
        <f>$E203*Common!BA$69</f>
        <v>0</v>
      </c>
      <c r="BA253" s="32">
        <f>$E203*Common!BB$69</f>
        <v>0</v>
      </c>
      <c r="BB253" s="32">
        <f>$E203*Common!BC$69</f>
        <v>0</v>
      </c>
      <c r="BC253" s="32">
        <f>$E203*Common!BD$69</f>
        <v>0</v>
      </c>
      <c r="BD253" s="32">
        <f>$E203*Common!BE$69</f>
        <v>0</v>
      </c>
      <c r="BE253" s="32">
        <f>$E203*Common!BF$69</f>
        <v>0</v>
      </c>
      <c r="BF253" s="32">
        <f>$E203*Common!BG$69</f>
        <v>0</v>
      </c>
      <c r="BG253" s="32">
        <f>$E203*Common!BH$69</f>
        <v>0</v>
      </c>
      <c r="BH253" s="32">
        <f>$E203*Common!BI$69</f>
        <v>0</v>
      </c>
      <c r="BI253" s="32">
        <f>$E203*Common!BJ$69</f>
        <v>0</v>
      </c>
      <c r="BJ253" s="32">
        <f>$E203*Common!BK$69</f>
        <v>0</v>
      </c>
      <c r="BK253" s="32">
        <f>$E203*Common!BL$69</f>
        <v>0</v>
      </c>
      <c r="BL253" s="32">
        <f>$E203*Common!BM$69</f>
        <v>0</v>
      </c>
      <c r="BM253" s="32">
        <f>$E203*Common!BN$69</f>
        <v>0</v>
      </c>
      <c r="BN253" s="32">
        <f>$E203*Common!BO$69</f>
        <v>0</v>
      </c>
      <c r="BO253" s="32">
        <f>$E203*Common!BP$69</f>
        <v>0</v>
      </c>
      <c r="BP253" s="32">
        <f>$E203*Common!BQ$69</f>
        <v>0</v>
      </c>
      <c r="BQ253" s="32">
        <f>$E203*Common!BR$69</f>
        <v>0</v>
      </c>
      <c r="BR253" s="32">
        <f>$E203*Common!BS$69</f>
        <v>0</v>
      </c>
      <c r="BS253" s="32">
        <f>$E203*Common!BT$69</f>
        <v>0</v>
      </c>
      <c r="BT253" s="32">
        <f>$E203*Common!BU$69</f>
        <v>0</v>
      </c>
      <c r="BU253" s="32">
        <f>$E203*Common!BV$69</f>
        <v>0</v>
      </c>
      <c r="BV253" s="32">
        <f>$E203*Common!BW$69</f>
        <v>0</v>
      </c>
      <c r="BW253" s="32">
        <f>$E203*Common!BX$69</f>
        <v>0</v>
      </c>
      <c r="BX253" s="32">
        <f>$E203*Common!BY$69</f>
        <v>0</v>
      </c>
      <c r="BY253" s="32">
        <f>$E203*Common!BZ$69</f>
        <v>0</v>
      </c>
      <c r="BZ253" s="32">
        <f>$E203*Common!CA$69</f>
        <v>0</v>
      </c>
      <c r="CA253" s="32">
        <f>$E203*Common!CB$69</f>
        <v>0</v>
      </c>
      <c r="CB253" s="32">
        <f>$E203*Common!CC$69</f>
        <v>0</v>
      </c>
      <c r="CC253" s="32">
        <f>$E203*Common!CD$69</f>
        <v>0</v>
      </c>
      <c r="CD253" s="32">
        <f>$E203*Common!CE$69</f>
        <v>0</v>
      </c>
      <c r="CE253" s="32">
        <f>$E203*Common!CF$69</f>
        <v>0</v>
      </c>
      <c r="CF253" s="32">
        <f>$E203*Common!CG$69</f>
        <v>0</v>
      </c>
      <c r="CG253" s="32">
        <f>$E203*Common!CH$69</f>
        <v>0</v>
      </c>
      <c r="CH253" s="32">
        <f>$E203*Common!CI$69</f>
        <v>0</v>
      </c>
      <c r="CI253" s="32">
        <f>$E203*Common!CJ$69</f>
        <v>0</v>
      </c>
      <c r="CR253" s="32">
        <f>C203</f>
        <v>0.7</v>
      </c>
      <c r="CS253" s="32">
        <f>D203</f>
        <v>0</v>
      </c>
      <c r="CV253">
        <f>L203</f>
        <v>0</v>
      </c>
      <c r="CW253">
        <f t="shared" ref="CW253:DB253" si="22">M203</f>
        <v>0</v>
      </c>
      <c r="CX253">
        <f t="shared" si="22"/>
        <v>0</v>
      </c>
      <c r="CY253">
        <f t="shared" si="22"/>
        <v>0</v>
      </c>
      <c r="CZ253">
        <f t="shared" si="22"/>
        <v>0</v>
      </c>
      <c r="DA253">
        <f t="shared" si="22"/>
        <v>0</v>
      </c>
      <c r="DB253">
        <f t="shared" si="22"/>
        <v>0</v>
      </c>
      <c r="DF253" s="32">
        <f>B203</f>
        <v>3.5917727575846561</v>
      </c>
      <c r="DI253">
        <f>SUM('SS Material Flow'!C184:J184)/'SS Material Flow'!B93</f>
        <v>0</v>
      </c>
      <c r="DK253">
        <f>'SS Material Flow'!B184/'SS Material Flow'!B93</f>
        <v>1</v>
      </c>
    </row>
    <row r="254" spans="1:116" x14ac:dyDescent="0.35">
      <c r="A254" t="str">
        <f t="shared" si="21"/>
        <v>Yard Trimmings, Grass</v>
      </c>
      <c r="B254" s="32">
        <f>$E204*Common!C$69</f>
        <v>0</v>
      </c>
      <c r="C254" s="32">
        <f>$E204*Common!D$69</f>
        <v>0</v>
      </c>
      <c r="D254" s="32">
        <f>$E204*Common!E$69</f>
        <v>0</v>
      </c>
      <c r="E254" s="32">
        <f>$E204*Common!F$69</f>
        <v>0</v>
      </c>
      <c r="F254" s="32">
        <f>$E204*Common!G$69</f>
        <v>0</v>
      </c>
      <c r="G254" s="32">
        <f>$E204*Common!H$69</f>
        <v>0</v>
      </c>
      <c r="H254" s="32">
        <f>$E204*Common!I$69</f>
        <v>0</v>
      </c>
      <c r="I254" s="32">
        <f>$E204*Common!J$69</f>
        <v>0</v>
      </c>
      <c r="J254" s="32">
        <f>$E204*Common!K$69</f>
        <v>0</v>
      </c>
      <c r="K254" s="32">
        <f>$E204*Common!L$69</f>
        <v>0</v>
      </c>
      <c r="L254" s="32">
        <f>$E204*Common!M$69</f>
        <v>0</v>
      </c>
      <c r="M254" s="32">
        <f>$E204*Common!N$69</f>
        <v>0</v>
      </c>
      <c r="N254" s="32">
        <f>$E204*Common!O$69</f>
        <v>0</v>
      </c>
      <c r="O254" s="32">
        <f>$E204*Common!P$69</f>
        <v>0</v>
      </c>
      <c r="P254" s="32">
        <f>$E204*Common!Q$69</f>
        <v>0</v>
      </c>
      <c r="Q254" s="32">
        <f>$E204*Common!R$69</f>
        <v>0</v>
      </c>
      <c r="R254" s="32">
        <f>$E204*Common!S$69</f>
        <v>0</v>
      </c>
      <c r="S254" s="32">
        <f>$E204*Common!T$69</f>
        <v>0</v>
      </c>
      <c r="T254" s="32">
        <f>$E204*Common!U$69</f>
        <v>0</v>
      </c>
      <c r="U254" s="32">
        <f>$E204*Common!V$69</f>
        <v>0</v>
      </c>
      <c r="V254" s="32">
        <f>$E204*Common!W$69</f>
        <v>0</v>
      </c>
      <c r="W254" s="32">
        <f>$E204*Common!X$69</f>
        <v>0</v>
      </c>
      <c r="X254" s="32">
        <f>$E204*Common!Y$69</f>
        <v>0</v>
      </c>
      <c r="Y254" s="32">
        <f>$E204*Common!Z$69</f>
        <v>0</v>
      </c>
      <c r="Z254" s="32">
        <f>$E204*Common!AA$69</f>
        <v>0</v>
      </c>
      <c r="AA254" s="32">
        <f>$E204*Common!AB$69</f>
        <v>0</v>
      </c>
      <c r="AB254" s="32">
        <f>$E204*Common!AC$69</f>
        <v>0</v>
      </c>
      <c r="AC254" s="32">
        <f>$E204*Common!AD$69</f>
        <v>0</v>
      </c>
      <c r="AD254" s="32">
        <f>$E204*Common!AE$69</f>
        <v>0</v>
      </c>
      <c r="AE254" s="32">
        <f>$E204*Common!AF$69</f>
        <v>0</v>
      </c>
      <c r="AF254" s="32">
        <f>$E204*Common!AG$69</f>
        <v>0</v>
      </c>
      <c r="AG254" s="32">
        <f>$E204*Common!AH$69</f>
        <v>0</v>
      </c>
      <c r="AH254" s="32">
        <f>$E204*Common!AI$69</f>
        <v>0</v>
      </c>
      <c r="AI254" s="32">
        <f>$E204*Common!AJ$69</f>
        <v>0</v>
      </c>
      <c r="AJ254" s="32">
        <f>$E204*Common!AK$69</f>
        <v>0</v>
      </c>
      <c r="AK254" s="32">
        <f>$E204*Common!AL$69</f>
        <v>0</v>
      </c>
      <c r="AL254" s="32">
        <f>$E204*Common!AM$69</f>
        <v>0</v>
      </c>
      <c r="AM254" s="32">
        <f>$E204*Common!AN$69</f>
        <v>0</v>
      </c>
      <c r="AN254" s="32">
        <f>$E204*Common!AO$69</f>
        <v>0</v>
      </c>
      <c r="AO254" s="32">
        <f>$E204*Common!AP$69</f>
        <v>0</v>
      </c>
      <c r="AP254" s="32">
        <f>$E204*Common!AQ$69</f>
        <v>0</v>
      </c>
      <c r="AQ254" s="32">
        <f>$E204*Common!AR$69</f>
        <v>0</v>
      </c>
      <c r="AR254" s="32">
        <f>$E204*Common!AS$69</f>
        <v>0</v>
      </c>
      <c r="AS254" s="32">
        <f>$E204*Common!AT$69</f>
        <v>0</v>
      </c>
      <c r="AT254" s="32">
        <f>$E204*Common!AU$69</f>
        <v>0</v>
      </c>
      <c r="AU254" s="32">
        <f>$E204*Common!AV$69</f>
        <v>0</v>
      </c>
      <c r="AV254" s="32">
        <f>$E204*Common!AW$69</f>
        <v>0</v>
      </c>
      <c r="AW254" s="32">
        <f>$E204*Common!AX$69</f>
        <v>0</v>
      </c>
      <c r="AX254" s="32">
        <f>$E204*Common!AY$69</f>
        <v>0</v>
      </c>
      <c r="AY254" s="32">
        <f>$E204*Common!AZ$69</f>
        <v>0</v>
      </c>
      <c r="AZ254" s="32">
        <f>$E204*Common!BA$69</f>
        <v>0</v>
      </c>
      <c r="BA254" s="32">
        <f>$E204*Common!BB$69</f>
        <v>0</v>
      </c>
      <c r="BB254" s="32">
        <f>$E204*Common!BC$69</f>
        <v>0</v>
      </c>
      <c r="BC254" s="32">
        <f>$E204*Common!BD$69</f>
        <v>0</v>
      </c>
      <c r="BD254" s="32">
        <f>$E204*Common!BE$69</f>
        <v>0</v>
      </c>
      <c r="BE254" s="32">
        <f>$E204*Common!BF$69</f>
        <v>0</v>
      </c>
      <c r="BF254" s="32">
        <f>$E204*Common!BG$69</f>
        <v>0</v>
      </c>
      <c r="BG254" s="32">
        <f>$E204*Common!BH$69</f>
        <v>0</v>
      </c>
      <c r="BH254" s="32">
        <f>$E204*Common!BI$69</f>
        <v>0</v>
      </c>
      <c r="BI254" s="32">
        <f>$E204*Common!BJ$69</f>
        <v>0</v>
      </c>
      <c r="BJ254" s="32">
        <f>$E204*Common!BK$69</f>
        <v>0</v>
      </c>
      <c r="BK254" s="32">
        <f>$E204*Common!BL$69</f>
        <v>0</v>
      </c>
      <c r="BL254" s="32">
        <f>$E204*Common!BM$69</f>
        <v>0</v>
      </c>
      <c r="BM254" s="32">
        <f>$E204*Common!BN$69</f>
        <v>0</v>
      </c>
      <c r="BN254" s="32">
        <f>$E204*Common!BO$69</f>
        <v>0</v>
      </c>
      <c r="BO254" s="32">
        <f>$E204*Common!BP$69</f>
        <v>0</v>
      </c>
      <c r="BP254" s="32">
        <f>$E204*Common!BQ$69</f>
        <v>0</v>
      </c>
      <c r="BQ254" s="32">
        <f>$E204*Common!BR$69</f>
        <v>0</v>
      </c>
      <c r="BR254" s="32">
        <f>$E204*Common!BS$69</f>
        <v>0</v>
      </c>
      <c r="BS254" s="32">
        <f>$E204*Common!BT$69</f>
        <v>0</v>
      </c>
      <c r="BT254" s="32">
        <f>$E204*Common!BU$69</f>
        <v>0</v>
      </c>
      <c r="BU254" s="32">
        <f>$E204*Common!BV$69</f>
        <v>0</v>
      </c>
      <c r="BV254" s="32">
        <f>$E204*Common!BW$69</f>
        <v>0</v>
      </c>
      <c r="BW254" s="32">
        <f>$E204*Common!BX$69</f>
        <v>0</v>
      </c>
      <c r="BX254" s="32">
        <f>$E204*Common!BY$69</f>
        <v>0</v>
      </c>
      <c r="BY254" s="32">
        <f>$E204*Common!BZ$69</f>
        <v>0</v>
      </c>
      <c r="BZ254" s="32">
        <f>$E204*Common!CA$69</f>
        <v>0</v>
      </c>
      <c r="CA254" s="32">
        <f>$E204*Common!CB$69</f>
        <v>0</v>
      </c>
      <c r="CB254" s="32">
        <f>$E204*Common!CC$69</f>
        <v>0</v>
      </c>
      <c r="CC254" s="32">
        <f>$E204*Common!CD$69</f>
        <v>0</v>
      </c>
      <c r="CD254" s="32">
        <f>$E204*Common!CE$69</f>
        <v>0</v>
      </c>
      <c r="CE254" s="32">
        <f>$E204*Common!CF$69</f>
        <v>0</v>
      </c>
      <c r="CF254" s="32">
        <f>$E204*Common!CG$69</f>
        <v>0</v>
      </c>
      <c r="CG254" s="32">
        <f>$E204*Common!CH$69</f>
        <v>0</v>
      </c>
      <c r="CH254" s="32">
        <f>$E204*Common!CI$69</f>
        <v>0</v>
      </c>
      <c r="CI254" s="32">
        <f>$E204*Common!CJ$69</f>
        <v>0</v>
      </c>
      <c r="CR254" s="32">
        <f t="shared" ref="CR254:CS254" si="23">C204</f>
        <v>0.7</v>
      </c>
      <c r="CS254" s="32">
        <f t="shared" si="23"/>
        <v>0</v>
      </c>
      <c r="CV254">
        <f t="shared" ref="CV254:CV293" si="24">L204</f>
        <v>0</v>
      </c>
      <c r="CW254">
        <f t="shared" ref="CW254:CW293" si="25">M204</f>
        <v>0</v>
      </c>
      <c r="CX254">
        <f t="shared" ref="CX254:CX293" si="26">N204</f>
        <v>0</v>
      </c>
      <c r="CY254">
        <f t="shared" ref="CY254:CY293" si="27">O204</f>
        <v>0</v>
      </c>
      <c r="CZ254">
        <f t="shared" ref="CZ254:CZ293" si="28">P204</f>
        <v>0</v>
      </c>
      <c r="DA254">
        <f t="shared" ref="DA254:DA293" si="29">Q204</f>
        <v>0</v>
      </c>
      <c r="DB254">
        <f t="shared" ref="DB254:DB293" si="30">R204</f>
        <v>0</v>
      </c>
      <c r="DF254" s="32">
        <f t="shared" ref="DF254:DF293" si="31">B204</f>
        <v>3.5917727575846561</v>
      </c>
      <c r="DI254">
        <f>SUM('SS Material Flow'!C185:J185)/'SS Material Flow'!B94</f>
        <v>0</v>
      </c>
      <c r="DK254">
        <f>'SS Material Flow'!B185/'SS Material Flow'!B94</f>
        <v>1</v>
      </c>
    </row>
    <row r="255" spans="1:116" x14ac:dyDescent="0.35">
      <c r="A255" t="str">
        <f t="shared" si="21"/>
        <v>Yard Trimmings, Branches</v>
      </c>
      <c r="B255" s="32">
        <f>$E205*Common!C$69</f>
        <v>0</v>
      </c>
      <c r="C255" s="32">
        <f>$E205*Common!D$69</f>
        <v>0</v>
      </c>
      <c r="D255" s="32">
        <f>$E205*Common!E$69</f>
        <v>0</v>
      </c>
      <c r="E255" s="32">
        <f>$E205*Common!F$69</f>
        <v>0</v>
      </c>
      <c r="F255" s="32">
        <f>$E205*Common!G$69</f>
        <v>0</v>
      </c>
      <c r="G255" s="32">
        <f>$E205*Common!H$69</f>
        <v>0</v>
      </c>
      <c r="H255" s="32">
        <f>$E205*Common!I$69</f>
        <v>0</v>
      </c>
      <c r="I255" s="32">
        <f>$E205*Common!J$69</f>
        <v>0</v>
      </c>
      <c r="J255" s="32">
        <f>$E205*Common!K$69</f>
        <v>0</v>
      </c>
      <c r="K255" s="32">
        <f>$E205*Common!L$69</f>
        <v>0</v>
      </c>
      <c r="L255" s="32">
        <f>$E205*Common!M$69</f>
        <v>0</v>
      </c>
      <c r="M255" s="32">
        <f>$E205*Common!N$69</f>
        <v>0</v>
      </c>
      <c r="N255" s="32">
        <f>$E205*Common!O$69</f>
        <v>0</v>
      </c>
      <c r="O255" s="32">
        <f>$E205*Common!P$69</f>
        <v>0</v>
      </c>
      <c r="P255" s="32">
        <f>$E205*Common!Q$69</f>
        <v>0</v>
      </c>
      <c r="Q255" s="32">
        <f>$E205*Common!R$69</f>
        <v>0</v>
      </c>
      <c r="R255" s="32">
        <f>$E205*Common!S$69</f>
        <v>0</v>
      </c>
      <c r="S255" s="32">
        <f>$E205*Common!T$69</f>
        <v>0</v>
      </c>
      <c r="T255" s="32">
        <f>$E205*Common!U$69</f>
        <v>0</v>
      </c>
      <c r="U255" s="32">
        <f>$E205*Common!V$69</f>
        <v>0</v>
      </c>
      <c r="V255" s="32">
        <f>$E205*Common!W$69</f>
        <v>0</v>
      </c>
      <c r="W255" s="32">
        <f>$E205*Common!X$69</f>
        <v>0</v>
      </c>
      <c r="X255" s="32">
        <f>$E205*Common!Y$69</f>
        <v>0</v>
      </c>
      <c r="Y255" s="32">
        <f>$E205*Common!Z$69</f>
        <v>0</v>
      </c>
      <c r="Z255" s="32">
        <f>$E205*Common!AA$69</f>
        <v>0</v>
      </c>
      <c r="AA255" s="32">
        <f>$E205*Common!AB$69</f>
        <v>0</v>
      </c>
      <c r="AB255" s="32">
        <f>$E205*Common!AC$69</f>
        <v>0</v>
      </c>
      <c r="AC255" s="32">
        <f>$E205*Common!AD$69</f>
        <v>0</v>
      </c>
      <c r="AD255" s="32">
        <f>$E205*Common!AE$69</f>
        <v>0</v>
      </c>
      <c r="AE255" s="32">
        <f>$E205*Common!AF$69</f>
        <v>0</v>
      </c>
      <c r="AF255" s="32">
        <f>$E205*Common!AG$69</f>
        <v>0</v>
      </c>
      <c r="AG255" s="32">
        <f>$E205*Common!AH$69</f>
        <v>0</v>
      </c>
      <c r="AH255" s="32">
        <f>$E205*Common!AI$69</f>
        <v>0</v>
      </c>
      <c r="AI255" s="32">
        <f>$E205*Common!AJ$69</f>
        <v>0</v>
      </c>
      <c r="AJ255" s="32">
        <f>$E205*Common!AK$69</f>
        <v>0</v>
      </c>
      <c r="AK255" s="32">
        <f>$E205*Common!AL$69</f>
        <v>0</v>
      </c>
      <c r="AL255" s="32">
        <f>$E205*Common!AM$69</f>
        <v>0</v>
      </c>
      <c r="AM255" s="32">
        <f>$E205*Common!AN$69</f>
        <v>0</v>
      </c>
      <c r="AN255" s="32">
        <f>$E205*Common!AO$69</f>
        <v>0</v>
      </c>
      <c r="AO255" s="32">
        <f>$E205*Common!AP$69</f>
        <v>0</v>
      </c>
      <c r="AP255" s="32">
        <f>$E205*Common!AQ$69</f>
        <v>0</v>
      </c>
      <c r="AQ255" s="32">
        <f>$E205*Common!AR$69</f>
        <v>0</v>
      </c>
      <c r="AR255" s="32">
        <f>$E205*Common!AS$69</f>
        <v>0</v>
      </c>
      <c r="AS255" s="32">
        <f>$E205*Common!AT$69</f>
        <v>0</v>
      </c>
      <c r="AT255" s="32">
        <f>$E205*Common!AU$69</f>
        <v>0</v>
      </c>
      <c r="AU255" s="32">
        <f>$E205*Common!AV$69</f>
        <v>0</v>
      </c>
      <c r="AV255" s="32">
        <f>$E205*Common!AW$69</f>
        <v>0</v>
      </c>
      <c r="AW255" s="32">
        <f>$E205*Common!AX$69</f>
        <v>0</v>
      </c>
      <c r="AX255" s="32">
        <f>$E205*Common!AY$69</f>
        <v>0</v>
      </c>
      <c r="AY255" s="32">
        <f>$E205*Common!AZ$69</f>
        <v>0</v>
      </c>
      <c r="AZ255" s="32">
        <f>$E205*Common!BA$69</f>
        <v>0</v>
      </c>
      <c r="BA255" s="32">
        <f>$E205*Common!BB$69</f>
        <v>0</v>
      </c>
      <c r="BB255" s="32">
        <f>$E205*Common!BC$69</f>
        <v>0</v>
      </c>
      <c r="BC255" s="32">
        <f>$E205*Common!BD$69</f>
        <v>0</v>
      </c>
      <c r="BD255" s="32">
        <f>$E205*Common!BE$69</f>
        <v>0</v>
      </c>
      <c r="BE255" s="32">
        <f>$E205*Common!BF$69</f>
        <v>0</v>
      </c>
      <c r="BF255" s="32">
        <f>$E205*Common!BG$69</f>
        <v>0</v>
      </c>
      <c r="BG255" s="32">
        <f>$E205*Common!BH$69</f>
        <v>0</v>
      </c>
      <c r="BH255" s="32">
        <f>$E205*Common!BI$69</f>
        <v>0</v>
      </c>
      <c r="BI255" s="32">
        <f>$E205*Common!BJ$69</f>
        <v>0</v>
      </c>
      <c r="BJ255" s="32">
        <f>$E205*Common!BK$69</f>
        <v>0</v>
      </c>
      <c r="BK255" s="32">
        <f>$E205*Common!BL$69</f>
        <v>0</v>
      </c>
      <c r="BL255" s="32">
        <f>$E205*Common!BM$69</f>
        <v>0</v>
      </c>
      <c r="BM255" s="32">
        <f>$E205*Common!BN$69</f>
        <v>0</v>
      </c>
      <c r="BN255" s="32">
        <f>$E205*Common!BO$69</f>
        <v>0</v>
      </c>
      <c r="BO255" s="32">
        <f>$E205*Common!BP$69</f>
        <v>0</v>
      </c>
      <c r="BP255" s="32">
        <f>$E205*Common!BQ$69</f>
        <v>0</v>
      </c>
      <c r="BQ255" s="32">
        <f>$E205*Common!BR$69</f>
        <v>0</v>
      </c>
      <c r="BR255" s="32">
        <f>$E205*Common!BS$69</f>
        <v>0</v>
      </c>
      <c r="BS255" s="32">
        <f>$E205*Common!BT$69</f>
        <v>0</v>
      </c>
      <c r="BT255" s="32">
        <f>$E205*Common!BU$69</f>
        <v>0</v>
      </c>
      <c r="BU255" s="32">
        <f>$E205*Common!BV$69</f>
        <v>0</v>
      </c>
      <c r="BV255" s="32">
        <f>$E205*Common!BW$69</f>
        <v>0</v>
      </c>
      <c r="BW255" s="32">
        <f>$E205*Common!BX$69</f>
        <v>0</v>
      </c>
      <c r="BX255" s="32">
        <f>$E205*Common!BY$69</f>
        <v>0</v>
      </c>
      <c r="BY255" s="32">
        <f>$E205*Common!BZ$69</f>
        <v>0</v>
      </c>
      <c r="BZ255" s="32">
        <f>$E205*Common!CA$69</f>
        <v>0</v>
      </c>
      <c r="CA255" s="32">
        <f>$E205*Common!CB$69</f>
        <v>0</v>
      </c>
      <c r="CB255" s="32">
        <f>$E205*Common!CC$69</f>
        <v>0</v>
      </c>
      <c r="CC255" s="32">
        <f>$E205*Common!CD$69</f>
        <v>0</v>
      </c>
      <c r="CD255" s="32">
        <f>$E205*Common!CE$69</f>
        <v>0</v>
      </c>
      <c r="CE255" s="32">
        <f>$E205*Common!CF$69</f>
        <v>0</v>
      </c>
      <c r="CF255" s="32">
        <f>$E205*Common!CG$69</f>
        <v>0</v>
      </c>
      <c r="CG255" s="32">
        <f>$E205*Common!CH$69</f>
        <v>0</v>
      </c>
      <c r="CH255" s="32">
        <f>$E205*Common!CI$69</f>
        <v>0</v>
      </c>
      <c r="CI255" s="32">
        <f>$E205*Common!CJ$69</f>
        <v>0</v>
      </c>
      <c r="CR255" s="32">
        <f t="shared" ref="CR255:CS255" si="32">C205</f>
        <v>0.7</v>
      </c>
      <c r="CS255" s="32">
        <f t="shared" si="32"/>
        <v>0</v>
      </c>
      <c r="CV255">
        <f t="shared" si="24"/>
        <v>0</v>
      </c>
      <c r="CW255">
        <f t="shared" si="25"/>
        <v>0</v>
      </c>
      <c r="CX255">
        <f t="shared" si="26"/>
        <v>0</v>
      </c>
      <c r="CY255">
        <f t="shared" si="27"/>
        <v>0</v>
      </c>
      <c r="CZ255">
        <f t="shared" si="28"/>
        <v>0</v>
      </c>
      <c r="DA255">
        <f t="shared" si="29"/>
        <v>0</v>
      </c>
      <c r="DB255">
        <f t="shared" si="30"/>
        <v>0</v>
      </c>
      <c r="DF255" s="32">
        <f t="shared" si="31"/>
        <v>3.5917727575846561</v>
      </c>
      <c r="DI255">
        <f>SUM('SS Material Flow'!C186:J186)/'SS Material Flow'!B95</f>
        <v>0</v>
      </c>
      <c r="DK255">
        <f>'SS Material Flow'!B186/'SS Material Flow'!B95</f>
        <v>1</v>
      </c>
    </row>
    <row r="256" spans="1:116" x14ac:dyDescent="0.35">
      <c r="A256" t="str">
        <f t="shared" si="21"/>
        <v>Food Waste - Vegetable</v>
      </c>
      <c r="B256" s="32">
        <f>$E206*Common!C$69</f>
        <v>0</v>
      </c>
      <c r="C256" s="32">
        <f>$E206*Common!D$69</f>
        <v>0</v>
      </c>
      <c r="D256" s="32">
        <f>$E206*Common!E$69</f>
        <v>0</v>
      </c>
      <c r="E256" s="32">
        <f>$E206*Common!F$69</f>
        <v>0</v>
      </c>
      <c r="F256" s="32">
        <f>$E206*Common!G$69</f>
        <v>0</v>
      </c>
      <c r="G256" s="32">
        <f>$E206*Common!H$69</f>
        <v>0</v>
      </c>
      <c r="H256" s="32">
        <f>$E206*Common!I$69</f>
        <v>0</v>
      </c>
      <c r="I256" s="32">
        <f>$E206*Common!J$69</f>
        <v>0</v>
      </c>
      <c r="J256" s="32">
        <f>$E206*Common!K$69</f>
        <v>0</v>
      </c>
      <c r="K256" s="32">
        <f>$E206*Common!L$69</f>
        <v>0</v>
      </c>
      <c r="L256" s="32">
        <f>$E206*Common!M$69</f>
        <v>0</v>
      </c>
      <c r="M256" s="32">
        <f>$E206*Common!N$69</f>
        <v>0</v>
      </c>
      <c r="N256" s="32">
        <f>$E206*Common!O$69</f>
        <v>0</v>
      </c>
      <c r="O256" s="32">
        <f>$E206*Common!P$69</f>
        <v>0</v>
      </c>
      <c r="P256" s="32">
        <f>$E206*Common!Q$69</f>
        <v>0</v>
      </c>
      <c r="Q256" s="32">
        <f>$E206*Common!R$69</f>
        <v>0</v>
      </c>
      <c r="R256" s="32">
        <f>$E206*Common!S$69</f>
        <v>0</v>
      </c>
      <c r="S256" s="32">
        <f>$E206*Common!T$69</f>
        <v>0</v>
      </c>
      <c r="T256" s="32">
        <f>$E206*Common!U$69</f>
        <v>0</v>
      </c>
      <c r="U256" s="32">
        <f>$E206*Common!V$69</f>
        <v>0</v>
      </c>
      <c r="V256" s="32">
        <f>$E206*Common!W$69</f>
        <v>0</v>
      </c>
      <c r="W256" s="32">
        <f>$E206*Common!X$69</f>
        <v>0</v>
      </c>
      <c r="X256" s="32">
        <f>$E206*Common!Y$69</f>
        <v>0</v>
      </c>
      <c r="Y256" s="32">
        <f>$E206*Common!Z$69</f>
        <v>0</v>
      </c>
      <c r="Z256" s="32">
        <f>$E206*Common!AA$69</f>
        <v>0</v>
      </c>
      <c r="AA256" s="32">
        <f>$E206*Common!AB$69</f>
        <v>0</v>
      </c>
      <c r="AB256" s="32">
        <f>$E206*Common!AC$69</f>
        <v>0</v>
      </c>
      <c r="AC256" s="32">
        <f>$E206*Common!AD$69</f>
        <v>0</v>
      </c>
      <c r="AD256" s="32">
        <f>$E206*Common!AE$69</f>
        <v>0</v>
      </c>
      <c r="AE256" s="32">
        <f>$E206*Common!AF$69</f>
        <v>0</v>
      </c>
      <c r="AF256" s="32">
        <f>$E206*Common!AG$69</f>
        <v>0</v>
      </c>
      <c r="AG256" s="32">
        <f>$E206*Common!AH$69</f>
        <v>0</v>
      </c>
      <c r="AH256" s="32">
        <f>$E206*Common!AI$69</f>
        <v>0</v>
      </c>
      <c r="AI256" s="32">
        <f>$E206*Common!AJ$69</f>
        <v>0</v>
      </c>
      <c r="AJ256" s="32">
        <f>$E206*Common!AK$69</f>
        <v>0</v>
      </c>
      <c r="AK256" s="32">
        <f>$E206*Common!AL$69</f>
        <v>0</v>
      </c>
      <c r="AL256" s="32">
        <f>$E206*Common!AM$69</f>
        <v>0</v>
      </c>
      <c r="AM256" s="32">
        <f>$E206*Common!AN$69</f>
        <v>0</v>
      </c>
      <c r="AN256" s="32">
        <f>$E206*Common!AO$69</f>
        <v>0</v>
      </c>
      <c r="AO256" s="32">
        <f>$E206*Common!AP$69</f>
        <v>0</v>
      </c>
      <c r="AP256" s="32">
        <f>$E206*Common!AQ$69</f>
        <v>0</v>
      </c>
      <c r="AQ256" s="32">
        <f>$E206*Common!AR$69</f>
        <v>0</v>
      </c>
      <c r="AR256" s="32">
        <f>$E206*Common!AS$69</f>
        <v>0</v>
      </c>
      <c r="AS256" s="32">
        <f>$E206*Common!AT$69</f>
        <v>0</v>
      </c>
      <c r="AT256" s="32">
        <f>$E206*Common!AU$69</f>
        <v>0</v>
      </c>
      <c r="AU256" s="32">
        <f>$E206*Common!AV$69</f>
        <v>0</v>
      </c>
      <c r="AV256" s="32">
        <f>$E206*Common!AW$69</f>
        <v>0</v>
      </c>
      <c r="AW256" s="32">
        <f>$E206*Common!AX$69</f>
        <v>0</v>
      </c>
      <c r="AX256" s="32">
        <f>$E206*Common!AY$69</f>
        <v>0</v>
      </c>
      <c r="AY256" s="32">
        <f>$E206*Common!AZ$69</f>
        <v>0</v>
      </c>
      <c r="AZ256" s="32">
        <f>$E206*Common!BA$69</f>
        <v>0</v>
      </c>
      <c r="BA256" s="32">
        <f>$E206*Common!BB$69</f>
        <v>0</v>
      </c>
      <c r="BB256" s="32">
        <f>$E206*Common!BC$69</f>
        <v>0</v>
      </c>
      <c r="BC256" s="32">
        <f>$E206*Common!BD$69</f>
        <v>0</v>
      </c>
      <c r="BD256" s="32">
        <f>$E206*Common!BE$69</f>
        <v>0</v>
      </c>
      <c r="BE256" s="32">
        <f>$E206*Common!BF$69</f>
        <v>0</v>
      </c>
      <c r="BF256" s="32">
        <f>$E206*Common!BG$69</f>
        <v>0</v>
      </c>
      <c r="BG256" s="32">
        <f>$E206*Common!BH$69</f>
        <v>0</v>
      </c>
      <c r="BH256" s="32">
        <f>$E206*Common!BI$69</f>
        <v>0</v>
      </c>
      <c r="BI256" s="32">
        <f>$E206*Common!BJ$69</f>
        <v>0</v>
      </c>
      <c r="BJ256" s="32">
        <f>$E206*Common!BK$69</f>
        <v>0</v>
      </c>
      <c r="BK256" s="32">
        <f>$E206*Common!BL$69</f>
        <v>0</v>
      </c>
      <c r="BL256" s="32">
        <f>$E206*Common!BM$69</f>
        <v>0</v>
      </c>
      <c r="BM256" s="32">
        <f>$E206*Common!BN$69</f>
        <v>0</v>
      </c>
      <c r="BN256" s="32">
        <f>$E206*Common!BO$69</f>
        <v>0</v>
      </c>
      <c r="BO256" s="32">
        <f>$E206*Common!BP$69</f>
        <v>0</v>
      </c>
      <c r="BP256" s="32">
        <f>$E206*Common!BQ$69</f>
        <v>0</v>
      </c>
      <c r="BQ256" s="32">
        <f>$E206*Common!BR$69</f>
        <v>0</v>
      </c>
      <c r="BR256" s="32">
        <f>$E206*Common!BS$69</f>
        <v>0</v>
      </c>
      <c r="BS256" s="32">
        <f>$E206*Common!BT$69</f>
        <v>0</v>
      </c>
      <c r="BT256" s="32">
        <f>$E206*Common!BU$69</f>
        <v>0</v>
      </c>
      <c r="BU256" s="32">
        <f>$E206*Common!BV$69</f>
        <v>0</v>
      </c>
      <c r="BV256" s="32">
        <f>$E206*Common!BW$69</f>
        <v>0</v>
      </c>
      <c r="BW256" s="32">
        <f>$E206*Common!BX$69</f>
        <v>0</v>
      </c>
      <c r="BX256" s="32">
        <f>$E206*Common!BY$69</f>
        <v>0</v>
      </c>
      <c r="BY256" s="32">
        <f>$E206*Common!BZ$69</f>
        <v>0</v>
      </c>
      <c r="BZ256" s="32">
        <f>$E206*Common!CA$69</f>
        <v>0</v>
      </c>
      <c r="CA256" s="32">
        <f>$E206*Common!CB$69</f>
        <v>0</v>
      </c>
      <c r="CB256" s="32">
        <f>$E206*Common!CC$69</f>
        <v>0</v>
      </c>
      <c r="CC256" s="32">
        <f>$E206*Common!CD$69</f>
        <v>0</v>
      </c>
      <c r="CD256" s="32">
        <f>$E206*Common!CE$69</f>
        <v>0</v>
      </c>
      <c r="CE256" s="32">
        <f>$E206*Common!CF$69</f>
        <v>0</v>
      </c>
      <c r="CF256" s="32">
        <f>$E206*Common!CG$69</f>
        <v>0</v>
      </c>
      <c r="CG256" s="32">
        <f>$E206*Common!CH$69</f>
        <v>0</v>
      </c>
      <c r="CH256" s="32">
        <f>$E206*Common!CI$69</f>
        <v>0</v>
      </c>
      <c r="CI256" s="32">
        <f>$E206*Common!CJ$69</f>
        <v>0</v>
      </c>
      <c r="CR256" s="32">
        <f t="shared" ref="CR256:CS256" si="33">C206</f>
        <v>0.7</v>
      </c>
      <c r="CS256" s="32">
        <f t="shared" si="33"/>
        <v>0</v>
      </c>
      <c r="CV256">
        <f t="shared" si="24"/>
        <v>0</v>
      </c>
      <c r="CW256">
        <f t="shared" si="25"/>
        <v>0</v>
      </c>
      <c r="CX256">
        <f t="shared" si="26"/>
        <v>0</v>
      </c>
      <c r="CY256">
        <f t="shared" si="27"/>
        <v>0</v>
      </c>
      <c r="CZ256">
        <f t="shared" si="28"/>
        <v>0</v>
      </c>
      <c r="DA256">
        <f t="shared" si="29"/>
        <v>0</v>
      </c>
      <c r="DB256">
        <f t="shared" si="30"/>
        <v>0</v>
      </c>
      <c r="DF256" s="32">
        <f t="shared" si="31"/>
        <v>3.5917727575846561</v>
      </c>
      <c r="DI256">
        <f>SUM('SS Material Flow'!C187:J187)/'SS Material Flow'!B96</f>
        <v>0</v>
      </c>
      <c r="DK256">
        <f>'SS Material Flow'!B187/'SS Material Flow'!B96</f>
        <v>1</v>
      </c>
    </row>
    <row r="257" spans="1:115" x14ac:dyDescent="0.35">
      <c r="A257" t="str">
        <f t="shared" si="21"/>
        <v>Food Waste - Non-Vegetable</v>
      </c>
      <c r="B257" s="32">
        <f>$E207*Common!C$69</f>
        <v>0</v>
      </c>
      <c r="C257" s="32">
        <f>$E207*Common!D$69</f>
        <v>0</v>
      </c>
      <c r="D257" s="32">
        <f>$E207*Common!E$69</f>
        <v>0</v>
      </c>
      <c r="E257" s="32">
        <f>$E207*Common!F$69</f>
        <v>0</v>
      </c>
      <c r="F257" s="32">
        <f>$E207*Common!G$69</f>
        <v>0</v>
      </c>
      <c r="G257" s="32">
        <f>$E207*Common!H$69</f>
        <v>0</v>
      </c>
      <c r="H257" s="32">
        <f>$E207*Common!I$69</f>
        <v>0</v>
      </c>
      <c r="I257" s="32">
        <f>$E207*Common!J$69</f>
        <v>0</v>
      </c>
      <c r="J257" s="32">
        <f>$E207*Common!K$69</f>
        <v>0</v>
      </c>
      <c r="K257" s="32">
        <f>$E207*Common!L$69</f>
        <v>0</v>
      </c>
      <c r="L257" s="32">
        <f>$E207*Common!M$69</f>
        <v>0</v>
      </c>
      <c r="M257" s="32">
        <f>$E207*Common!N$69</f>
        <v>0</v>
      </c>
      <c r="N257" s="32">
        <f>$E207*Common!O$69</f>
        <v>0</v>
      </c>
      <c r="O257" s="32">
        <f>$E207*Common!P$69</f>
        <v>0</v>
      </c>
      <c r="P257" s="32">
        <f>$E207*Common!Q$69</f>
        <v>0</v>
      </c>
      <c r="Q257" s="32">
        <f>$E207*Common!R$69</f>
        <v>0</v>
      </c>
      <c r="R257" s="32">
        <f>$E207*Common!S$69</f>
        <v>0</v>
      </c>
      <c r="S257" s="32">
        <f>$E207*Common!T$69</f>
        <v>0</v>
      </c>
      <c r="T257" s="32">
        <f>$E207*Common!U$69</f>
        <v>0</v>
      </c>
      <c r="U257" s="32">
        <f>$E207*Common!V$69</f>
        <v>0</v>
      </c>
      <c r="V257" s="32">
        <f>$E207*Common!W$69</f>
        <v>0</v>
      </c>
      <c r="W257" s="32">
        <f>$E207*Common!X$69</f>
        <v>0</v>
      </c>
      <c r="X257" s="32">
        <f>$E207*Common!Y$69</f>
        <v>0</v>
      </c>
      <c r="Y257" s="32">
        <f>$E207*Common!Z$69</f>
        <v>0</v>
      </c>
      <c r="Z257" s="32">
        <f>$E207*Common!AA$69</f>
        <v>0</v>
      </c>
      <c r="AA257" s="32">
        <f>$E207*Common!AB$69</f>
        <v>0</v>
      </c>
      <c r="AB257" s="32">
        <f>$E207*Common!AC$69</f>
        <v>0</v>
      </c>
      <c r="AC257" s="32">
        <f>$E207*Common!AD$69</f>
        <v>0</v>
      </c>
      <c r="AD257" s="32">
        <f>$E207*Common!AE$69</f>
        <v>0</v>
      </c>
      <c r="AE257" s="32">
        <f>$E207*Common!AF$69</f>
        <v>0</v>
      </c>
      <c r="AF257" s="32">
        <f>$E207*Common!AG$69</f>
        <v>0</v>
      </c>
      <c r="AG257" s="32">
        <f>$E207*Common!AH$69</f>
        <v>0</v>
      </c>
      <c r="AH257" s="32">
        <f>$E207*Common!AI$69</f>
        <v>0</v>
      </c>
      <c r="AI257" s="32">
        <f>$E207*Common!AJ$69</f>
        <v>0</v>
      </c>
      <c r="AJ257" s="32">
        <f>$E207*Common!AK$69</f>
        <v>0</v>
      </c>
      <c r="AK257" s="32">
        <f>$E207*Common!AL$69</f>
        <v>0</v>
      </c>
      <c r="AL257" s="32">
        <f>$E207*Common!AM$69</f>
        <v>0</v>
      </c>
      <c r="AM257" s="32">
        <f>$E207*Common!AN$69</f>
        <v>0</v>
      </c>
      <c r="AN257" s="32">
        <f>$E207*Common!AO$69</f>
        <v>0</v>
      </c>
      <c r="AO257" s="32">
        <f>$E207*Common!AP$69</f>
        <v>0</v>
      </c>
      <c r="AP257" s="32">
        <f>$E207*Common!AQ$69</f>
        <v>0</v>
      </c>
      <c r="AQ257" s="32">
        <f>$E207*Common!AR$69</f>
        <v>0</v>
      </c>
      <c r="AR257" s="32">
        <f>$E207*Common!AS$69</f>
        <v>0</v>
      </c>
      <c r="AS257" s="32">
        <f>$E207*Common!AT$69</f>
        <v>0</v>
      </c>
      <c r="AT257" s="32">
        <f>$E207*Common!AU$69</f>
        <v>0</v>
      </c>
      <c r="AU257" s="32">
        <f>$E207*Common!AV$69</f>
        <v>0</v>
      </c>
      <c r="AV257" s="32">
        <f>$E207*Common!AW$69</f>
        <v>0</v>
      </c>
      <c r="AW257" s="32">
        <f>$E207*Common!AX$69</f>
        <v>0</v>
      </c>
      <c r="AX257" s="32">
        <f>$E207*Common!AY$69</f>
        <v>0</v>
      </c>
      <c r="AY257" s="32">
        <f>$E207*Common!AZ$69</f>
        <v>0</v>
      </c>
      <c r="AZ257" s="32">
        <f>$E207*Common!BA$69</f>
        <v>0</v>
      </c>
      <c r="BA257" s="32">
        <f>$E207*Common!BB$69</f>
        <v>0</v>
      </c>
      <c r="BB257" s="32">
        <f>$E207*Common!BC$69</f>
        <v>0</v>
      </c>
      <c r="BC257" s="32">
        <f>$E207*Common!BD$69</f>
        <v>0</v>
      </c>
      <c r="BD257" s="32">
        <f>$E207*Common!BE$69</f>
        <v>0</v>
      </c>
      <c r="BE257" s="32">
        <f>$E207*Common!BF$69</f>
        <v>0</v>
      </c>
      <c r="BF257" s="32">
        <f>$E207*Common!BG$69</f>
        <v>0</v>
      </c>
      <c r="BG257" s="32">
        <f>$E207*Common!BH$69</f>
        <v>0</v>
      </c>
      <c r="BH257" s="32">
        <f>$E207*Common!BI$69</f>
        <v>0</v>
      </c>
      <c r="BI257" s="32">
        <f>$E207*Common!BJ$69</f>
        <v>0</v>
      </c>
      <c r="BJ257" s="32">
        <f>$E207*Common!BK$69</f>
        <v>0</v>
      </c>
      <c r="BK257" s="32">
        <f>$E207*Common!BL$69</f>
        <v>0</v>
      </c>
      <c r="BL257" s="32">
        <f>$E207*Common!BM$69</f>
        <v>0</v>
      </c>
      <c r="BM257" s="32">
        <f>$E207*Common!BN$69</f>
        <v>0</v>
      </c>
      <c r="BN257" s="32">
        <f>$E207*Common!BO$69</f>
        <v>0</v>
      </c>
      <c r="BO257" s="32">
        <f>$E207*Common!BP$69</f>
        <v>0</v>
      </c>
      <c r="BP257" s="32">
        <f>$E207*Common!BQ$69</f>
        <v>0</v>
      </c>
      <c r="BQ257" s="32">
        <f>$E207*Common!BR$69</f>
        <v>0</v>
      </c>
      <c r="BR257" s="32">
        <f>$E207*Common!BS$69</f>
        <v>0</v>
      </c>
      <c r="BS257" s="32">
        <f>$E207*Common!BT$69</f>
        <v>0</v>
      </c>
      <c r="BT257" s="32">
        <f>$E207*Common!BU$69</f>
        <v>0</v>
      </c>
      <c r="BU257" s="32">
        <f>$E207*Common!BV$69</f>
        <v>0</v>
      </c>
      <c r="BV257" s="32">
        <f>$E207*Common!BW$69</f>
        <v>0</v>
      </c>
      <c r="BW257" s="32">
        <f>$E207*Common!BX$69</f>
        <v>0</v>
      </c>
      <c r="BX257" s="32">
        <f>$E207*Common!BY$69</f>
        <v>0</v>
      </c>
      <c r="BY257" s="32">
        <f>$E207*Common!BZ$69</f>
        <v>0</v>
      </c>
      <c r="BZ257" s="32">
        <f>$E207*Common!CA$69</f>
        <v>0</v>
      </c>
      <c r="CA257" s="32">
        <f>$E207*Common!CB$69</f>
        <v>0</v>
      </c>
      <c r="CB257" s="32">
        <f>$E207*Common!CC$69</f>
        <v>0</v>
      </c>
      <c r="CC257" s="32">
        <f>$E207*Common!CD$69</f>
        <v>0</v>
      </c>
      <c r="CD257" s="32">
        <f>$E207*Common!CE$69</f>
        <v>0</v>
      </c>
      <c r="CE257" s="32">
        <f>$E207*Common!CF$69</f>
        <v>0</v>
      </c>
      <c r="CF257" s="32">
        <f>$E207*Common!CG$69</f>
        <v>0</v>
      </c>
      <c r="CG257" s="32">
        <f>$E207*Common!CH$69</f>
        <v>0</v>
      </c>
      <c r="CH257" s="32">
        <f>$E207*Common!CI$69</f>
        <v>0</v>
      </c>
      <c r="CI257" s="32">
        <f>$E207*Common!CJ$69</f>
        <v>0</v>
      </c>
      <c r="CR257" s="32">
        <f t="shared" ref="CR257:CS257" si="34">C207</f>
        <v>0.7</v>
      </c>
      <c r="CS257" s="32">
        <f t="shared" si="34"/>
        <v>0</v>
      </c>
      <c r="CV257">
        <f t="shared" si="24"/>
        <v>0</v>
      </c>
      <c r="CW257">
        <f t="shared" si="25"/>
        <v>0</v>
      </c>
      <c r="CX257">
        <f t="shared" si="26"/>
        <v>0</v>
      </c>
      <c r="CY257">
        <f t="shared" si="27"/>
        <v>0</v>
      </c>
      <c r="CZ257">
        <f t="shared" si="28"/>
        <v>0</v>
      </c>
      <c r="DA257">
        <f t="shared" si="29"/>
        <v>0</v>
      </c>
      <c r="DB257">
        <f t="shared" si="30"/>
        <v>0</v>
      </c>
      <c r="DF257" s="32">
        <f t="shared" si="31"/>
        <v>3.5917727575846561</v>
      </c>
      <c r="DI257">
        <f>SUM('SS Material Flow'!C188:J188)/'SS Material Flow'!B97</f>
        <v>0</v>
      </c>
      <c r="DK257">
        <f>'SS Material Flow'!B188/'SS Material Flow'!B97</f>
        <v>1</v>
      </c>
    </row>
    <row r="258" spans="1:115" x14ac:dyDescent="0.35">
      <c r="A258" t="str">
        <f t="shared" si="21"/>
        <v>Wood</v>
      </c>
      <c r="B258" s="32">
        <f>$E208*Common!C$69</f>
        <v>0</v>
      </c>
      <c r="C258" s="32">
        <f>$E208*Common!D$69</f>
        <v>0</v>
      </c>
      <c r="D258" s="32">
        <f>$E208*Common!E$69</f>
        <v>0</v>
      </c>
      <c r="E258" s="32">
        <f>$E208*Common!F$69</f>
        <v>0</v>
      </c>
      <c r="F258" s="32">
        <f>$E208*Common!G$69</f>
        <v>0</v>
      </c>
      <c r="G258" s="32">
        <f>$E208*Common!H$69</f>
        <v>0</v>
      </c>
      <c r="H258" s="32">
        <f>$E208*Common!I$69</f>
        <v>0</v>
      </c>
      <c r="I258" s="32">
        <f>$E208*Common!J$69</f>
        <v>0</v>
      </c>
      <c r="J258" s="32">
        <f>$E208*Common!K$69</f>
        <v>0</v>
      </c>
      <c r="K258" s="32">
        <f>$E208*Common!L$69</f>
        <v>0</v>
      </c>
      <c r="L258" s="32">
        <f>$E208*Common!M$69</f>
        <v>0</v>
      </c>
      <c r="M258" s="32">
        <f>$E208*Common!N$69</f>
        <v>0</v>
      </c>
      <c r="N258" s="32">
        <f>$E208*Common!O$69</f>
        <v>0</v>
      </c>
      <c r="O258" s="32">
        <f>$E208*Common!P$69</f>
        <v>0</v>
      </c>
      <c r="P258" s="32">
        <f>$E208*Common!Q$69</f>
        <v>0</v>
      </c>
      <c r="Q258" s="32">
        <f>$E208*Common!R$69</f>
        <v>0</v>
      </c>
      <c r="R258" s="32">
        <f>$E208*Common!S$69</f>
        <v>0</v>
      </c>
      <c r="S258" s="32">
        <f>$E208*Common!T$69</f>
        <v>0</v>
      </c>
      <c r="T258" s="32">
        <f>$E208*Common!U$69</f>
        <v>0</v>
      </c>
      <c r="U258" s="32">
        <f>$E208*Common!V$69</f>
        <v>0</v>
      </c>
      <c r="V258" s="32">
        <f>$E208*Common!W$69</f>
        <v>0</v>
      </c>
      <c r="W258" s="32">
        <f>$E208*Common!X$69</f>
        <v>0</v>
      </c>
      <c r="X258" s="32">
        <f>$E208*Common!Y$69</f>
        <v>0</v>
      </c>
      <c r="Y258" s="32">
        <f>$E208*Common!Z$69</f>
        <v>0</v>
      </c>
      <c r="Z258" s="32">
        <f>$E208*Common!AA$69</f>
        <v>0</v>
      </c>
      <c r="AA258" s="32">
        <f>$E208*Common!AB$69</f>
        <v>0</v>
      </c>
      <c r="AB258" s="32">
        <f>$E208*Common!AC$69</f>
        <v>0</v>
      </c>
      <c r="AC258" s="32">
        <f>$E208*Common!AD$69</f>
        <v>0</v>
      </c>
      <c r="AD258" s="32">
        <f>$E208*Common!AE$69</f>
        <v>0</v>
      </c>
      <c r="AE258" s="32">
        <f>$E208*Common!AF$69</f>
        <v>0</v>
      </c>
      <c r="AF258" s="32">
        <f>$E208*Common!AG$69</f>
        <v>0</v>
      </c>
      <c r="AG258" s="32">
        <f>$E208*Common!AH$69</f>
        <v>0</v>
      </c>
      <c r="AH258" s="32">
        <f>$E208*Common!AI$69</f>
        <v>0</v>
      </c>
      <c r="AI258" s="32">
        <f>$E208*Common!AJ$69</f>
        <v>0</v>
      </c>
      <c r="AJ258" s="32">
        <f>$E208*Common!AK$69</f>
        <v>0</v>
      </c>
      <c r="AK258" s="32">
        <f>$E208*Common!AL$69</f>
        <v>0</v>
      </c>
      <c r="AL258" s="32">
        <f>$E208*Common!AM$69</f>
        <v>0</v>
      </c>
      <c r="AM258" s="32">
        <f>$E208*Common!AN$69</f>
        <v>0</v>
      </c>
      <c r="AN258" s="32">
        <f>$E208*Common!AO$69</f>
        <v>0</v>
      </c>
      <c r="AO258" s="32">
        <f>$E208*Common!AP$69</f>
        <v>0</v>
      </c>
      <c r="AP258" s="32">
        <f>$E208*Common!AQ$69</f>
        <v>0</v>
      </c>
      <c r="AQ258" s="32">
        <f>$E208*Common!AR$69</f>
        <v>0</v>
      </c>
      <c r="AR258" s="32">
        <f>$E208*Common!AS$69</f>
        <v>0</v>
      </c>
      <c r="AS258" s="32">
        <f>$E208*Common!AT$69</f>
        <v>0</v>
      </c>
      <c r="AT258" s="32">
        <f>$E208*Common!AU$69</f>
        <v>0</v>
      </c>
      <c r="AU258" s="32">
        <f>$E208*Common!AV$69</f>
        <v>0</v>
      </c>
      <c r="AV258" s="32">
        <f>$E208*Common!AW$69</f>
        <v>0</v>
      </c>
      <c r="AW258" s="32">
        <f>$E208*Common!AX$69</f>
        <v>0</v>
      </c>
      <c r="AX258" s="32">
        <f>$E208*Common!AY$69</f>
        <v>0</v>
      </c>
      <c r="AY258" s="32">
        <f>$E208*Common!AZ$69</f>
        <v>0</v>
      </c>
      <c r="AZ258" s="32">
        <f>$E208*Common!BA$69</f>
        <v>0</v>
      </c>
      <c r="BA258" s="32">
        <f>$E208*Common!BB$69</f>
        <v>0</v>
      </c>
      <c r="BB258" s="32">
        <f>$E208*Common!BC$69</f>
        <v>0</v>
      </c>
      <c r="BC258" s="32">
        <f>$E208*Common!BD$69</f>
        <v>0</v>
      </c>
      <c r="BD258" s="32">
        <f>$E208*Common!BE$69</f>
        <v>0</v>
      </c>
      <c r="BE258" s="32">
        <f>$E208*Common!BF$69</f>
        <v>0</v>
      </c>
      <c r="BF258" s="32">
        <f>$E208*Common!BG$69</f>
        <v>0</v>
      </c>
      <c r="BG258" s="32">
        <f>$E208*Common!BH$69</f>
        <v>0</v>
      </c>
      <c r="BH258" s="32">
        <f>$E208*Common!BI$69</f>
        <v>0</v>
      </c>
      <c r="BI258" s="32">
        <f>$E208*Common!BJ$69</f>
        <v>0</v>
      </c>
      <c r="BJ258" s="32">
        <f>$E208*Common!BK$69</f>
        <v>0</v>
      </c>
      <c r="BK258" s="32">
        <f>$E208*Common!BL$69</f>
        <v>0</v>
      </c>
      <c r="BL258" s="32">
        <f>$E208*Common!BM$69</f>
        <v>0</v>
      </c>
      <c r="BM258" s="32">
        <f>$E208*Common!BN$69</f>
        <v>0</v>
      </c>
      <c r="BN258" s="32">
        <f>$E208*Common!BO$69</f>
        <v>0</v>
      </c>
      <c r="BO258" s="32">
        <f>$E208*Common!BP$69</f>
        <v>0</v>
      </c>
      <c r="BP258" s="32">
        <f>$E208*Common!BQ$69</f>
        <v>0</v>
      </c>
      <c r="BQ258" s="32">
        <f>$E208*Common!BR$69</f>
        <v>0</v>
      </c>
      <c r="BR258" s="32">
        <f>$E208*Common!BS$69</f>
        <v>0</v>
      </c>
      <c r="BS258" s="32">
        <f>$E208*Common!BT$69</f>
        <v>0</v>
      </c>
      <c r="BT258" s="32">
        <f>$E208*Common!BU$69</f>
        <v>0</v>
      </c>
      <c r="BU258" s="32">
        <f>$E208*Common!BV$69</f>
        <v>0</v>
      </c>
      <c r="BV258" s="32">
        <f>$E208*Common!BW$69</f>
        <v>0</v>
      </c>
      <c r="BW258" s="32">
        <f>$E208*Common!BX$69</f>
        <v>0</v>
      </c>
      <c r="BX258" s="32">
        <f>$E208*Common!BY$69</f>
        <v>0</v>
      </c>
      <c r="BY258" s="32">
        <f>$E208*Common!BZ$69</f>
        <v>0</v>
      </c>
      <c r="BZ258" s="32">
        <f>$E208*Common!CA$69</f>
        <v>0</v>
      </c>
      <c r="CA258" s="32">
        <f>$E208*Common!CB$69</f>
        <v>0</v>
      </c>
      <c r="CB258" s="32">
        <f>$E208*Common!CC$69</f>
        <v>0</v>
      </c>
      <c r="CC258" s="32">
        <f>$E208*Common!CD$69</f>
        <v>0</v>
      </c>
      <c r="CD258" s="32">
        <f>$E208*Common!CE$69</f>
        <v>0</v>
      </c>
      <c r="CE258" s="32">
        <f>$E208*Common!CF$69</f>
        <v>0</v>
      </c>
      <c r="CF258" s="32">
        <f>$E208*Common!CG$69</f>
        <v>0</v>
      </c>
      <c r="CG258" s="32">
        <f>$E208*Common!CH$69</f>
        <v>0</v>
      </c>
      <c r="CH258" s="32">
        <f>$E208*Common!CI$69</f>
        <v>0</v>
      </c>
      <c r="CI258" s="32">
        <f>$E208*Common!CJ$69</f>
        <v>0</v>
      </c>
      <c r="CR258" s="32">
        <f t="shared" ref="CR258:CS258" si="35">C208</f>
        <v>0.7</v>
      </c>
      <c r="CS258" s="32">
        <f t="shared" si="35"/>
        <v>0</v>
      </c>
      <c r="CV258">
        <f t="shared" si="24"/>
        <v>0</v>
      </c>
      <c r="CW258">
        <f t="shared" si="25"/>
        <v>0</v>
      </c>
      <c r="CX258">
        <f t="shared" si="26"/>
        <v>0</v>
      </c>
      <c r="CY258">
        <f t="shared" si="27"/>
        <v>0</v>
      </c>
      <c r="CZ258">
        <f t="shared" si="28"/>
        <v>0</v>
      </c>
      <c r="DA258">
        <f t="shared" si="29"/>
        <v>0</v>
      </c>
      <c r="DB258">
        <f t="shared" si="30"/>
        <v>0</v>
      </c>
      <c r="DF258" s="32">
        <f t="shared" si="31"/>
        <v>3.5917727575846561</v>
      </c>
      <c r="DI258">
        <f>SUM('SS Material Flow'!C189:J189)/'SS Material Flow'!B98</f>
        <v>0</v>
      </c>
      <c r="DK258">
        <f>'SS Material Flow'!B189/'SS Material Flow'!B98</f>
        <v>1</v>
      </c>
    </row>
    <row r="259" spans="1:115" x14ac:dyDescent="0.35">
      <c r="A259" t="str">
        <f t="shared" si="21"/>
        <v>Wood Other</v>
      </c>
      <c r="B259" s="32">
        <f>$E209*Common!C$69</f>
        <v>0</v>
      </c>
      <c r="C259" s="32">
        <f>$E209*Common!D$69</f>
        <v>0</v>
      </c>
      <c r="D259" s="32">
        <f>$E209*Common!E$69</f>
        <v>0</v>
      </c>
      <c r="E259" s="32">
        <f>$E209*Common!F$69</f>
        <v>0</v>
      </c>
      <c r="F259" s="32">
        <f>$E209*Common!G$69</f>
        <v>0</v>
      </c>
      <c r="G259" s="32">
        <f>$E209*Common!H$69</f>
        <v>0</v>
      </c>
      <c r="H259" s="32">
        <f>$E209*Common!I$69</f>
        <v>0</v>
      </c>
      <c r="I259" s="32">
        <f>$E209*Common!J$69</f>
        <v>0</v>
      </c>
      <c r="J259" s="32">
        <f>$E209*Common!K$69</f>
        <v>0</v>
      </c>
      <c r="K259" s="32">
        <f>$E209*Common!L$69</f>
        <v>0</v>
      </c>
      <c r="L259" s="32">
        <f>$E209*Common!M$69</f>
        <v>0</v>
      </c>
      <c r="M259" s="32">
        <f>$E209*Common!N$69</f>
        <v>0</v>
      </c>
      <c r="N259" s="32">
        <f>$E209*Common!O$69</f>
        <v>0</v>
      </c>
      <c r="O259" s="32">
        <f>$E209*Common!P$69</f>
        <v>0</v>
      </c>
      <c r="P259" s="32">
        <f>$E209*Common!Q$69</f>
        <v>0</v>
      </c>
      <c r="Q259" s="32">
        <f>$E209*Common!R$69</f>
        <v>0</v>
      </c>
      <c r="R259" s="32">
        <f>$E209*Common!S$69</f>
        <v>0</v>
      </c>
      <c r="S259" s="32">
        <f>$E209*Common!T$69</f>
        <v>0</v>
      </c>
      <c r="T259" s="32">
        <f>$E209*Common!U$69</f>
        <v>0</v>
      </c>
      <c r="U259" s="32">
        <f>$E209*Common!V$69</f>
        <v>0</v>
      </c>
      <c r="V259" s="32">
        <f>$E209*Common!W$69</f>
        <v>0</v>
      </c>
      <c r="W259" s="32">
        <f>$E209*Common!X$69</f>
        <v>0</v>
      </c>
      <c r="X259" s="32">
        <f>$E209*Common!Y$69</f>
        <v>0</v>
      </c>
      <c r="Y259" s="32">
        <f>$E209*Common!Z$69</f>
        <v>0</v>
      </c>
      <c r="Z259" s="32">
        <f>$E209*Common!AA$69</f>
        <v>0</v>
      </c>
      <c r="AA259" s="32">
        <f>$E209*Common!AB$69</f>
        <v>0</v>
      </c>
      <c r="AB259" s="32">
        <f>$E209*Common!AC$69</f>
        <v>0</v>
      </c>
      <c r="AC259" s="32">
        <f>$E209*Common!AD$69</f>
        <v>0</v>
      </c>
      <c r="AD259" s="32">
        <f>$E209*Common!AE$69</f>
        <v>0</v>
      </c>
      <c r="AE259" s="32">
        <f>$E209*Common!AF$69</f>
        <v>0</v>
      </c>
      <c r="AF259" s="32">
        <f>$E209*Common!AG$69</f>
        <v>0</v>
      </c>
      <c r="AG259" s="32">
        <f>$E209*Common!AH$69</f>
        <v>0</v>
      </c>
      <c r="AH259" s="32">
        <f>$E209*Common!AI$69</f>
        <v>0</v>
      </c>
      <c r="AI259" s="32">
        <f>$E209*Common!AJ$69</f>
        <v>0</v>
      </c>
      <c r="AJ259" s="32">
        <f>$E209*Common!AK$69</f>
        <v>0</v>
      </c>
      <c r="AK259" s="32">
        <f>$E209*Common!AL$69</f>
        <v>0</v>
      </c>
      <c r="AL259" s="32">
        <f>$E209*Common!AM$69</f>
        <v>0</v>
      </c>
      <c r="AM259" s="32">
        <f>$E209*Common!AN$69</f>
        <v>0</v>
      </c>
      <c r="AN259" s="32">
        <f>$E209*Common!AO$69</f>
        <v>0</v>
      </c>
      <c r="AO259" s="32">
        <f>$E209*Common!AP$69</f>
        <v>0</v>
      </c>
      <c r="AP259" s="32">
        <f>$E209*Common!AQ$69</f>
        <v>0</v>
      </c>
      <c r="AQ259" s="32">
        <f>$E209*Common!AR$69</f>
        <v>0</v>
      </c>
      <c r="AR259" s="32">
        <f>$E209*Common!AS$69</f>
        <v>0</v>
      </c>
      <c r="AS259" s="32">
        <f>$E209*Common!AT$69</f>
        <v>0</v>
      </c>
      <c r="AT259" s="32">
        <f>$E209*Common!AU$69</f>
        <v>0</v>
      </c>
      <c r="AU259" s="32">
        <f>$E209*Common!AV$69</f>
        <v>0</v>
      </c>
      <c r="AV259" s="32">
        <f>$E209*Common!AW$69</f>
        <v>0</v>
      </c>
      <c r="AW259" s="32">
        <f>$E209*Common!AX$69</f>
        <v>0</v>
      </c>
      <c r="AX259" s="32">
        <f>$E209*Common!AY$69</f>
        <v>0</v>
      </c>
      <c r="AY259" s="32">
        <f>$E209*Common!AZ$69</f>
        <v>0</v>
      </c>
      <c r="AZ259" s="32">
        <f>$E209*Common!BA$69</f>
        <v>0</v>
      </c>
      <c r="BA259" s="32">
        <f>$E209*Common!BB$69</f>
        <v>0</v>
      </c>
      <c r="BB259" s="32">
        <f>$E209*Common!BC$69</f>
        <v>0</v>
      </c>
      <c r="BC259" s="32">
        <f>$E209*Common!BD$69</f>
        <v>0</v>
      </c>
      <c r="BD259" s="32">
        <f>$E209*Common!BE$69</f>
        <v>0</v>
      </c>
      <c r="BE259" s="32">
        <f>$E209*Common!BF$69</f>
        <v>0</v>
      </c>
      <c r="BF259" s="32">
        <f>$E209*Common!BG$69</f>
        <v>0</v>
      </c>
      <c r="BG259" s="32">
        <f>$E209*Common!BH$69</f>
        <v>0</v>
      </c>
      <c r="BH259" s="32">
        <f>$E209*Common!BI$69</f>
        <v>0</v>
      </c>
      <c r="BI259" s="32">
        <f>$E209*Common!BJ$69</f>
        <v>0</v>
      </c>
      <c r="BJ259" s="32">
        <f>$E209*Common!BK$69</f>
        <v>0</v>
      </c>
      <c r="BK259" s="32">
        <f>$E209*Common!BL$69</f>
        <v>0</v>
      </c>
      <c r="BL259" s="32">
        <f>$E209*Common!BM$69</f>
        <v>0</v>
      </c>
      <c r="BM259" s="32">
        <f>$E209*Common!BN$69</f>
        <v>0</v>
      </c>
      <c r="BN259" s="32">
        <f>$E209*Common!BO$69</f>
        <v>0</v>
      </c>
      <c r="BO259" s="32">
        <f>$E209*Common!BP$69</f>
        <v>0</v>
      </c>
      <c r="BP259" s="32">
        <f>$E209*Common!BQ$69</f>
        <v>0</v>
      </c>
      <c r="BQ259" s="32">
        <f>$E209*Common!BR$69</f>
        <v>0</v>
      </c>
      <c r="BR259" s="32">
        <f>$E209*Common!BS$69</f>
        <v>0</v>
      </c>
      <c r="BS259" s="32">
        <f>$E209*Common!BT$69</f>
        <v>0</v>
      </c>
      <c r="BT259" s="32">
        <f>$E209*Common!BU$69</f>
        <v>0</v>
      </c>
      <c r="BU259" s="32">
        <f>$E209*Common!BV$69</f>
        <v>0</v>
      </c>
      <c r="BV259" s="32">
        <f>$E209*Common!BW$69</f>
        <v>0</v>
      </c>
      <c r="BW259" s="32">
        <f>$E209*Common!BX$69</f>
        <v>0</v>
      </c>
      <c r="BX259" s="32">
        <f>$E209*Common!BY$69</f>
        <v>0</v>
      </c>
      <c r="BY259" s="32">
        <f>$E209*Common!BZ$69</f>
        <v>0</v>
      </c>
      <c r="BZ259" s="32">
        <f>$E209*Common!CA$69</f>
        <v>0</v>
      </c>
      <c r="CA259" s="32">
        <f>$E209*Common!CB$69</f>
        <v>0</v>
      </c>
      <c r="CB259" s="32">
        <f>$E209*Common!CC$69</f>
        <v>0</v>
      </c>
      <c r="CC259" s="32">
        <f>$E209*Common!CD$69</f>
        <v>0</v>
      </c>
      <c r="CD259" s="32">
        <f>$E209*Common!CE$69</f>
        <v>0</v>
      </c>
      <c r="CE259" s="32">
        <f>$E209*Common!CF$69</f>
        <v>0</v>
      </c>
      <c r="CF259" s="32">
        <f>$E209*Common!CG$69</f>
        <v>0</v>
      </c>
      <c r="CG259" s="32">
        <f>$E209*Common!CH$69</f>
        <v>0</v>
      </c>
      <c r="CH259" s="32">
        <f>$E209*Common!CI$69</f>
        <v>0</v>
      </c>
      <c r="CI259" s="32">
        <f>$E209*Common!CJ$69</f>
        <v>0</v>
      </c>
      <c r="CR259" s="32">
        <f t="shared" ref="CR259:CS259" si="36">C209</f>
        <v>0.7</v>
      </c>
      <c r="CS259" s="32">
        <f t="shared" si="36"/>
        <v>0</v>
      </c>
      <c r="CV259">
        <f t="shared" si="24"/>
        <v>0</v>
      </c>
      <c r="CW259">
        <f t="shared" si="25"/>
        <v>0</v>
      </c>
      <c r="CX259">
        <f t="shared" si="26"/>
        <v>0</v>
      </c>
      <c r="CY259">
        <f t="shared" si="27"/>
        <v>0</v>
      </c>
      <c r="CZ259">
        <f t="shared" si="28"/>
        <v>0</v>
      </c>
      <c r="DA259">
        <f t="shared" si="29"/>
        <v>0</v>
      </c>
      <c r="DB259">
        <f t="shared" si="30"/>
        <v>0</v>
      </c>
      <c r="DF259" s="32">
        <f t="shared" si="31"/>
        <v>3.5917727575846561</v>
      </c>
      <c r="DI259">
        <f>SUM('SS Material Flow'!C190:J190)/'SS Material Flow'!B99</f>
        <v>0</v>
      </c>
      <c r="DK259">
        <f>'SS Material Flow'!B190/'SS Material Flow'!B99</f>
        <v>1</v>
      </c>
    </row>
    <row r="260" spans="1:115" x14ac:dyDescent="0.35">
      <c r="A260" t="str">
        <f t="shared" si="21"/>
        <v>Textiles</v>
      </c>
      <c r="B260" s="32">
        <f>$E210*Common!C$69</f>
        <v>0</v>
      </c>
      <c r="C260" s="32">
        <f>$E210*Common!D$69</f>
        <v>0</v>
      </c>
      <c r="D260" s="32">
        <f>$E210*Common!E$69</f>
        <v>0</v>
      </c>
      <c r="E260" s="32">
        <f>$E210*Common!F$69</f>
        <v>0</v>
      </c>
      <c r="F260" s="32">
        <f>$E210*Common!G$69</f>
        <v>0</v>
      </c>
      <c r="G260" s="32">
        <f>$E210*Common!H$69</f>
        <v>0</v>
      </c>
      <c r="H260" s="32">
        <f>$E210*Common!I$69</f>
        <v>0</v>
      </c>
      <c r="I260" s="32">
        <f>$E210*Common!J$69</f>
        <v>0</v>
      </c>
      <c r="J260" s="32">
        <f>$E210*Common!K$69</f>
        <v>0</v>
      </c>
      <c r="K260" s="32">
        <f>$E210*Common!L$69</f>
        <v>0</v>
      </c>
      <c r="L260" s="32">
        <f>$E210*Common!M$69</f>
        <v>0</v>
      </c>
      <c r="M260" s="32">
        <f>$E210*Common!N$69</f>
        <v>0</v>
      </c>
      <c r="N260" s="32">
        <f>$E210*Common!O$69</f>
        <v>0</v>
      </c>
      <c r="O260" s="32">
        <f>$E210*Common!P$69</f>
        <v>0</v>
      </c>
      <c r="P260" s="32">
        <f>$E210*Common!Q$69</f>
        <v>0</v>
      </c>
      <c r="Q260" s="32">
        <f>$E210*Common!R$69</f>
        <v>0</v>
      </c>
      <c r="R260" s="32">
        <f>$E210*Common!S$69</f>
        <v>0</v>
      </c>
      <c r="S260" s="32">
        <f>$E210*Common!T$69</f>
        <v>0</v>
      </c>
      <c r="T260" s="32">
        <f>$E210*Common!U$69</f>
        <v>0</v>
      </c>
      <c r="U260" s="32">
        <f>$E210*Common!V$69</f>
        <v>0</v>
      </c>
      <c r="V260" s="32">
        <f>$E210*Common!W$69</f>
        <v>0</v>
      </c>
      <c r="W260" s="32">
        <f>$E210*Common!X$69</f>
        <v>0</v>
      </c>
      <c r="X260" s="32">
        <f>$E210*Common!Y$69</f>
        <v>0</v>
      </c>
      <c r="Y260" s="32">
        <f>$E210*Common!Z$69</f>
        <v>0</v>
      </c>
      <c r="Z260" s="32">
        <f>$E210*Common!AA$69</f>
        <v>0</v>
      </c>
      <c r="AA260" s="32">
        <f>$E210*Common!AB$69</f>
        <v>0</v>
      </c>
      <c r="AB260" s="32">
        <f>$E210*Common!AC$69</f>
        <v>0</v>
      </c>
      <c r="AC260" s="32">
        <f>$E210*Common!AD$69</f>
        <v>0</v>
      </c>
      <c r="AD260" s="32">
        <f>$E210*Common!AE$69</f>
        <v>0</v>
      </c>
      <c r="AE260" s="32">
        <f>$E210*Common!AF$69</f>
        <v>0</v>
      </c>
      <c r="AF260" s="32">
        <f>$E210*Common!AG$69</f>
        <v>0</v>
      </c>
      <c r="AG260" s="32">
        <f>$E210*Common!AH$69</f>
        <v>0</v>
      </c>
      <c r="AH260" s="32">
        <f>$E210*Common!AI$69</f>
        <v>0</v>
      </c>
      <c r="AI260" s="32">
        <f>$E210*Common!AJ$69</f>
        <v>0</v>
      </c>
      <c r="AJ260" s="32">
        <f>$E210*Common!AK$69</f>
        <v>0</v>
      </c>
      <c r="AK260" s="32">
        <f>$E210*Common!AL$69</f>
        <v>0</v>
      </c>
      <c r="AL260" s="32">
        <f>$E210*Common!AM$69</f>
        <v>0</v>
      </c>
      <c r="AM260" s="32">
        <f>$E210*Common!AN$69</f>
        <v>0</v>
      </c>
      <c r="AN260" s="32">
        <f>$E210*Common!AO$69</f>
        <v>0</v>
      </c>
      <c r="AO260" s="32">
        <f>$E210*Common!AP$69</f>
        <v>0</v>
      </c>
      <c r="AP260" s="32">
        <f>$E210*Common!AQ$69</f>
        <v>0</v>
      </c>
      <c r="AQ260" s="32">
        <f>$E210*Common!AR$69</f>
        <v>0</v>
      </c>
      <c r="AR260" s="32">
        <f>$E210*Common!AS$69</f>
        <v>0</v>
      </c>
      <c r="AS260" s="32">
        <f>$E210*Common!AT$69</f>
        <v>0</v>
      </c>
      <c r="AT260" s="32">
        <f>$E210*Common!AU$69</f>
        <v>0</v>
      </c>
      <c r="AU260" s="32">
        <f>$E210*Common!AV$69</f>
        <v>0</v>
      </c>
      <c r="AV260" s="32">
        <f>$E210*Common!AW$69</f>
        <v>0</v>
      </c>
      <c r="AW260" s="32">
        <f>$E210*Common!AX$69</f>
        <v>0</v>
      </c>
      <c r="AX260" s="32">
        <f>$E210*Common!AY$69</f>
        <v>0</v>
      </c>
      <c r="AY260" s="32">
        <f>$E210*Common!AZ$69</f>
        <v>0</v>
      </c>
      <c r="AZ260" s="32">
        <f>$E210*Common!BA$69</f>
        <v>0</v>
      </c>
      <c r="BA260" s="32">
        <f>$E210*Common!BB$69</f>
        <v>0</v>
      </c>
      <c r="BB260" s="32">
        <f>$E210*Common!BC$69</f>
        <v>0</v>
      </c>
      <c r="BC260" s="32">
        <f>$E210*Common!BD$69</f>
        <v>0</v>
      </c>
      <c r="BD260" s="32">
        <f>$E210*Common!BE$69</f>
        <v>0</v>
      </c>
      <c r="BE260" s="32">
        <f>$E210*Common!BF$69</f>
        <v>0</v>
      </c>
      <c r="BF260" s="32">
        <f>$E210*Common!BG$69</f>
        <v>0</v>
      </c>
      <c r="BG260" s="32">
        <f>$E210*Common!BH$69</f>
        <v>0</v>
      </c>
      <c r="BH260" s="32">
        <f>$E210*Common!BI$69</f>
        <v>0</v>
      </c>
      <c r="BI260" s="32">
        <f>$E210*Common!BJ$69</f>
        <v>0</v>
      </c>
      <c r="BJ260" s="32">
        <f>$E210*Common!BK$69</f>
        <v>0</v>
      </c>
      <c r="BK260" s="32">
        <f>$E210*Common!BL$69</f>
        <v>0</v>
      </c>
      <c r="BL260" s="32">
        <f>$E210*Common!BM$69</f>
        <v>0</v>
      </c>
      <c r="BM260" s="32">
        <f>$E210*Common!BN$69</f>
        <v>0</v>
      </c>
      <c r="BN260" s="32">
        <f>$E210*Common!BO$69</f>
        <v>0</v>
      </c>
      <c r="BO260" s="32">
        <f>$E210*Common!BP$69</f>
        <v>0</v>
      </c>
      <c r="BP260" s="32">
        <f>$E210*Common!BQ$69</f>
        <v>0</v>
      </c>
      <c r="BQ260" s="32">
        <f>$E210*Common!BR$69</f>
        <v>0</v>
      </c>
      <c r="BR260" s="32">
        <f>$E210*Common!BS$69</f>
        <v>0</v>
      </c>
      <c r="BS260" s="32">
        <f>$E210*Common!BT$69</f>
        <v>0</v>
      </c>
      <c r="BT260" s="32">
        <f>$E210*Common!BU$69</f>
        <v>0</v>
      </c>
      <c r="BU260" s="32">
        <f>$E210*Common!BV$69</f>
        <v>0</v>
      </c>
      <c r="BV260" s="32">
        <f>$E210*Common!BW$69</f>
        <v>0</v>
      </c>
      <c r="BW260" s="32">
        <f>$E210*Common!BX$69</f>
        <v>0</v>
      </c>
      <c r="BX260" s="32">
        <f>$E210*Common!BY$69</f>
        <v>0</v>
      </c>
      <c r="BY260" s="32">
        <f>$E210*Common!BZ$69</f>
        <v>0</v>
      </c>
      <c r="BZ260" s="32">
        <f>$E210*Common!CA$69</f>
        <v>0</v>
      </c>
      <c r="CA260" s="32">
        <f>$E210*Common!CB$69</f>
        <v>0</v>
      </c>
      <c r="CB260" s="32">
        <f>$E210*Common!CC$69</f>
        <v>0</v>
      </c>
      <c r="CC260" s="32">
        <f>$E210*Common!CD$69</f>
        <v>0</v>
      </c>
      <c r="CD260" s="32">
        <f>$E210*Common!CE$69</f>
        <v>0</v>
      </c>
      <c r="CE260" s="32">
        <f>$E210*Common!CF$69</f>
        <v>0</v>
      </c>
      <c r="CF260" s="32">
        <f>$E210*Common!CG$69</f>
        <v>0</v>
      </c>
      <c r="CG260" s="32">
        <f>$E210*Common!CH$69</f>
        <v>0</v>
      </c>
      <c r="CH260" s="32">
        <f>$E210*Common!CI$69</f>
        <v>0</v>
      </c>
      <c r="CI260" s="32">
        <f>$E210*Common!CJ$69</f>
        <v>0</v>
      </c>
      <c r="CR260" s="32">
        <f t="shared" ref="CR260:CS260" si="37">C210</f>
        <v>0.7</v>
      </c>
      <c r="CS260" s="32">
        <f t="shared" si="37"/>
        <v>0</v>
      </c>
      <c r="CV260">
        <f t="shared" si="24"/>
        <v>0</v>
      </c>
      <c r="CW260">
        <f t="shared" si="25"/>
        <v>0</v>
      </c>
      <c r="CX260">
        <f t="shared" si="26"/>
        <v>0</v>
      </c>
      <c r="CY260">
        <f t="shared" si="27"/>
        <v>0</v>
      </c>
      <c r="CZ260">
        <f t="shared" si="28"/>
        <v>0</v>
      </c>
      <c r="DA260">
        <f t="shared" si="29"/>
        <v>0</v>
      </c>
      <c r="DB260">
        <f t="shared" si="30"/>
        <v>0</v>
      </c>
      <c r="DF260" s="32">
        <f t="shared" si="31"/>
        <v>3.5917727575846561</v>
      </c>
      <c r="DI260">
        <f>SUM('SS Material Flow'!C191:J191)/'SS Material Flow'!B100</f>
        <v>0</v>
      </c>
      <c r="DK260">
        <f>'SS Material Flow'!B191/'SS Material Flow'!B100</f>
        <v>1</v>
      </c>
    </row>
    <row r="261" spans="1:115" x14ac:dyDescent="0.35">
      <c r="A261" t="str">
        <f t="shared" si="21"/>
        <v>Rubber/Leather</v>
      </c>
      <c r="B261" s="32">
        <f>$E211*Common!C$69</f>
        <v>0</v>
      </c>
      <c r="C261" s="32">
        <f>$E211*Common!D$69</f>
        <v>0</v>
      </c>
      <c r="D261" s="32">
        <f>$E211*Common!E$69</f>
        <v>0</v>
      </c>
      <c r="E261" s="32">
        <f>$E211*Common!F$69</f>
        <v>0</v>
      </c>
      <c r="F261" s="32">
        <f>$E211*Common!G$69</f>
        <v>0</v>
      </c>
      <c r="G261" s="32">
        <f>$E211*Common!H$69</f>
        <v>0</v>
      </c>
      <c r="H261" s="32">
        <f>$E211*Common!I$69</f>
        <v>0</v>
      </c>
      <c r="I261" s="32">
        <f>$E211*Common!J$69</f>
        <v>0</v>
      </c>
      <c r="J261" s="32">
        <f>$E211*Common!K$69</f>
        <v>0</v>
      </c>
      <c r="K261" s="32">
        <f>$E211*Common!L$69</f>
        <v>0</v>
      </c>
      <c r="L261" s="32">
        <f>$E211*Common!M$69</f>
        <v>0</v>
      </c>
      <c r="M261" s="32">
        <f>$E211*Common!N$69</f>
        <v>0</v>
      </c>
      <c r="N261" s="32">
        <f>$E211*Common!O$69</f>
        <v>0</v>
      </c>
      <c r="O261" s="32">
        <f>$E211*Common!P$69</f>
        <v>0</v>
      </c>
      <c r="P261" s="32">
        <f>$E211*Common!Q$69</f>
        <v>0</v>
      </c>
      <c r="Q261" s="32">
        <f>$E211*Common!R$69</f>
        <v>0</v>
      </c>
      <c r="R261" s="32">
        <f>$E211*Common!S$69</f>
        <v>0</v>
      </c>
      <c r="S261" s="32">
        <f>$E211*Common!T$69</f>
        <v>0</v>
      </c>
      <c r="T261" s="32">
        <f>$E211*Common!U$69</f>
        <v>0</v>
      </c>
      <c r="U261" s="32">
        <f>$E211*Common!V$69</f>
        <v>0</v>
      </c>
      <c r="V261" s="32">
        <f>$E211*Common!W$69</f>
        <v>0</v>
      </c>
      <c r="W261" s="32">
        <f>$E211*Common!X$69</f>
        <v>0</v>
      </c>
      <c r="X261" s="32">
        <f>$E211*Common!Y$69</f>
        <v>0</v>
      </c>
      <c r="Y261" s="32">
        <f>$E211*Common!Z$69</f>
        <v>0</v>
      </c>
      <c r="Z261" s="32">
        <f>$E211*Common!AA$69</f>
        <v>0</v>
      </c>
      <c r="AA261" s="32">
        <f>$E211*Common!AB$69</f>
        <v>0</v>
      </c>
      <c r="AB261" s="32">
        <f>$E211*Common!AC$69</f>
        <v>0</v>
      </c>
      <c r="AC261" s="32">
        <f>$E211*Common!AD$69</f>
        <v>0</v>
      </c>
      <c r="AD261" s="32">
        <f>$E211*Common!AE$69</f>
        <v>0</v>
      </c>
      <c r="AE261" s="32">
        <f>$E211*Common!AF$69</f>
        <v>0</v>
      </c>
      <c r="AF261" s="32">
        <f>$E211*Common!AG$69</f>
        <v>0</v>
      </c>
      <c r="AG261" s="32">
        <f>$E211*Common!AH$69</f>
        <v>0</v>
      </c>
      <c r="AH261" s="32">
        <f>$E211*Common!AI$69</f>
        <v>0</v>
      </c>
      <c r="AI261" s="32">
        <f>$E211*Common!AJ$69</f>
        <v>0</v>
      </c>
      <c r="AJ261" s="32">
        <f>$E211*Common!AK$69</f>
        <v>0</v>
      </c>
      <c r="AK261" s="32">
        <f>$E211*Common!AL$69</f>
        <v>0</v>
      </c>
      <c r="AL261" s="32">
        <f>$E211*Common!AM$69</f>
        <v>0</v>
      </c>
      <c r="AM261" s="32">
        <f>$E211*Common!AN$69</f>
        <v>0</v>
      </c>
      <c r="AN261" s="32">
        <f>$E211*Common!AO$69</f>
        <v>0</v>
      </c>
      <c r="AO261" s="32">
        <f>$E211*Common!AP$69</f>
        <v>0</v>
      </c>
      <c r="AP261" s="32">
        <f>$E211*Common!AQ$69</f>
        <v>0</v>
      </c>
      <c r="AQ261" s="32">
        <f>$E211*Common!AR$69</f>
        <v>0</v>
      </c>
      <c r="AR261" s="32">
        <f>$E211*Common!AS$69</f>
        <v>0</v>
      </c>
      <c r="AS261" s="32">
        <f>$E211*Common!AT$69</f>
        <v>0</v>
      </c>
      <c r="AT261" s="32">
        <f>$E211*Common!AU$69</f>
        <v>0</v>
      </c>
      <c r="AU261" s="32">
        <f>$E211*Common!AV$69</f>
        <v>0</v>
      </c>
      <c r="AV261" s="32">
        <f>$E211*Common!AW$69</f>
        <v>0</v>
      </c>
      <c r="AW261" s="32">
        <f>$E211*Common!AX$69</f>
        <v>0</v>
      </c>
      <c r="AX261" s="32">
        <f>$E211*Common!AY$69</f>
        <v>0</v>
      </c>
      <c r="AY261" s="32">
        <f>$E211*Common!AZ$69</f>
        <v>0</v>
      </c>
      <c r="AZ261" s="32">
        <f>$E211*Common!BA$69</f>
        <v>0</v>
      </c>
      <c r="BA261" s="32">
        <f>$E211*Common!BB$69</f>
        <v>0</v>
      </c>
      <c r="BB261" s="32">
        <f>$E211*Common!BC$69</f>
        <v>0</v>
      </c>
      <c r="BC261" s="32">
        <f>$E211*Common!BD$69</f>
        <v>0</v>
      </c>
      <c r="BD261" s="32">
        <f>$E211*Common!BE$69</f>
        <v>0</v>
      </c>
      <c r="BE261" s="32">
        <f>$E211*Common!BF$69</f>
        <v>0</v>
      </c>
      <c r="BF261" s="32">
        <f>$E211*Common!BG$69</f>
        <v>0</v>
      </c>
      <c r="BG261" s="32">
        <f>$E211*Common!BH$69</f>
        <v>0</v>
      </c>
      <c r="BH261" s="32">
        <f>$E211*Common!BI$69</f>
        <v>0</v>
      </c>
      <c r="BI261" s="32">
        <f>$E211*Common!BJ$69</f>
        <v>0</v>
      </c>
      <c r="BJ261" s="32">
        <f>$E211*Common!BK$69</f>
        <v>0</v>
      </c>
      <c r="BK261" s="32">
        <f>$E211*Common!BL$69</f>
        <v>0</v>
      </c>
      <c r="BL261" s="32">
        <f>$E211*Common!BM$69</f>
        <v>0</v>
      </c>
      <c r="BM261" s="32">
        <f>$E211*Common!BN$69</f>
        <v>0</v>
      </c>
      <c r="BN261" s="32">
        <f>$E211*Common!BO$69</f>
        <v>0</v>
      </c>
      <c r="BO261" s="32">
        <f>$E211*Common!BP$69</f>
        <v>0</v>
      </c>
      <c r="BP261" s="32">
        <f>$E211*Common!BQ$69</f>
        <v>0</v>
      </c>
      <c r="BQ261" s="32">
        <f>$E211*Common!BR$69</f>
        <v>0</v>
      </c>
      <c r="BR261" s="32">
        <f>$E211*Common!BS$69</f>
        <v>0</v>
      </c>
      <c r="BS261" s="32">
        <f>$E211*Common!BT$69</f>
        <v>0</v>
      </c>
      <c r="BT261" s="32">
        <f>$E211*Common!BU$69</f>
        <v>0</v>
      </c>
      <c r="BU261" s="32">
        <f>$E211*Common!BV$69</f>
        <v>0</v>
      </c>
      <c r="BV261" s="32">
        <f>$E211*Common!BW$69</f>
        <v>0</v>
      </c>
      <c r="BW261" s="32">
        <f>$E211*Common!BX$69</f>
        <v>0</v>
      </c>
      <c r="BX261" s="32">
        <f>$E211*Common!BY$69</f>
        <v>0</v>
      </c>
      <c r="BY261" s="32">
        <f>$E211*Common!BZ$69</f>
        <v>0</v>
      </c>
      <c r="BZ261" s="32">
        <f>$E211*Common!CA$69</f>
        <v>0</v>
      </c>
      <c r="CA261" s="32">
        <f>$E211*Common!CB$69</f>
        <v>0</v>
      </c>
      <c r="CB261" s="32">
        <f>$E211*Common!CC$69</f>
        <v>0</v>
      </c>
      <c r="CC261" s="32">
        <f>$E211*Common!CD$69</f>
        <v>0</v>
      </c>
      <c r="CD261" s="32">
        <f>$E211*Common!CE$69</f>
        <v>0</v>
      </c>
      <c r="CE261" s="32">
        <f>$E211*Common!CF$69</f>
        <v>0</v>
      </c>
      <c r="CF261" s="32">
        <f>$E211*Common!CG$69</f>
        <v>0</v>
      </c>
      <c r="CG261" s="32">
        <f>$E211*Common!CH$69</f>
        <v>0</v>
      </c>
      <c r="CH261" s="32">
        <f>$E211*Common!CI$69</f>
        <v>0</v>
      </c>
      <c r="CI261" s="32">
        <f>$E211*Common!CJ$69</f>
        <v>0</v>
      </c>
      <c r="CR261" s="32">
        <f t="shared" ref="CR261:CS261" si="38">C211</f>
        <v>0.7</v>
      </c>
      <c r="CS261" s="32">
        <f t="shared" si="38"/>
        <v>0</v>
      </c>
      <c r="CV261">
        <f t="shared" si="24"/>
        <v>0</v>
      </c>
      <c r="CW261">
        <f t="shared" si="25"/>
        <v>0</v>
      </c>
      <c r="CX261">
        <f t="shared" si="26"/>
        <v>0</v>
      </c>
      <c r="CY261">
        <f t="shared" si="27"/>
        <v>0</v>
      </c>
      <c r="CZ261">
        <f t="shared" si="28"/>
        <v>0</v>
      </c>
      <c r="DA261">
        <f t="shared" si="29"/>
        <v>0</v>
      </c>
      <c r="DB261">
        <f t="shared" si="30"/>
        <v>0</v>
      </c>
      <c r="DF261" s="32">
        <f t="shared" si="31"/>
        <v>3.5917727575846561</v>
      </c>
      <c r="DI261">
        <f>SUM('SS Material Flow'!C192:J192)/'SS Material Flow'!B101</f>
        <v>0</v>
      </c>
      <c r="DK261">
        <f>'SS Material Flow'!B192/'SS Material Flow'!B101</f>
        <v>1</v>
      </c>
    </row>
    <row r="262" spans="1:115" x14ac:dyDescent="0.35">
      <c r="A262" t="str">
        <f t="shared" si="21"/>
        <v>Newsprint</v>
      </c>
      <c r="B262" s="32">
        <f>$E212*Common!C$69</f>
        <v>0.25691394378724941</v>
      </c>
      <c r="C262" s="32">
        <f>$E212*Common!D$69</f>
        <v>0</v>
      </c>
      <c r="D262" s="32">
        <f>$E212*Common!E$69</f>
        <v>0</v>
      </c>
      <c r="E262" s="32">
        <f>$E212*Common!F$69</f>
        <v>0</v>
      </c>
      <c r="F262" s="32">
        <f>$E212*Common!G$69</f>
        <v>0</v>
      </c>
      <c r="G262" s="32">
        <f>$E212*Common!H$69</f>
        <v>0</v>
      </c>
      <c r="H262" s="32">
        <f>$E212*Common!I$69</f>
        <v>0</v>
      </c>
      <c r="I262" s="32">
        <f>$E212*Common!J$69</f>
        <v>0</v>
      </c>
      <c r="J262" s="32">
        <f>$E212*Common!K$69</f>
        <v>0</v>
      </c>
      <c r="K262" s="32">
        <f>$E212*Common!L$69</f>
        <v>0</v>
      </c>
      <c r="L262" s="32">
        <f>$E212*Common!M$69</f>
        <v>0</v>
      </c>
      <c r="M262" s="32">
        <f>$E212*Common!N$69</f>
        <v>0</v>
      </c>
      <c r="N262" s="32">
        <f>$E212*Common!O$69</f>
        <v>0</v>
      </c>
      <c r="O262" s="32">
        <f>$E212*Common!P$69</f>
        <v>0</v>
      </c>
      <c r="P262" s="32">
        <f>$E212*Common!Q$69</f>
        <v>0</v>
      </c>
      <c r="Q262" s="32">
        <f>$E212*Common!R$69</f>
        <v>0</v>
      </c>
      <c r="R262" s="32">
        <f>$E212*Common!S$69</f>
        <v>0</v>
      </c>
      <c r="S262" s="32">
        <f>$E212*Common!T$69</f>
        <v>0</v>
      </c>
      <c r="T262" s="32">
        <f>$E212*Common!U$69</f>
        <v>0</v>
      </c>
      <c r="U262" s="32">
        <f>$E212*Common!V$69</f>
        <v>0</v>
      </c>
      <c r="V262" s="32">
        <f>$E212*Common!W$69</f>
        <v>0</v>
      </c>
      <c r="W262" s="32">
        <f>$E212*Common!X$69</f>
        <v>0</v>
      </c>
      <c r="X262" s="32">
        <f>$E212*Common!Y$69</f>
        <v>0</v>
      </c>
      <c r="Y262" s="32">
        <f>$E212*Common!Z$69</f>
        <v>0</v>
      </c>
      <c r="Z262" s="32">
        <f>$E212*Common!AA$69</f>
        <v>0</v>
      </c>
      <c r="AA262" s="32">
        <f>$E212*Common!AB$69</f>
        <v>0</v>
      </c>
      <c r="AB262" s="32">
        <f>$E212*Common!AC$69</f>
        <v>0</v>
      </c>
      <c r="AC262" s="32">
        <f>$E212*Common!AD$69</f>
        <v>0</v>
      </c>
      <c r="AD262" s="32">
        <f>$E212*Common!AE$69</f>
        <v>0</v>
      </c>
      <c r="AE262" s="32">
        <f>$E212*Common!AF$69</f>
        <v>0</v>
      </c>
      <c r="AF262" s="32">
        <f>$E212*Common!AG$69</f>
        <v>0</v>
      </c>
      <c r="AG262" s="32">
        <f>$E212*Common!AH$69</f>
        <v>0</v>
      </c>
      <c r="AH262" s="32">
        <f>$E212*Common!AI$69</f>
        <v>0</v>
      </c>
      <c r="AI262" s="32">
        <f>$E212*Common!AJ$69</f>
        <v>0</v>
      </c>
      <c r="AJ262" s="32">
        <f>$E212*Common!AK$69</f>
        <v>0</v>
      </c>
      <c r="AK262" s="32">
        <f>$E212*Common!AL$69</f>
        <v>0</v>
      </c>
      <c r="AL262" s="32">
        <f>$E212*Common!AM$69</f>
        <v>0</v>
      </c>
      <c r="AM262" s="32">
        <f>$E212*Common!AN$69</f>
        <v>0</v>
      </c>
      <c r="AN262" s="32">
        <f>$E212*Common!AO$69</f>
        <v>0</v>
      </c>
      <c r="AO262" s="32">
        <f>$E212*Common!AP$69</f>
        <v>0</v>
      </c>
      <c r="AP262" s="32">
        <f>$E212*Common!AQ$69</f>
        <v>0</v>
      </c>
      <c r="AQ262" s="32">
        <f>$E212*Common!AR$69</f>
        <v>0</v>
      </c>
      <c r="AR262" s="32">
        <f>$E212*Common!AS$69</f>
        <v>0</v>
      </c>
      <c r="AS262" s="32">
        <f>$E212*Common!AT$69</f>
        <v>0</v>
      </c>
      <c r="AT262" s="32">
        <f>$E212*Common!AU$69</f>
        <v>0</v>
      </c>
      <c r="AU262" s="32">
        <f>$E212*Common!AV$69</f>
        <v>0</v>
      </c>
      <c r="AV262" s="32">
        <f>$E212*Common!AW$69</f>
        <v>0</v>
      </c>
      <c r="AW262" s="32">
        <f>$E212*Common!AX$69</f>
        <v>0</v>
      </c>
      <c r="AX262" s="32">
        <f>$E212*Common!AY$69</f>
        <v>0</v>
      </c>
      <c r="AY262" s="32">
        <f>$E212*Common!AZ$69</f>
        <v>0</v>
      </c>
      <c r="AZ262" s="32">
        <f>$E212*Common!BA$69</f>
        <v>0</v>
      </c>
      <c r="BA262" s="32">
        <f>$E212*Common!BB$69</f>
        <v>0</v>
      </c>
      <c r="BB262" s="32">
        <f>$E212*Common!BC$69</f>
        <v>0</v>
      </c>
      <c r="BC262" s="32">
        <f>$E212*Common!BD$69</f>
        <v>0</v>
      </c>
      <c r="BD262" s="32">
        <f>$E212*Common!BE$69</f>
        <v>0</v>
      </c>
      <c r="BE262" s="32">
        <f>$E212*Common!BF$69</f>
        <v>0</v>
      </c>
      <c r="BF262" s="32">
        <f>$E212*Common!BG$69</f>
        <v>0</v>
      </c>
      <c r="BG262" s="32">
        <f>$E212*Common!BH$69</f>
        <v>0</v>
      </c>
      <c r="BH262" s="32">
        <f>$E212*Common!BI$69</f>
        <v>0</v>
      </c>
      <c r="BI262" s="32">
        <f>$E212*Common!BJ$69</f>
        <v>0</v>
      </c>
      <c r="BJ262" s="32">
        <f>$E212*Common!BK$69</f>
        <v>0</v>
      </c>
      <c r="BK262" s="32">
        <f>$E212*Common!BL$69</f>
        <v>0</v>
      </c>
      <c r="BL262" s="32">
        <f>$E212*Common!BM$69</f>
        <v>0</v>
      </c>
      <c r="BM262" s="32">
        <f>$E212*Common!BN$69</f>
        <v>0</v>
      </c>
      <c r="BN262" s="32">
        <f>$E212*Common!BO$69</f>
        <v>0</v>
      </c>
      <c r="BO262" s="32">
        <f>$E212*Common!BP$69</f>
        <v>0</v>
      </c>
      <c r="BP262" s="32">
        <f>$E212*Common!BQ$69</f>
        <v>0</v>
      </c>
      <c r="BQ262" s="32">
        <f>$E212*Common!BR$69</f>
        <v>0</v>
      </c>
      <c r="BR262" s="32">
        <f>$E212*Common!BS$69</f>
        <v>0</v>
      </c>
      <c r="BS262" s="32">
        <f>$E212*Common!BT$69</f>
        <v>0</v>
      </c>
      <c r="BT262" s="32">
        <f>$E212*Common!BU$69</f>
        <v>0</v>
      </c>
      <c r="BU262" s="32">
        <f>$E212*Common!BV$69</f>
        <v>0</v>
      </c>
      <c r="BV262" s="32">
        <f>$E212*Common!BW$69</f>
        <v>0</v>
      </c>
      <c r="BW262" s="32">
        <f>$E212*Common!BX$69</f>
        <v>0</v>
      </c>
      <c r="BX262" s="32">
        <f>$E212*Common!BY$69</f>
        <v>0</v>
      </c>
      <c r="BY262" s="32">
        <f>$E212*Common!BZ$69</f>
        <v>0</v>
      </c>
      <c r="BZ262" s="32">
        <f>$E212*Common!CA$69</f>
        <v>0</v>
      </c>
      <c r="CA262" s="32">
        <f>$E212*Common!CB$69</f>
        <v>0</v>
      </c>
      <c r="CB262" s="32">
        <f>$E212*Common!CC$69</f>
        <v>0</v>
      </c>
      <c r="CC262" s="32">
        <f>$E212*Common!CD$69</f>
        <v>0</v>
      </c>
      <c r="CD262" s="32">
        <f>$E212*Common!CE$69</f>
        <v>0</v>
      </c>
      <c r="CE262" s="32">
        <f>$E212*Common!CF$69</f>
        <v>0</v>
      </c>
      <c r="CF262" s="32">
        <f>$E212*Common!CG$69</f>
        <v>0</v>
      </c>
      <c r="CG262" s="32">
        <f>$E212*Common!CH$69</f>
        <v>0</v>
      </c>
      <c r="CH262" s="32">
        <f>$E212*Common!CI$69</f>
        <v>0</v>
      </c>
      <c r="CI262" s="32">
        <f>$E212*Common!CJ$69</f>
        <v>0</v>
      </c>
      <c r="CR262" s="32">
        <f t="shared" ref="CR262:CS262" si="39">C212</f>
        <v>0.7</v>
      </c>
      <c r="CS262" s="32">
        <f t="shared" si="39"/>
        <v>0</v>
      </c>
      <c r="CV262">
        <f t="shared" si="24"/>
        <v>0</v>
      </c>
      <c r="CW262">
        <f t="shared" si="25"/>
        <v>0</v>
      </c>
      <c r="CX262">
        <f t="shared" si="26"/>
        <v>0</v>
      </c>
      <c r="CY262">
        <f t="shared" si="27"/>
        <v>0</v>
      </c>
      <c r="CZ262">
        <f t="shared" si="28"/>
        <v>0</v>
      </c>
      <c r="DA262">
        <f t="shared" si="29"/>
        <v>0</v>
      </c>
      <c r="DB262">
        <f t="shared" si="30"/>
        <v>0</v>
      </c>
      <c r="DF262" s="32">
        <f t="shared" si="31"/>
        <v>2.8526767124165886</v>
      </c>
      <c r="DI262">
        <f>SUM('SS Material Flow'!C193:J193)/'SS Material Flow'!B102</f>
        <v>0.98650000000000004</v>
      </c>
      <c r="DK262">
        <f>'SS Material Flow'!B193/'SS Material Flow'!B102</f>
        <v>1.3500000000000002E-2</v>
      </c>
    </row>
    <row r="263" spans="1:115" x14ac:dyDescent="0.35">
      <c r="A263" t="str">
        <f t="shared" si="21"/>
        <v>Corr. Cardboard</v>
      </c>
      <c r="B263" s="32">
        <f>$E213*Common!C$69</f>
        <v>0.27159725072014895</v>
      </c>
      <c r="C263" s="32">
        <f>$E213*Common!D$69</f>
        <v>0</v>
      </c>
      <c r="D263" s="32">
        <f>$E213*Common!E$69</f>
        <v>0</v>
      </c>
      <c r="E263" s="32">
        <f>$E213*Common!F$69</f>
        <v>0</v>
      </c>
      <c r="F263" s="32">
        <f>$E213*Common!G$69</f>
        <v>0</v>
      </c>
      <c r="G263" s="32">
        <f>$E213*Common!H$69</f>
        <v>0</v>
      </c>
      <c r="H263" s="32">
        <f>$E213*Common!I$69</f>
        <v>0</v>
      </c>
      <c r="I263" s="32">
        <f>$E213*Common!J$69</f>
        <v>0</v>
      </c>
      <c r="J263" s="32">
        <f>$E213*Common!K$69</f>
        <v>0</v>
      </c>
      <c r="K263" s="32">
        <f>$E213*Common!L$69</f>
        <v>0</v>
      </c>
      <c r="L263" s="32">
        <f>$E213*Common!M$69</f>
        <v>0</v>
      </c>
      <c r="M263" s="32">
        <f>$E213*Common!N$69</f>
        <v>0</v>
      </c>
      <c r="N263" s="32">
        <f>$E213*Common!O$69</f>
        <v>0</v>
      </c>
      <c r="O263" s="32">
        <f>$E213*Common!P$69</f>
        <v>0</v>
      </c>
      <c r="P263" s="32">
        <f>$E213*Common!Q$69</f>
        <v>0</v>
      </c>
      <c r="Q263" s="32">
        <f>$E213*Common!R$69</f>
        <v>0</v>
      </c>
      <c r="R263" s="32">
        <f>$E213*Common!S$69</f>
        <v>0</v>
      </c>
      <c r="S263" s="32">
        <f>$E213*Common!T$69</f>
        <v>0</v>
      </c>
      <c r="T263" s="32">
        <f>$E213*Common!U$69</f>
        <v>0</v>
      </c>
      <c r="U263" s="32">
        <f>$E213*Common!V$69</f>
        <v>0</v>
      </c>
      <c r="V263" s="32">
        <f>$E213*Common!W$69</f>
        <v>0</v>
      </c>
      <c r="W263" s="32">
        <f>$E213*Common!X$69</f>
        <v>0</v>
      </c>
      <c r="X263" s="32">
        <f>$E213*Common!Y$69</f>
        <v>0</v>
      </c>
      <c r="Y263" s="32">
        <f>$E213*Common!Z$69</f>
        <v>0</v>
      </c>
      <c r="Z263" s="32">
        <f>$E213*Common!AA$69</f>
        <v>0</v>
      </c>
      <c r="AA263" s="32">
        <f>$E213*Common!AB$69</f>
        <v>0</v>
      </c>
      <c r="AB263" s="32">
        <f>$E213*Common!AC$69</f>
        <v>0</v>
      </c>
      <c r="AC263" s="32">
        <f>$E213*Common!AD$69</f>
        <v>0</v>
      </c>
      <c r="AD263" s="32">
        <f>$E213*Common!AE$69</f>
        <v>0</v>
      </c>
      <c r="AE263" s="32">
        <f>$E213*Common!AF$69</f>
        <v>0</v>
      </c>
      <c r="AF263" s="32">
        <f>$E213*Common!AG$69</f>
        <v>0</v>
      </c>
      <c r="AG263" s="32">
        <f>$E213*Common!AH$69</f>
        <v>0</v>
      </c>
      <c r="AH263" s="32">
        <f>$E213*Common!AI$69</f>
        <v>0</v>
      </c>
      <c r="AI263" s="32">
        <f>$E213*Common!AJ$69</f>
        <v>0</v>
      </c>
      <c r="AJ263" s="32">
        <f>$E213*Common!AK$69</f>
        <v>0</v>
      </c>
      <c r="AK263" s="32">
        <f>$E213*Common!AL$69</f>
        <v>0</v>
      </c>
      <c r="AL263" s="32">
        <f>$E213*Common!AM$69</f>
        <v>0</v>
      </c>
      <c r="AM263" s="32">
        <f>$E213*Common!AN$69</f>
        <v>0</v>
      </c>
      <c r="AN263" s="32">
        <f>$E213*Common!AO$69</f>
        <v>0</v>
      </c>
      <c r="AO263" s="32">
        <f>$E213*Common!AP$69</f>
        <v>0</v>
      </c>
      <c r="AP263" s="32">
        <f>$E213*Common!AQ$69</f>
        <v>0</v>
      </c>
      <c r="AQ263" s="32">
        <f>$E213*Common!AR$69</f>
        <v>0</v>
      </c>
      <c r="AR263" s="32">
        <f>$E213*Common!AS$69</f>
        <v>0</v>
      </c>
      <c r="AS263" s="32">
        <f>$E213*Common!AT$69</f>
        <v>0</v>
      </c>
      <c r="AT263" s="32">
        <f>$E213*Common!AU$69</f>
        <v>0</v>
      </c>
      <c r="AU263" s="32">
        <f>$E213*Common!AV$69</f>
        <v>0</v>
      </c>
      <c r="AV263" s="32">
        <f>$E213*Common!AW$69</f>
        <v>0</v>
      </c>
      <c r="AW263" s="32">
        <f>$E213*Common!AX$69</f>
        <v>0</v>
      </c>
      <c r="AX263" s="32">
        <f>$E213*Common!AY$69</f>
        <v>0</v>
      </c>
      <c r="AY263" s="32">
        <f>$E213*Common!AZ$69</f>
        <v>0</v>
      </c>
      <c r="AZ263" s="32">
        <f>$E213*Common!BA$69</f>
        <v>0</v>
      </c>
      <c r="BA263" s="32">
        <f>$E213*Common!BB$69</f>
        <v>0</v>
      </c>
      <c r="BB263" s="32">
        <f>$E213*Common!BC$69</f>
        <v>0</v>
      </c>
      <c r="BC263" s="32">
        <f>$E213*Common!BD$69</f>
        <v>0</v>
      </c>
      <c r="BD263" s="32">
        <f>$E213*Common!BE$69</f>
        <v>0</v>
      </c>
      <c r="BE263" s="32">
        <f>$E213*Common!BF$69</f>
        <v>0</v>
      </c>
      <c r="BF263" s="32">
        <f>$E213*Common!BG$69</f>
        <v>0</v>
      </c>
      <c r="BG263" s="32">
        <f>$E213*Common!BH$69</f>
        <v>0</v>
      </c>
      <c r="BH263" s="32">
        <f>$E213*Common!BI$69</f>
        <v>0</v>
      </c>
      <c r="BI263" s="32">
        <f>$E213*Common!BJ$69</f>
        <v>0</v>
      </c>
      <c r="BJ263" s="32">
        <f>$E213*Common!BK$69</f>
        <v>0</v>
      </c>
      <c r="BK263" s="32">
        <f>$E213*Common!BL$69</f>
        <v>0</v>
      </c>
      <c r="BL263" s="32">
        <f>$E213*Common!BM$69</f>
        <v>0</v>
      </c>
      <c r="BM263" s="32">
        <f>$E213*Common!BN$69</f>
        <v>0</v>
      </c>
      <c r="BN263" s="32">
        <f>$E213*Common!BO$69</f>
        <v>0</v>
      </c>
      <c r="BO263" s="32">
        <f>$E213*Common!BP$69</f>
        <v>0</v>
      </c>
      <c r="BP263" s="32">
        <f>$E213*Common!BQ$69</f>
        <v>0</v>
      </c>
      <c r="BQ263" s="32">
        <f>$E213*Common!BR$69</f>
        <v>0</v>
      </c>
      <c r="BR263" s="32">
        <f>$E213*Common!BS$69</f>
        <v>0</v>
      </c>
      <c r="BS263" s="32">
        <f>$E213*Common!BT$69</f>
        <v>0</v>
      </c>
      <c r="BT263" s="32">
        <f>$E213*Common!BU$69</f>
        <v>0</v>
      </c>
      <c r="BU263" s="32">
        <f>$E213*Common!BV$69</f>
        <v>0</v>
      </c>
      <c r="BV263" s="32">
        <f>$E213*Common!BW$69</f>
        <v>0</v>
      </c>
      <c r="BW263" s="32">
        <f>$E213*Common!BX$69</f>
        <v>0</v>
      </c>
      <c r="BX263" s="32">
        <f>$E213*Common!BY$69</f>
        <v>0</v>
      </c>
      <c r="BY263" s="32">
        <f>$E213*Common!BZ$69</f>
        <v>0</v>
      </c>
      <c r="BZ263" s="32">
        <f>$E213*Common!CA$69</f>
        <v>0</v>
      </c>
      <c r="CA263" s="32">
        <f>$E213*Common!CB$69</f>
        <v>0</v>
      </c>
      <c r="CB263" s="32">
        <f>$E213*Common!CC$69</f>
        <v>0</v>
      </c>
      <c r="CC263" s="32">
        <f>$E213*Common!CD$69</f>
        <v>0</v>
      </c>
      <c r="CD263" s="32">
        <f>$E213*Common!CE$69</f>
        <v>0</v>
      </c>
      <c r="CE263" s="32">
        <f>$E213*Common!CF$69</f>
        <v>0</v>
      </c>
      <c r="CF263" s="32">
        <f>$E213*Common!CG$69</f>
        <v>0</v>
      </c>
      <c r="CG263" s="32">
        <f>$E213*Common!CH$69</f>
        <v>0</v>
      </c>
      <c r="CH263" s="32">
        <f>$E213*Common!CI$69</f>
        <v>0</v>
      </c>
      <c r="CI263" s="32">
        <f>$E213*Common!CJ$69</f>
        <v>0</v>
      </c>
      <c r="CR263" s="32">
        <f t="shared" ref="CR263:CS263" si="40">C213</f>
        <v>0.7</v>
      </c>
      <c r="CS263" s="32">
        <f t="shared" si="40"/>
        <v>0</v>
      </c>
      <c r="CV263">
        <f t="shared" si="24"/>
        <v>0</v>
      </c>
      <c r="CW263">
        <f t="shared" si="25"/>
        <v>0</v>
      </c>
      <c r="CX263">
        <f t="shared" si="26"/>
        <v>0</v>
      </c>
      <c r="CY263">
        <f t="shared" si="27"/>
        <v>0</v>
      </c>
      <c r="CZ263">
        <f t="shared" si="28"/>
        <v>0</v>
      </c>
      <c r="DA263">
        <f t="shared" si="29"/>
        <v>0</v>
      </c>
      <c r="DB263">
        <f t="shared" si="30"/>
        <v>0</v>
      </c>
      <c r="DF263" s="32">
        <f t="shared" si="31"/>
        <v>2.568975806779334</v>
      </c>
      <c r="DI263">
        <f>SUM('SS Material Flow'!C194:J194)/'SS Material Flow'!B103</f>
        <v>0.99595</v>
      </c>
      <c r="DK263">
        <f>'SS Material Flow'!B194/'SS Material Flow'!B103</f>
        <v>4.0499999999999989E-3</v>
      </c>
    </row>
    <row r="264" spans="1:115" x14ac:dyDescent="0.35">
      <c r="A264" t="str">
        <f t="shared" si="21"/>
        <v>Office Paper</v>
      </c>
      <c r="B264" s="32">
        <f>$E214*Common!C$69</f>
        <v>0.25691394378724947</v>
      </c>
      <c r="C264" s="32">
        <f>$E214*Common!D$69</f>
        <v>0</v>
      </c>
      <c r="D264" s="32">
        <f>$E214*Common!E$69</f>
        <v>0</v>
      </c>
      <c r="E264" s="32">
        <f>$E214*Common!F$69</f>
        <v>0</v>
      </c>
      <c r="F264" s="32">
        <f>$E214*Common!G$69</f>
        <v>0</v>
      </c>
      <c r="G264" s="32">
        <f>$E214*Common!H$69</f>
        <v>0</v>
      </c>
      <c r="H264" s="32">
        <f>$E214*Common!I$69</f>
        <v>0</v>
      </c>
      <c r="I264" s="32">
        <f>$E214*Common!J$69</f>
        <v>0</v>
      </c>
      <c r="J264" s="32">
        <f>$E214*Common!K$69</f>
        <v>0</v>
      </c>
      <c r="K264" s="32">
        <f>$E214*Common!L$69</f>
        <v>0</v>
      </c>
      <c r="L264" s="32">
        <f>$E214*Common!M$69</f>
        <v>0</v>
      </c>
      <c r="M264" s="32">
        <f>$E214*Common!N$69</f>
        <v>0</v>
      </c>
      <c r="N264" s="32">
        <f>$E214*Common!O$69</f>
        <v>0</v>
      </c>
      <c r="O264" s="32">
        <f>$E214*Common!P$69</f>
        <v>0</v>
      </c>
      <c r="P264" s="32">
        <f>$E214*Common!Q$69</f>
        <v>0</v>
      </c>
      <c r="Q264" s="32">
        <f>$E214*Common!R$69</f>
        <v>0</v>
      </c>
      <c r="R264" s="32">
        <f>$E214*Common!S$69</f>
        <v>0</v>
      </c>
      <c r="S264" s="32">
        <f>$E214*Common!T$69</f>
        <v>0</v>
      </c>
      <c r="T264" s="32">
        <f>$E214*Common!U$69</f>
        <v>0</v>
      </c>
      <c r="U264" s="32">
        <f>$E214*Common!V$69</f>
        <v>0</v>
      </c>
      <c r="V264" s="32">
        <f>$E214*Common!W$69</f>
        <v>0</v>
      </c>
      <c r="W264" s="32">
        <f>$E214*Common!X$69</f>
        <v>0</v>
      </c>
      <c r="X264" s="32">
        <f>$E214*Common!Y$69</f>
        <v>0</v>
      </c>
      <c r="Y264" s="32">
        <f>$E214*Common!Z$69</f>
        <v>0</v>
      </c>
      <c r="Z264" s="32">
        <f>$E214*Common!AA$69</f>
        <v>0</v>
      </c>
      <c r="AA264" s="32">
        <f>$E214*Common!AB$69</f>
        <v>0</v>
      </c>
      <c r="AB264" s="32">
        <f>$E214*Common!AC$69</f>
        <v>0</v>
      </c>
      <c r="AC264" s="32">
        <f>$E214*Common!AD$69</f>
        <v>0</v>
      </c>
      <c r="AD264" s="32">
        <f>$E214*Common!AE$69</f>
        <v>0</v>
      </c>
      <c r="AE264" s="32">
        <f>$E214*Common!AF$69</f>
        <v>0</v>
      </c>
      <c r="AF264" s="32">
        <f>$E214*Common!AG$69</f>
        <v>0</v>
      </c>
      <c r="AG264" s="32">
        <f>$E214*Common!AH$69</f>
        <v>0</v>
      </c>
      <c r="AH264" s="32">
        <f>$E214*Common!AI$69</f>
        <v>0</v>
      </c>
      <c r="AI264" s="32">
        <f>$E214*Common!AJ$69</f>
        <v>0</v>
      </c>
      <c r="AJ264" s="32">
        <f>$E214*Common!AK$69</f>
        <v>0</v>
      </c>
      <c r="AK264" s="32">
        <f>$E214*Common!AL$69</f>
        <v>0</v>
      </c>
      <c r="AL264" s="32">
        <f>$E214*Common!AM$69</f>
        <v>0</v>
      </c>
      <c r="AM264" s="32">
        <f>$E214*Common!AN$69</f>
        <v>0</v>
      </c>
      <c r="AN264" s="32">
        <f>$E214*Common!AO$69</f>
        <v>0</v>
      </c>
      <c r="AO264" s="32">
        <f>$E214*Common!AP$69</f>
        <v>0</v>
      </c>
      <c r="AP264" s="32">
        <f>$E214*Common!AQ$69</f>
        <v>0</v>
      </c>
      <c r="AQ264" s="32">
        <f>$E214*Common!AR$69</f>
        <v>0</v>
      </c>
      <c r="AR264" s="32">
        <f>$E214*Common!AS$69</f>
        <v>0</v>
      </c>
      <c r="AS264" s="32">
        <f>$E214*Common!AT$69</f>
        <v>0</v>
      </c>
      <c r="AT264" s="32">
        <f>$E214*Common!AU$69</f>
        <v>0</v>
      </c>
      <c r="AU264" s="32">
        <f>$E214*Common!AV$69</f>
        <v>0</v>
      </c>
      <c r="AV264" s="32">
        <f>$E214*Common!AW$69</f>
        <v>0</v>
      </c>
      <c r="AW264" s="32">
        <f>$E214*Common!AX$69</f>
        <v>0</v>
      </c>
      <c r="AX264" s="32">
        <f>$E214*Common!AY$69</f>
        <v>0</v>
      </c>
      <c r="AY264" s="32">
        <f>$E214*Common!AZ$69</f>
        <v>0</v>
      </c>
      <c r="AZ264" s="32">
        <f>$E214*Common!BA$69</f>
        <v>0</v>
      </c>
      <c r="BA264" s="32">
        <f>$E214*Common!BB$69</f>
        <v>0</v>
      </c>
      <c r="BB264" s="32">
        <f>$E214*Common!BC$69</f>
        <v>0</v>
      </c>
      <c r="BC264" s="32">
        <f>$E214*Common!BD$69</f>
        <v>0</v>
      </c>
      <c r="BD264" s="32">
        <f>$E214*Common!BE$69</f>
        <v>0</v>
      </c>
      <c r="BE264" s="32">
        <f>$E214*Common!BF$69</f>
        <v>0</v>
      </c>
      <c r="BF264" s="32">
        <f>$E214*Common!BG$69</f>
        <v>0</v>
      </c>
      <c r="BG264" s="32">
        <f>$E214*Common!BH$69</f>
        <v>0</v>
      </c>
      <c r="BH264" s="32">
        <f>$E214*Common!BI$69</f>
        <v>0</v>
      </c>
      <c r="BI264" s="32">
        <f>$E214*Common!BJ$69</f>
        <v>0</v>
      </c>
      <c r="BJ264" s="32">
        <f>$E214*Common!BK$69</f>
        <v>0</v>
      </c>
      <c r="BK264" s="32">
        <f>$E214*Common!BL$69</f>
        <v>0</v>
      </c>
      <c r="BL264" s="32">
        <f>$E214*Common!BM$69</f>
        <v>0</v>
      </c>
      <c r="BM264" s="32">
        <f>$E214*Common!BN$69</f>
        <v>0</v>
      </c>
      <c r="BN264" s="32">
        <f>$E214*Common!BO$69</f>
        <v>0</v>
      </c>
      <c r="BO264" s="32">
        <f>$E214*Common!BP$69</f>
        <v>0</v>
      </c>
      <c r="BP264" s="32">
        <f>$E214*Common!BQ$69</f>
        <v>0</v>
      </c>
      <c r="BQ264" s="32">
        <f>$E214*Common!BR$69</f>
        <v>0</v>
      </c>
      <c r="BR264" s="32">
        <f>$E214*Common!BS$69</f>
        <v>0</v>
      </c>
      <c r="BS264" s="32">
        <f>$E214*Common!BT$69</f>
        <v>0</v>
      </c>
      <c r="BT264" s="32">
        <f>$E214*Common!BU$69</f>
        <v>0</v>
      </c>
      <c r="BU264" s="32">
        <f>$E214*Common!BV$69</f>
        <v>0</v>
      </c>
      <c r="BV264" s="32">
        <f>$E214*Common!BW$69</f>
        <v>0</v>
      </c>
      <c r="BW264" s="32">
        <f>$E214*Common!BX$69</f>
        <v>0</v>
      </c>
      <c r="BX264" s="32">
        <f>$E214*Common!BY$69</f>
        <v>0</v>
      </c>
      <c r="BY264" s="32">
        <f>$E214*Common!BZ$69</f>
        <v>0</v>
      </c>
      <c r="BZ264" s="32">
        <f>$E214*Common!CA$69</f>
        <v>0</v>
      </c>
      <c r="CA264" s="32">
        <f>$E214*Common!CB$69</f>
        <v>0</v>
      </c>
      <c r="CB264" s="32">
        <f>$E214*Common!CC$69</f>
        <v>0</v>
      </c>
      <c r="CC264" s="32">
        <f>$E214*Common!CD$69</f>
        <v>0</v>
      </c>
      <c r="CD264" s="32">
        <f>$E214*Common!CE$69</f>
        <v>0</v>
      </c>
      <c r="CE264" s="32">
        <f>$E214*Common!CF$69</f>
        <v>0</v>
      </c>
      <c r="CF264" s="32">
        <f>$E214*Common!CG$69</f>
        <v>0</v>
      </c>
      <c r="CG264" s="32">
        <f>$E214*Common!CH$69</f>
        <v>0</v>
      </c>
      <c r="CH264" s="32">
        <f>$E214*Common!CI$69</f>
        <v>0</v>
      </c>
      <c r="CI264" s="32">
        <f>$E214*Common!CJ$69</f>
        <v>0</v>
      </c>
      <c r="CR264" s="32">
        <f t="shared" ref="CR264:CS264" si="41">C214</f>
        <v>0.7</v>
      </c>
      <c r="CS264" s="32">
        <f t="shared" si="41"/>
        <v>0</v>
      </c>
      <c r="CV264">
        <f t="shared" si="24"/>
        <v>0</v>
      </c>
      <c r="CW264">
        <f t="shared" si="25"/>
        <v>0</v>
      </c>
      <c r="CX264">
        <f t="shared" si="26"/>
        <v>0</v>
      </c>
      <c r="CY264">
        <f t="shared" si="27"/>
        <v>0</v>
      </c>
      <c r="CZ264">
        <f t="shared" si="28"/>
        <v>0</v>
      </c>
      <c r="DA264">
        <f t="shared" si="29"/>
        <v>0</v>
      </c>
      <c r="DB264">
        <f t="shared" si="30"/>
        <v>0</v>
      </c>
      <c r="DF264" s="32">
        <f t="shared" si="31"/>
        <v>2.8526767124165886</v>
      </c>
      <c r="DI264">
        <f>SUM('SS Material Flow'!C195:J195)/'SS Material Flow'!B104</f>
        <v>0.98650000000000004</v>
      </c>
      <c r="DK264">
        <f>'SS Material Flow'!B195/'SS Material Flow'!B104</f>
        <v>1.3499999999999993E-2</v>
      </c>
    </row>
    <row r="265" spans="1:115" x14ac:dyDescent="0.35">
      <c r="A265" t="str">
        <f t="shared" si="21"/>
        <v xml:space="preserve">Magazines </v>
      </c>
      <c r="B265" s="32">
        <f>$E215*Common!C$69</f>
        <v>0.25691394378724941</v>
      </c>
      <c r="C265" s="32">
        <f>$E215*Common!D$69</f>
        <v>0</v>
      </c>
      <c r="D265" s="32">
        <f>$E215*Common!E$69</f>
        <v>0</v>
      </c>
      <c r="E265" s="32">
        <f>$E215*Common!F$69</f>
        <v>0</v>
      </c>
      <c r="F265" s="32">
        <f>$E215*Common!G$69</f>
        <v>0</v>
      </c>
      <c r="G265" s="32">
        <f>$E215*Common!H$69</f>
        <v>0</v>
      </c>
      <c r="H265" s="32">
        <f>$E215*Common!I$69</f>
        <v>0</v>
      </c>
      <c r="I265" s="32">
        <f>$E215*Common!J$69</f>
        <v>0</v>
      </c>
      <c r="J265" s="32">
        <f>$E215*Common!K$69</f>
        <v>0</v>
      </c>
      <c r="K265" s="32">
        <f>$E215*Common!L$69</f>
        <v>0</v>
      </c>
      <c r="L265" s="32">
        <f>$E215*Common!M$69</f>
        <v>0</v>
      </c>
      <c r="M265" s="32">
        <f>$E215*Common!N$69</f>
        <v>0</v>
      </c>
      <c r="N265" s="32">
        <f>$E215*Common!O$69</f>
        <v>0</v>
      </c>
      <c r="O265" s="32">
        <f>$E215*Common!P$69</f>
        <v>0</v>
      </c>
      <c r="P265" s="32">
        <f>$E215*Common!Q$69</f>
        <v>0</v>
      </c>
      <c r="Q265" s="32">
        <f>$E215*Common!R$69</f>
        <v>0</v>
      </c>
      <c r="R265" s="32">
        <f>$E215*Common!S$69</f>
        <v>0</v>
      </c>
      <c r="S265" s="32">
        <f>$E215*Common!T$69</f>
        <v>0</v>
      </c>
      <c r="T265" s="32">
        <f>$E215*Common!U$69</f>
        <v>0</v>
      </c>
      <c r="U265" s="32">
        <f>$E215*Common!V$69</f>
        <v>0</v>
      </c>
      <c r="V265" s="32">
        <f>$E215*Common!W$69</f>
        <v>0</v>
      </c>
      <c r="W265" s="32">
        <f>$E215*Common!X$69</f>
        <v>0</v>
      </c>
      <c r="X265" s="32">
        <f>$E215*Common!Y$69</f>
        <v>0</v>
      </c>
      <c r="Y265" s="32">
        <f>$E215*Common!Z$69</f>
        <v>0</v>
      </c>
      <c r="Z265" s="32">
        <f>$E215*Common!AA$69</f>
        <v>0</v>
      </c>
      <c r="AA265" s="32">
        <f>$E215*Common!AB$69</f>
        <v>0</v>
      </c>
      <c r="AB265" s="32">
        <f>$E215*Common!AC$69</f>
        <v>0</v>
      </c>
      <c r="AC265" s="32">
        <f>$E215*Common!AD$69</f>
        <v>0</v>
      </c>
      <c r="AD265" s="32">
        <f>$E215*Common!AE$69</f>
        <v>0</v>
      </c>
      <c r="AE265" s="32">
        <f>$E215*Common!AF$69</f>
        <v>0</v>
      </c>
      <c r="AF265" s="32">
        <f>$E215*Common!AG$69</f>
        <v>0</v>
      </c>
      <c r="AG265" s="32">
        <f>$E215*Common!AH$69</f>
        <v>0</v>
      </c>
      <c r="AH265" s="32">
        <f>$E215*Common!AI$69</f>
        <v>0</v>
      </c>
      <c r="AI265" s="32">
        <f>$E215*Common!AJ$69</f>
        <v>0</v>
      </c>
      <c r="AJ265" s="32">
        <f>$E215*Common!AK$69</f>
        <v>0</v>
      </c>
      <c r="AK265" s="32">
        <f>$E215*Common!AL$69</f>
        <v>0</v>
      </c>
      <c r="AL265" s="32">
        <f>$E215*Common!AM$69</f>
        <v>0</v>
      </c>
      <c r="AM265" s="32">
        <f>$E215*Common!AN$69</f>
        <v>0</v>
      </c>
      <c r="AN265" s="32">
        <f>$E215*Common!AO$69</f>
        <v>0</v>
      </c>
      <c r="AO265" s="32">
        <f>$E215*Common!AP$69</f>
        <v>0</v>
      </c>
      <c r="AP265" s="32">
        <f>$E215*Common!AQ$69</f>
        <v>0</v>
      </c>
      <c r="AQ265" s="32">
        <f>$E215*Common!AR$69</f>
        <v>0</v>
      </c>
      <c r="AR265" s="32">
        <f>$E215*Common!AS$69</f>
        <v>0</v>
      </c>
      <c r="AS265" s="32">
        <f>$E215*Common!AT$69</f>
        <v>0</v>
      </c>
      <c r="AT265" s="32">
        <f>$E215*Common!AU$69</f>
        <v>0</v>
      </c>
      <c r="AU265" s="32">
        <f>$E215*Common!AV$69</f>
        <v>0</v>
      </c>
      <c r="AV265" s="32">
        <f>$E215*Common!AW$69</f>
        <v>0</v>
      </c>
      <c r="AW265" s="32">
        <f>$E215*Common!AX$69</f>
        <v>0</v>
      </c>
      <c r="AX265" s="32">
        <f>$E215*Common!AY$69</f>
        <v>0</v>
      </c>
      <c r="AY265" s="32">
        <f>$E215*Common!AZ$69</f>
        <v>0</v>
      </c>
      <c r="AZ265" s="32">
        <f>$E215*Common!BA$69</f>
        <v>0</v>
      </c>
      <c r="BA265" s="32">
        <f>$E215*Common!BB$69</f>
        <v>0</v>
      </c>
      <c r="BB265" s="32">
        <f>$E215*Common!BC$69</f>
        <v>0</v>
      </c>
      <c r="BC265" s="32">
        <f>$E215*Common!BD$69</f>
        <v>0</v>
      </c>
      <c r="BD265" s="32">
        <f>$E215*Common!BE$69</f>
        <v>0</v>
      </c>
      <c r="BE265" s="32">
        <f>$E215*Common!BF$69</f>
        <v>0</v>
      </c>
      <c r="BF265" s="32">
        <f>$E215*Common!BG$69</f>
        <v>0</v>
      </c>
      <c r="BG265" s="32">
        <f>$E215*Common!BH$69</f>
        <v>0</v>
      </c>
      <c r="BH265" s="32">
        <f>$E215*Common!BI$69</f>
        <v>0</v>
      </c>
      <c r="BI265" s="32">
        <f>$E215*Common!BJ$69</f>
        <v>0</v>
      </c>
      <c r="BJ265" s="32">
        <f>$E215*Common!BK$69</f>
        <v>0</v>
      </c>
      <c r="BK265" s="32">
        <f>$E215*Common!BL$69</f>
        <v>0</v>
      </c>
      <c r="BL265" s="32">
        <f>$E215*Common!BM$69</f>
        <v>0</v>
      </c>
      <c r="BM265" s="32">
        <f>$E215*Common!BN$69</f>
        <v>0</v>
      </c>
      <c r="BN265" s="32">
        <f>$E215*Common!BO$69</f>
        <v>0</v>
      </c>
      <c r="BO265" s="32">
        <f>$E215*Common!BP$69</f>
        <v>0</v>
      </c>
      <c r="BP265" s="32">
        <f>$E215*Common!BQ$69</f>
        <v>0</v>
      </c>
      <c r="BQ265" s="32">
        <f>$E215*Common!BR$69</f>
        <v>0</v>
      </c>
      <c r="BR265" s="32">
        <f>$E215*Common!BS$69</f>
        <v>0</v>
      </c>
      <c r="BS265" s="32">
        <f>$E215*Common!BT$69</f>
        <v>0</v>
      </c>
      <c r="BT265" s="32">
        <f>$E215*Common!BU$69</f>
        <v>0</v>
      </c>
      <c r="BU265" s="32">
        <f>$E215*Common!BV$69</f>
        <v>0</v>
      </c>
      <c r="BV265" s="32">
        <f>$E215*Common!BW$69</f>
        <v>0</v>
      </c>
      <c r="BW265" s="32">
        <f>$E215*Common!BX$69</f>
        <v>0</v>
      </c>
      <c r="BX265" s="32">
        <f>$E215*Common!BY$69</f>
        <v>0</v>
      </c>
      <c r="BY265" s="32">
        <f>$E215*Common!BZ$69</f>
        <v>0</v>
      </c>
      <c r="BZ265" s="32">
        <f>$E215*Common!CA$69</f>
        <v>0</v>
      </c>
      <c r="CA265" s="32">
        <f>$E215*Common!CB$69</f>
        <v>0</v>
      </c>
      <c r="CB265" s="32">
        <f>$E215*Common!CC$69</f>
        <v>0</v>
      </c>
      <c r="CC265" s="32">
        <f>$E215*Common!CD$69</f>
        <v>0</v>
      </c>
      <c r="CD265" s="32">
        <f>$E215*Common!CE$69</f>
        <v>0</v>
      </c>
      <c r="CE265" s="32">
        <f>$E215*Common!CF$69</f>
        <v>0</v>
      </c>
      <c r="CF265" s="32">
        <f>$E215*Common!CG$69</f>
        <v>0</v>
      </c>
      <c r="CG265" s="32">
        <f>$E215*Common!CH$69</f>
        <v>0</v>
      </c>
      <c r="CH265" s="32">
        <f>$E215*Common!CI$69</f>
        <v>0</v>
      </c>
      <c r="CI265" s="32">
        <f>$E215*Common!CJ$69</f>
        <v>0</v>
      </c>
      <c r="CR265" s="32">
        <f t="shared" ref="CR265:CS265" si="42">C215</f>
        <v>0.7</v>
      </c>
      <c r="CS265" s="32">
        <f t="shared" si="42"/>
        <v>0</v>
      </c>
      <c r="CV265">
        <f t="shared" si="24"/>
        <v>0</v>
      </c>
      <c r="CW265">
        <f t="shared" si="25"/>
        <v>0</v>
      </c>
      <c r="CX265">
        <f t="shared" si="26"/>
        <v>0</v>
      </c>
      <c r="CY265">
        <f t="shared" si="27"/>
        <v>0</v>
      </c>
      <c r="CZ265">
        <f t="shared" si="28"/>
        <v>0</v>
      </c>
      <c r="DA265">
        <f t="shared" si="29"/>
        <v>0</v>
      </c>
      <c r="DB265">
        <f t="shared" si="30"/>
        <v>0</v>
      </c>
      <c r="DF265" s="32">
        <f t="shared" si="31"/>
        <v>2.8526767124165877</v>
      </c>
      <c r="DI265">
        <f>SUM('SS Material Flow'!C196:J196)/'SS Material Flow'!B105</f>
        <v>0.98649999999999993</v>
      </c>
      <c r="DK265">
        <f>'SS Material Flow'!B196/'SS Material Flow'!B105</f>
        <v>1.3500000000000002E-2</v>
      </c>
    </row>
    <row r="266" spans="1:115" x14ac:dyDescent="0.35">
      <c r="A266" t="str">
        <f t="shared" si="21"/>
        <v>3rd Class Mail</v>
      </c>
      <c r="B266" s="32">
        <f>$E216*Common!C$69</f>
        <v>0.25691394378724947</v>
      </c>
      <c r="C266" s="32">
        <f>$E216*Common!D$69</f>
        <v>0</v>
      </c>
      <c r="D266" s="32">
        <f>$E216*Common!E$69</f>
        <v>0</v>
      </c>
      <c r="E266" s="32">
        <f>$E216*Common!F$69</f>
        <v>0</v>
      </c>
      <c r="F266" s="32">
        <f>$E216*Common!G$69</f>
        <v>0</v>
      </c>
      <c r="G266" s="32">
        <f>$E216*Common!H$69</f>
        <v>0</v>
      </c>
      <c r="H266" s="32">
        <f>$E216*Common!I$69</f>
        <v>0</v>
      </c>
      <c r="I266" s="32">
        <f>$E216*Common!J$69</f>
        <v>0</v>
      </c>
      <c r="J266" s="32">
        <f>$E216*Common!K$69</f>
        <v>0</v>
      </c>
      <c r="K266" s="32">
        <f>$E216*Common!L$69</f>
        <v>0</v>
      </c>
      <c r="L266" s="32">
        <f>$E216*Common!M$69</f>
        <v>0</v>
      </c>
      <c r="M266" s="32">
        <f>$E216*Common!N$69</f>
        <v>0</v>
      </c>
      <c r="N266" s="32">
        <f>$E216*Common!O$69</f>
        <v>0</v>
      </c>
      <c r="O266" s="32">
        <f>$E216*Common!P$69</f>
        <v>0</v>
      </c>
      <c r="P266" s="32">
        <f>$E216*Common!Q$69</f>
        <v>0</v>
      </c>
      <c r="Q266" s="32">
        <f>$E216*Common!R$69</f>
        <v>0</v>
      </c>
      <c r="R266" s="32">
        <f>$E216*Common!S$69</f>
        <v>0</v>
      </c>
      <c r="S266" s="32">
        <f>$E216*Common!T$69</f>
        <v>0</v>
      </c>
      <c r="T266" s="32">
        <f>$E216*Common!U$69</f>
        <v>0</v>
      </c>
      <c r="U266" s="32">
        <f>$E216*Common!V$69</f>
        <v>0</v>
      </c>
      <c r="V266" s="32">
        <f>$E216*Common!W$69</f>
        <v>0</v>
      </c>
      <c r="W266" s="32">
        <f>$E216*Common!X$69</f>
        <v>0</v>
      </c>
      <c r="X266" s="32">
        <f>$E216*Common!Y$69</f>
        <v>0</v>
      </c>
      <c r="Y266" s="32">
        <f>$E216*Common!Z$69</f>
        <v>0</v>
      </c>
      <c r="Z266" s="32">
        <f>$E216*Common!AA$69</f>
        <v>0</v>
      </c>
      <c r="AA266" s="32">
        <f>$E216*Common!AB$69</f>
        <v>0</v>
      </c>
      <c r="AB266" s="32">
        <f>$E216*Common!AC$69</f>
        <v>0</v>
      </c>
      <c r="AC266" s="32">
        <f>$E216*Common!AD$69</f>
        <v>0</v>
      </c>
      <c r="AD266" s="32">
        <f>$E216*Common!AE$69</f>
        <v>0</v>
      </c>
      <c r="AE266" s="32">
        <f>$E216*Common!AF$69</f>
        <v>0</v>
      </c>
      <c r="AF266" s="32">
        <f>$E216*Common!AG$69</f>
        <v>0</v>
      </c>
      <c r="AG266" s="32">
        <f>$E216*Common!AH$69</f>
        <v>0</v>
      </c>
      <c r="AH266" s="32">
        <f>$E216*Common!AI$69</f>
        <v>0</v>
      </c>
      <c r="AI266" s="32">
        <f>$E216*Common!AJ$69</f>
        <v>0</v>
      </c>
      <c r="AJ266" s="32">
        <f>$E216*Common!AK$69</f>
        <v>0</v>
      </c>
      <c r="AK266" s="32">
        <f>$E216*Common!AL$69</f>
        <v>0</v>
      </c>
      <c r="AL266" s="32">
        <f>$E216*Common!AM$69</f>
        <v>0</v>
      </c>
      <c r="AM266" s="32">
        <f>$E216*Common!AN$69</f>
        <v>0</v>
      </c>
      <c r="AN266" s="32">
        <f>$E216*Common!AO$69</f>
        <v>0</v>
      </c>
      <c r="AO266" s="32">
        <f>$E216*Common!AP$69</f>
        <v>0</v>
      </c>
      <c r="AP266" s="32">
        <f>$E216*Common!AQ$69</f>
        <v>0</v>
      </c>
      <c r="AQ266" s="32">
        <f>$E216*Common!AR$69</f>
        <v>0</v>
      </c>
      <c r="AR266" s="32">
        <f>$E216*Common!AS$69</f>
        <v>0</v>
      </c>
      <c r="AS266" s="32">
        <f>$E216*Common!AT$69</f>
        <v>0</v>
      </c>
      <c r="AT266" s="32">
        <f>$E216*Common!AU$69</f>
        <v>0</v>
      </c>
      <c r="AU266" s="32">
        <f>$E216*Common!AV$69</f>
        <v>0</v>
      </c>
      <c r="AV266" s="32">
        <f>$E216*Common!AW$69</f>
        <v>0</v>
      </c>
      <c r="AW266" s="32">
        <f>$E216*Common!AX$69</f>
        <v>0</v>
      </c>
      <c r="AX266" s="32">
        <f>$E216*Common!AY$69</f>
        <v>0</v>
      </c>
      <c r="AY266" s="32">
        <f>$E216*Common!AZ$69</f>
        <v>0</v>
      </c>
      <c r="AZ266" s="32">
        <f>$E216*Common!BA$69</f>
        <v>0</v>
      </c>
      <c r="BA266" s="32">
        <f>$E216*Common!BB$69</f>
        <v>0</v>
      </c>
      <c r="BB266" s="32">
        <f>$E216*Common!BC$69</f>
        <v>0</v>
      </c>
      <c r="BC266" s="32">
        <f>$E216*Common!BD$69</f>
        <v>0</v>
      </c>
      <c r="BD266" s="32">
        <f>$E216*Common!BE$69</f>
        <v>0</v>
      </c>
      <c r="BE266" s="32">
        <f>$E216*Common!BF$69</f>
        <v>0</v>
      </c>
      <c r="BF266" s="32">
        <f>$E216*Common!BG$69</f>
        <v>0</v>
      </c>
      <c r="BG266" s="32">
        <f>$E216*Common!BH$69</f>
        <v>0</v>
      </c>
      <c r="BH266" s="32">
        <f>$E216*Common!BI$69</f>
        <v>0</v>
      </c>
      <c r="BI266" s="32">
        <f>$E216*Common!BJ$69</f>
        <v>0</v>
      </c>
      <c r="BJ266" s="32">
        <f>$E216*Common!BK$69</f>
        <v>0</v>
      </c>
      <c r="BK266" s="32">
        <f>$E216*Common!BL$69</f>
        <v>0</v>
      </c>
      <c r="BL266" s="32">
        <f>$E216*Common!BM$69</f>
        <v>0</v>
      </c>
      <c r="BM266" s="32">
        <f>$E216*Common!BN$69</f>
        <v>0</v>
      </c>
      <c r="BN266" s="32">
        <f>$E216*Common!BO$69</f>
        <v>0</v>
      </c>
      <c r="BO266" s="32">
        <f>$E216*Common!BP$69</f>
        <v>0</v>
      </c>
      <c r="BP266" s="32">
        <f>$E216*Common!BQ$69</f>
        <v>0</v>
      </c>
      <c r="BQ266" s="32">
        <f>$E216*Common!BR$69</f>
        <v>0</v>
      </c>
      <c r="BR266" s="32">
        <f>$E216*Common!BS$69</f>
        <v>0</v>
      </c>
      <c r="BS266" s="32">
        <f>$E216*Common!BT$69</f>
        <v>0</v>
      </c>
      <c r="BT266" s="32">
        <f>$E216*Common!BU$69</f>
        <v>0</v>
      </c>
      <c r="BU266" s="32">
        <f>$E216*Common!BV$69</f>
        <v>0</v>
      </c>
      <c r="BV266" s="32">
        <f>$E216*Common!BW$69</f>
        <v>0</v>
      </c>
      <c r="BW266" s="32">
        <f>$E216*Common!BX$69</f>
        <v>0</v>
      </c>
      <c r="BX266" s="32">
        <f>$E216*Common!BY$69</f>
        <v>0</v>
      </c>
      <c r="BY266" s="32">
        <f>$E216*Common!BZ$69</f>
        <v>0</v>
      </c>
      <c r="BZ266" s="32">
        <f>$E216*Common!CA$69</f>
        <v>0</v>
      </c>
      <c r="CA266" s="32">
        <f>$E216*Common!CB$69</f>
        <v>0</v>
      </c>
      <c r="CB266" s="32">
        <f>$E216*Common!CC$69</f>
        <v>0</v>
      </c>
      <c r="CC266" s="32">
        <f>$E216*Common!CD$69</f>
        <v>0</v>
      </c>
      <c r="CD266" s="32">
        <f>$E216*Common!CE$69</f>
        <v>0</v>
      </c>
      <c r="CE266" s="32">
        <f>$E216*Common!CF$69</f>
        <v>0</v>
      </c>
      <c r="CF266" s="32">
        <f>$E216*Common!CG$69</f>
        <v>0</v>
      </c>
      <c r="CG266" s="32">
        <f>$E216*Common!CH$69</f>
        <v>0</v>
      </c>
      <c r="CH266" s="32">
        <f>$E216*Common!CI$69</f>
        <v>0</v>
      </c>
      <c r="CI266" s="32">
        <f>$E216*Common!CJ$69</f>
        <v>0</v>
      </c>
      <c r="CR266" s="32">
        <f t="shared" ref="CR266:CS266" si="43">C216</f>
        <v>0.7</v>
      </c>
      <c r="CS266" s="32">
        <f t="shared" si="43"/>
        <v>0</v>
      </c>
      <c r="CV266">
        <f t="shared" si="24"/>
        <v>0</v>
      </c>
      <c r="CW266">
        <f t="shared" si="25"/>
        <v>0</v>
      </c>
      <c r="CX266">
        <f t="shared" si="26"/>
        <v>0</v>
      </c>
      <c r="CY266">
        <f t="shared" si="27"/>
        <v>0</v>
      </c>
      <c r="CZ266">
        <f t="shared" si="28"/>
        <v>0</v>
      </c>
      <c r="DA266">
        <f t="shared" si="29"/>
        <v>0</v>
      </c>
      <c r="DB266">
        <f t="shared" si="30"/>
        <v>0</v>
      </c>
      <c r="DF266" s="32">
        <f t="shared" si="31"/>
        <v>2.8526767124165886</v>
      </c>
      <c r="DI266">
        <f>SUM('SS Material Flow'!C197:J197)/'SS Material Flow'!B106</f>
        <v>0.98650000000000004</v>
      </c>
      <c r="DK266">
        <f>'SS Material Flow'!B197/'SS Material Flow'!B106</f>
        <v>1.3499999999999998E-2</v>
      </c>
    </row>
    <row r="267" spans="1:115" x14ac:dyDescent="0.35">
      <c r="A267" t="str">
        <f t="shared" si="21"/>
        <v>Folding Containers</v>
      </c>
      <c r="B267" s="32">
        <f>$E217*Common!C$69</f>
        <v>0.25691394378724947</v>
      </c>
      <c r="C267" s="32">
        <f>$E217*Common!D$69</f>
        <v>0</v>
      </c>
      <c r="D267" s="32">
        <f>$E217*Common!E$69</f>
        <v>0</v>
      </c>
      <c r="E267" s="32">
        <f>$E217*Common!F$69</f>
        <v>0</v>
      </c>
      <c r="F267" s="32">
        <f>$E217*Common!G$69</f>
        <v>0</v>
      </c>
      <c r="G267" s="32">
        <f>$E217*Common!H$69</f>
        <v>0</v>
      </c>
      <c r="H267" s="32">
        <f>$E217*Common!I$69</f>
        <v>0</v>
      </c>
      <c r="I267" s="32">
        <f>$E217*Common!J$69</f>
        <v>0</v>
      </c>
      <c r="J267" s="32">
        <f>$E217*Common!K$69</f>
        <v>0</v>
      </c>
      <c r="K267" s="32">
        <f>$E217*Common!L$69</f>
        <v>0</v>
      </c>
      <c r="L267" s="32">
        <f>$E217*Common!M$69</f>
        <v>0</v>
      </c>
      <c r="M267" s="32">
        <f>$E217*Common!N$69</f>
        <v>0</v>
      </c>
      <c r="N267" s="32">
        <f>$E217*Common!O$69</f>
        <v>0</v>
      </c>
      <c r="O267" s="32">
        <f>$E217*Common!P$69</f>
        <v>0</v>
      </c>
      <c r="P267" s="32">
        <f>$E217*Common!Q$69</f>
        <v>0</v>
      </c>
      <c r="Q267" s="32">
        <f>$E217*Common!R$69</f>
        <v>0</v>
      </c>
      <c r="R267" s="32">
        <f>$E217*Common!S$69</f>
        <v>0</v>
      </c>
      <c r="S267" s="32">
        <f>$E217*Common!T$69</f>
        <v>0</v>
      </c>
      <c r="T267" s="32">
        <f>$E217*Common!U$69</f>
        <v>0</v>
      </c>
      <c r="U267" s="32">
        <f>$E217*Common!V$69</f>
        <v>0</v>
      </c>
      <c r="V267" s="32">
        <f>$E217*Common!W$69</f>
        <v>0</v>
      </c>
      <c r="W267" s="32">
        <f>$E217*Common!X$69</f>
        <v>0</v>
      </c>
      <c r="X267" s="32">
        <f>$E217*Common!Y$69</f>
        <v>0</v>
      </c>
      <c r="Y267" s="32">
        <f>$E217*Common!Z$69</f>
        <v>0</v>
      </c>
      <c r="Z267" s="32">
        <f>$E217*Common!AA$69</f>
        <v>0</v>
      </c>
      <c r="AA267" s="32">
        <f>$E217*Common!AB$69</f>
        <v>0</v>
      </c>
      <c r="AB267" s="32">
        <f>$E217*Common!AC$69</f>
        <v>0</v>
      </c>
      <c r="AC267" s="32">
        <f>$E217*Common!AD$69</f>
        <v>0</v>
      </c>
      <c r="AD267" s="32">
        <f>$E217*Common!AE$69</f>
        <v>0</v>
      </c>
      <c r="AE267" s="32">
        <f>$E217*Common!AF$69</f>
        <v>0</v>
      </c>
      <c r="AF267" s="32">
        <f>$E217*Common!AG$69</f>
        <v>0</v>
      </c>
      <c r="AG267" s="32">
        <f>$E217*Common!AH$69</f>
        <v>0</v>
      </c>
      <c r="AH267" s="32">
        <f>$E217*Common!AI$69</f>
        <v>0</v>
      </c>
      <c r="AI267" s="32">
        <f>$E217*Common!AJ$69</f>
        <v>0</v>
      </c>
      <c r="AJ267" s="32">
        <f>$E217*Common!AK$69</f>
        <v>0</v>
      </c>
      <c r="AK267" s="32">
        <f>$E217*Common!AL$69</f>
        <v>0</v>
      </c>
      <c r="AL267" s="32">
        <f>$E217*Common!AM$69</f>
        <v>0</v>
      </c>
      <c r="AM267" s="32">
        <f>$E217*Common!AN$69</f>
        <v>0</v>
      </c>
      <c r="AN267" s="32">
        <f>$E217*Common!AO$69</f>
        <v>0</v>
      </c>
      <c r="AO267" s="32">
        <f>$E217*Common!AP$69</f>
        <v>0</v>
      </c>
      <c r="AP267" s="32">
        <f>$E217*Common!AQ$69</f>
        <v>0</v>
      </c>
      <c r="AQ267" s="32">
        <f>$E217*Common!AR$69</f>
        <v>0</v>
      </c>
      <c r="AR267" s="32">
        <f>$E217*Common!AS$69</f>
        <v>0</v>
      </c>
      <c r="AS267" s="32">
        <f>$E217*Common!AT$69</f>
        <v>0</v>
      </c>
      <c r="AT267" s="32">
        <f>$E217*Common!AU$69</f>
        <v>0</v>
      </c>
      <c r="AU267" s="32">
        <f>$E217*Common!AV$69</f>
        <v>0</v>
      </c>
      <c r="AV267" s="32">
        <f>$E217*Common!AW$69</f>
        <v>0</v>
      </c>
      <c r="AW267" s="32">
        <f>$E217*Common!AX$69</f>
        <v>0</v>
      </c>
      <c r="AX267" s="32">
        <f>$E217*Common!AY$69</f>
        <v>0</v>
      </c>
      <c r="AY267" s="32">
        <f>$E217*Common!AZ$69</f>
        <v>0</v>
      </c>
      <c r="AZ267" s="32">
        <f>$E217*Common!BA$69</f>
        <v>0</v>
      </c>
      <c r="BA267" s="32">
        <f>$E217*Common!BB$69</f>
        <v>0</v>
      </c>
      <c r="BB267" s="32">
        <f>$E217*Common!BC$69</f>
        <v>0</v>
      </c>
      <c r="BC267" s="32">
        <f>$E217*Common!BD$69</f>
        <v>0</v>
      </c>
      <c r="BD267" s="32">
        <f>$E217*Common!BE$69</f>
        <v>0</v>
      </c>
      <c r="BE267" s="32">
        <f>$E217*Common!BF$69</f>
        <v>0</v>
      </c>
      <c r="BF267" s="32">
        <f>$E217*Common!BG$69</f>
        <v>0</v>
      </c>
      <c r="BG267" s="32">
        <f>$E217*Common!BH$69</f>
        <v>0</v>
      </c>
      <c r="BH267" s="32">
        <f>$E217*Common!BI$69</f>
        <v>0</v>
      </c>
      <c r="BI267" s="32">
        <f>$E217*Common!BJ$69</f>
        <v>0</v>
      </c>
      <c r="BJ267" s="32">
        <f>$E217*Common!BK$69</f>
        <v>0</v>
      </c>
      <c r="BK267" s="32">
        <f>$E217*Common!BL$69</f>
        <v>0</v>
      </c>
      <c r="BL267" s="32">
        <f>$E217*Common!BM$69</f>
        <v>0</v>
      </c>
      <c r="BM267" s="32">
        <f>$E217*Common!BN$69</f>
        <v>0</v>
      </c>
      <c r="BN267" s="32">
        <f>$E217*Common!BO$69</f>
        <v>0</v>
      </c>
      <c r="BO267" s="32">
        <f>$E217*Common!BP$69</f>
        <v>0</v>
      </c>
      <c r="BP267" s="32">
        <f>$E217*Common!BQ$69</f>
        <v>0</v>
      </c>
      <c r="BQ267" s="32">
        <f>$E217*Common!BR$69</f>
        <v>0</v>
      </c>
      <c r="BR267" s="32">
        <f>$E217*Common!BS$69</f>
        <v>0</v>
      </c>
      <c r="BS267" s="32">
        <f>$E217*Common!BT$69</f>
        <v>0</v>
      </c>
      <c r="BT267" s="32">
        <f>$E217*Common!BU$69</f>
        <v>0</v>
      </c>
      <c r="BU267" s="32">
        <f>$E217*Common!BV$69</f>
        <v>0</v>
      </c>
      <c r="BV267" s="32">
        <f>$E217*Common!BW$69</f>
        <v>0</v>
      </c>
      <c r="BW267" s="32">
        <f>$E217*Common!BX$69</f>
        <v>0</v>
      </c>
      <c r="BX267" s="32">
        <f>$E217*Common!BY$69</f>
        <v>0</v>
      </c>
      <c r="BY267" s="32">
        <f>$E217*Common!BZ$69</f>
        <v>0</v>
      </c>
      <c r="BZ267" s="32">
        <f>$E217*Common!CA$69</f>
        <v>0</v>
      </c>
      <c r="CA267" s="32">
        <f>$E217*Common!CB$69</f>
        <v>0</v>
      </c>
      <c r="CB267" s="32">
        <f>$E217*Common!CC$69</f>
        <v>0</v>
      </c>
      <c r="CC267" s="32">
        <f>$E217*Common!CD$69</f>
        <v>0</v>
      </c>
      <c r="CD267" s="32">
        <f>$E217*Common!CE$69</f>
        <v>0</v>
      </c>
      <c r="CE267" s="32">
        <f>$E217*Common!CF$69</f>
        <v>0</v>
      </c>
      <c r="CF267" s="32">
        <f>$E217*Common!CG$69</f>
        <v>0</v>
      </c>
      <c r="CG267" s="32">
        <f>$E217*Common!CH$69</f>
        <v>0</v>
      </c>
      <c r="CH267" s="32">
        <f>$E217*Common!CI$69</f>
        <v>0</v>
      </c>
      <c r="CI267" s="32">
        <f>$E217*Common!CJ$69</f>
        <v>0</v>
      </c>
      <c r="CR267" s="32">
        <f t="shared" ref="CR267:CS267" si="44">C217</f>
        <v>0.7</v>
      </c>
      <c r="CS267" s="32">
        <f t="shared" si="44"/>
        <v>0</v>
      </c>
      <c r="CV267">
        <f t="shared" si="24"/>
        <v>0</v>
      </c>
      <c r="CW267">
        <f t="shared" si="25"/>
        <v>0</v>
      </c>
      <c r="CX267">
        <f t="shared" si="26"/>
        <v>0</v>
      </c>
      <c r="CY267">
        <f t="shared" si="27"/>
        <v>0</v>
      </c>
      <c r="CZ267">
        <f t="shared" si="28"/>
        <v>0</v>
      </c>
      <c r="DA267">
        <f t="shared" si="29"/>
        <v>0</v>
      </c>
      <c r="DB267">
        <f t="shared" si="30"/>
        <v>0</v>
      </c>
      <c r="DF267" s="32">
        <f t="shared" si="31"/>
        <v>2.8526767124165886</v>
      </c>
      <c r="DI267">
        <f>SUM('SS Material Flow'!C198:J198)/'SS Material Flow'!B107</f>
        <v>0.98650000000000004</v>
      </c>
      <c r="DK267">
        <f>'SS Material Flow'!B198/'SS Material Flow'!B107</f>
        <v>1.3500000000000009E-2</v>
      </c>
    </row>
    <row r="268" spans="1:115" x14ac:dyDescent="0.35">
      <c r="A268" t="str">
        <f t="shared" si="21"/>
        <v xml:space="preserve">Paper Bags </v>
      </c>
      <c r="B268" s="32">
        <f>$E218*Common!C$69</f>
        <v>0.25691394378724947</v>
      </c>
      <c r="C268" s="32">
        <f>$E218*Common!D$69</f>
        <v>0</v>
      </c>
      <c r="D268" s="32">
        <f>$E218*Common!E$69</f>
        <v>0</v>
      </c>
      <c r="E268" s="32">
        <f>$E218*Common!F$69</f>
        <v>0</v>
      </c>
      <c r="F268" s="32">
        <f>$E218*Common!G$69</f>
        <v>0</v>
      </c>
      <c r="G268" s="32">
        <f>$E218*Common!H$69</f>
        <v>0</v>
      </c>
      <c r="H268" s="32">
        <f>$E218*Common!I$69</f>
        <v>0</v>
      </c>
      <c r="I268" s="32">
        <f>$E218*Common!J$69</f>
        <v>0</v>
      </c>
      <c r="J268" s="32">
        <f>$E218*Common!K$69</f>
        <v>0</v>
      </c>
      <c r="K268" s="32">
        <f>$E218*Common!L$69</f>
        <v>0</v>
      </c>
      <c r="L268" s="32">
        <f>$E218*Common!M$69</f>
        <v>0</v>
      </c>
      <c r="M268" s="32">
        <f>$E218*Common!N$69</f>
        <v>0</v>
      </c>
      <c r="N268" s="32">
        <f>$E218*Common!O$69</f>
        <v>0</v>
      </c>
      <c r="O268" s="32">
        <f>$E218*Common!P$69</f>
        <v>0</v>
      </c>
      <c r="P268" s="32">
        <f>$E218*Common!Q$69</f>
        <v>0</v>
      </c>
      <c r="Q268" s="32">
        <f>$E218*Common!R$69</f>
        <v>0</v>
      </c>
      <c r="R268" s="32">
        <f>$E218*Common!S$69</f>
        <v>0</v>
      </c>
      <c r="S268" s="32">
        <f>$E218*Common!T$69</f>
        <v>0</v>
      </c>
      <c r="T268" s="32">
        <f>$E218*Common!U$69</f>
        <v>0</v>
      </c>
      <c r="U268" s="32">
        <f>$E218*Common!V$69</f>
        <v>0</v>
      </c>
      <c r="V268" s="32">
        <f>$E218*Common!W$69</f>
        <v>0</v>
      </c>
      <c r="W268" s="32">
        <f>$E218*Common!X$69</f>
        <v>0</v>
      </c>
      <c r="X268" s="32">
        <f>$E218*Common!Y$69</f>
        <v>0</v>
      </c>
      <c r="Y268" s="32">
        <f>$E218*Common!Z$69</f>
        <v>0</v>
      </c>
      <c r="Z268" s="32">
        <f>$E218*Common!AA$69</f>
        <v>0</v>
      </c>
      <c r="AA268" s="32">
        <f>$E218*Common!AB$69</f>
        <v>0</v>
      </c>
      <c r="AB268" s="32">
        <f>$E218*Common!AC$69</f>
        <v>0</v>
      </c>
      <c r="AC268" s="32">
        <f>$E218*Common!AD$69</f>
        <v>0</v>
      </c>
      <c r="AD268" s="32">
        <f>$E218*Common!AE$69</f>
        <v>0</v>
      </c>
      <c r="AE268" s="32">
        <f>$E218*Common!AF$69</f>
        <v>0</v>
      </c>
      <c r="AF268" s="32">
        <f>$E218*Common!AG$69</f>
        <v>0</v>
      </c>
      <c r="AG268" s="32">
        <f>$E218*Common!AH$69</f>
        <v>0</v>
      </c>
      <c r="AH268" s="32">
        <f>$E218*Common!AI$69</f>
        <v>0</v>
      </c>
      <c r="AI268" s="32">
        <f>$E218*Common!AJ$69</f>
        <v>0</v>
      </c>
      <c r="AJ268" s="32">
        <f>$E218*Common!AK$69</f>
        <v>0</v>
      </c>
      <c r="AK268" s="32">
        <f>$E218*Common!AL$69</f>
        <v>0</v>
      </c>
      <c r="AL268" s="32">
        <f>$E218*Common!AM$69</f>
        <v>0</v>
      </c>
      <c r="AM268" s="32">
        <f>$E218*Common!AN$69</f>
        <v>0</v>
      </c>
      <c r="AN268" s="32">
        <f>$E218*Common!AO$69</f>
        <v>0</v>
      </c>
      <c r="AO268" s="32">
        <f>$E218*Common!AP$69</f>
        <v>0</v>
      </c>
      <c r="AP268" s="32">
        <f>$E218*Common!AQ$69</f>
        <v>0</v>
      </c>
      <c r="AQ268" s="32">
        <f>$E218*Common!AR$69</f>
        <v>0</v>
      </c>
      <c r="AR268" s="32">
        <f>$E218*Common!AS$69</f>
        <v>0</v>
      </c>
      <c r="AS268" s="32">
        <f>$E218*Common!AT$69</f>
        <v>0</v>
      </c>
      <c r="AT268" s="32">
        <f>$E218*Common!AU$69</f>
        <v>0</v>
      </c>
      <c r="AU268" s="32">
        <f>$E218*Common!AV$69</f>
        <v>0</v>
      </c>
      <c r="AV268" s="32">
        <f>$E218*Common!AW$69</f>
        <v>0</v>
      </c>
      <c r="AW268" s="32">
        <f>$E218*Common!AX$69</f>
        <v>0</v>
      </c>
      <c r="AX268" s="32">
        <f>$E218*Common!AY$69</f>
        <v>0</v>
      </c>
      <c r="AY268" s="32">
        <f>$E218*Common!AZ$69</f>
        <v>0</v>
      </c>
      <c r="AZ268" s="32">
        <f>$E218*Common!BA$69</f>
        <v>0</v>
      </c>
      <c r="BA268" s="32">
        <f>$E218*Common!BB$69</f>
        <v>0</v>
      </c>
      <c r="BB268" s="32">
        <f>$E218*Common!BC$69</f>
        <v>0</v>
      </c>
      <c r="BC268" s="32">
        <f>$E218*Common!BD$69</f>
        <v>0</v>
      </c>
      <c r="BD268" s="32">
        <f>$E218*Common!BE$69</f>
        <v>0</v>
      </c>
      <c r="BE268" s="32">
        <f>$E218*Common!BF$69</f>
        <v>0</v>
      </c>
      <c r="BF268" s="32">
        <f>$E218*Common!BG$69</f>
        <v>0</v>
      </c>
      <c r="BG268" s="32">
        <f>$E218*Common!BH$69</f>
        <v>0</v>
      </c>
      <c r="BH268" s="32">
        <f>$E218*Common!BI$69</f>
        <v>0</v>
      </c>
      <c r="BI268" s="32">
        <f>$E218*Common!BJ$69</f>
        <v>0</v>
      </c>
      <c r="BJ268" s="32">
        <f>$E218*Common!BK$69</f>
        <v>0</v>
      </c>
      <c r="BK268" s="32">
        <f>$E218*Common!BL$69</f>
        <v>0</v>
      </c>
      <c r="BL268" s="32">
        <f>$E218*Common!BM$69</f>
        <v>0</v>
      </c>
      <c r="BM268" s="32">
        <f>$E218*Common!BN$69</f>
        <v>0</v>
      </c>
      <c r="BN268" s="32">
        <f>$E218*Common!BO$69</f>
        <v>0</v>
      </c>
      <c r="BO268" s="32">
        <f>$E218*Common!BP$69</f>
        <v>0</v>
      </c>
      <c r="BP268" s="32">
        <f>$E218*Common!BQ$69</f>
        <v>0</v>
      </c>
      <c r="BQ268" s="32">
        <f>$E218*Common!BR$69</f>
        <v>0</v>
      </c>
      <c r="BR268" s="32">
        <f>$E218*Common!BS$69</f>
        <v>0</v>
      </c>
      <c r="BS268" s="32">
        <f>$E218*Common!BT$69</f>
        <v>0</v>
      </c>
      <c r="BT268" s="32">
        <f>$E218*Common!BU$69</f>
        <v>0</v>
      </c>
      <c r="BU268" s="32">
        <f>$E218*Common!BV$69</f>
        <v>0</v>
      </c>
      <c r="BV268" s="32">
        <f>$E218*Common!BW$69</f>
        <v>0</v>
      </c>
      <c r="BW268" s="32">
        <f>$E218*Common!BX$69</f>
        <v>0</v>
      </c>
      <c r="BX268" s="32">
        <f>$E218*Common!BY$69</f>
        <v>0</v>
      </c>
      <c r="BY268" s="32">
        <f>$E218*Common!BZ$69</f>
        <v>0</v>
      </c>
      <c r="BZ268" s="32">
        <f>$E218*Common!CA$69</f>
        <v>0</v>
      </c>
      <c r="CA268" s="32">
        <f>$E218*Common!CB$69</f>
        <v>0</v>
      </c>
      <c r="CB268" s="32">
        <f>$E218*Common!CC$69</f>
        <v>0</v>
      </c>
      <c r="CC268" s="32">
        <f>$E218*Common!CD$69</f>
        <v>0</v>
      </c>
      <c r="CD268" s="32">
        <f>$E218*Common!CE$69</f>
        <v>0</v>
      </c>
      <c r="CE268" s="32">
        <f>$E218*Common!CF$69</f>
        <v>0</v>
      </c>
      <c r="CF268" s="32">
        <f>$E218*Common!CG$69</f>
        <v>0</v>
      </c>
      <c r="CG268" s="32">
        <f>$E218*Common!CH$69</f>
        <v>0</v>
      </c>
      <c r="CH268" s="32">
        <f>$E218*Common!CI$69</f>
        <v>0</v>
      </c>
      <c r="CI268" s="32">
        <f>$E218*Common!CJ$69</f>
        <v>0</v>
      </c>
      <c r="CR268" s="32">
        <f t="shared" ref="CR268:CS268" si="45">C218</f>
        <v>0.7</v>
      </c>
      <c r="CS268" s="32">
        <f t="shared" si="45"/>
        <v>0</v>
      </c>
      <c r="CV268">
        <f t="shared" si="24"/>
        <v>0</v>
      </c>
      <c r="CW268">
        <f t="shared" si="25"/>
        <v>0</v>
      </c>
      <c r="CX268">
        <f t="shared" si="26"/>
        <v>0</v>
      </c>
      <c r="CY268">
        <f t="shared" si="27"/>
        <v>0</v>
      </c>
      <c r="CZ268">
        <f t="shared" si="28"/>
        <v>0</v>
      </c>
      <c r="DA268">
        <f t="shared" si="29"/>
        <v>0</v>
      </c>
      <c r="DB268">
        <f t="shared" si="30"/>
        <v>0</v>
      </c>
      <c r="DF268" s="32">
        <f t="shared" si="31"/>
        <v>2.8526767124165886</v>
      </c>
      <c r="DI268">
        <f>SUM('SS Material Flow'!C199:J199)/'SS Material Flow'!B108</f>
        <v>0.98650000000000004</v>
      </c>
      <c r="DK268">
        <f>'SS Material Flow'!B199/'SS Material Flow'!B108</f>
        <v>1.3500000000000009E-2</v>
      </c>
    </row>
    <row r="269" spans="1:115" x14ac:dyDescent="0.35">
      <c r="A269" t="str">
        <f t="shared" si="21"/>
        <v>Mixed Paper</v>
      </c>
      <c r="B269" s="32">
        <f>$E219*Common!C$69</f>
        <v>0.25691394378724947</v>
      </c>
      <c r="C269" s="32">
        <f>$E219*Common!D$69</f>
        <v>0</v>
      </c>
      <c r="D269" s="32">
        <f>$E219*Common!E$69</f>
        <v>0</v>
      </c>
      <c r="E269" s="32">
        <f>$E219*Common!F$69</f>
        <v>0</v>
      </c>
      <c r="F269" s="32">
        <f>$E219*Common!G$69</f>
        <v>0</v>
      </c>
      <c r="G269" s="32">
        <f>$E219*Common!H$69</f>
        <v>0</v>
      </c>
      <c r="H269" s="32">
        <f>$E219*Common!I$69</f>
        <v>0</v>
      </c>
      <c r="I269" s="32">
        <f>$E219*Common!J$69</f>
        <v>0</v>
      </c>
      <c r="J269" s="32">
        <f>$E219*Common!K$69</f>
        <v>0</v>
      </c>
      <c r="K269" s="32">
        <f>$E219*Common!L$69</f>
        <v>0</v>
      </c>
      <c r="L269" s="32">
        <f>$E219*Common!M$69</f>
        <v>0</v>
      </c>
      <c r="M269" s="32">
        <f>$E219*Common!N$69</f>
        <v>0</v>
      </c>
      <c r="N269" s="32">
        <f>$E219*Common!O$69</f>
        <v>0</v>
      </c>
      <c r="O269" s="32">
        <f>$E219*Common!P$69</f>
        <v>0</v>
      </c>
      <c r="P269" s="32">
        <f>$E219*Common!Q$69</f>
        <v>0</v>
      </c>
      <c r="Q269" s="32">
        <f>$E219*Common!R$69</f>
        <v>0</v>
      </c>
      <c r="R269" s="32">
        <f>$E219*Common!S$69</f>
        <v>0</v>
      </c>
      <c r="S269" s="32">
        <f>$E219*Common!T$69</f>
        <v>0</v>
      </c>
      <c r="T269" s="32">
        <f>$E219*Common!U$69</f>
        <v>0</v>
      </c>
      <c r="U269" s="32">
        <f>$E219*Common!V$69</f>
        <v>0</v>
      </c>
      <c r="V269" s="32">
        <f>$E219*Common!W$69</f>
        <v>0</v>
      </c>
      <c r="W269" s="32">
        <f>$E219*Common!X$69</f>
        <v>0</v>
      </c>
      <c r="X269" s="32">
        <f>$E219*Common!Y$69</f>
        <v>0</v>
      </c>
      <c r="Y269" s="32">
        <f>$E219*Common!Z$69</f>
        <v>0</v>
      </c>
      <c r="Z269" s="32">
        <f>$E219*Common!AA$69</f>
        <v>0</v>
      </c>
      <c r="AA269" s="32">
        <f>$E219*Common!AB$69</f>
        <v>0</v>
      </c>
      <c r="AB269" s="32">
        <f>$E219*Common!AC$69</f>
        <v>0</v>
      </c>
      <c r="AC269" s="32">
        <f>$E219*Common!AD$69</f>
        <v>0</v>
      </c>
      <c r="AD269" s="32">
        <f>$E219*Common!AE$69</f>
        <v>0</v>
      </c>
      <c r="AE269" s="32">
        <f>$E219*Common!AF$69</f>
        <v>0</v>
      </c>
      <c r="AF269" s="32">
        <f>$E219*Common!AG$69</f>
        <v>0</v>
      </c>
      <c r="AG269" s="32">
        <f>$E219*Common!AH$69</f>
        <v>0</v>
      </c>
      <c r="AH269" s="32">
        <f>$E219*Common!AI$69</f>
        <v>0</v>
      </c>
      <c r="AI269" s="32">
        <f>$E219*Common!AJ$69</f>
        <v>0</v>
      </c>
      <c r="AJ269" s="32">
        <f>$E219*Common!AK$69</f>
        <v>0</v>
      </c>
      <c r="AK269" s="32">
        <f>$E219*Common!AL$69</f>
        <v>0</v>
      </c>
      <c r="AL269" s="32">
        <f>$E219*Common!AM$69</f>
        <v>0</v>
      </c>
      <c r="AM269" s="32">
        <f>$E219*Common!AN$69</f>
        <v>0</v>
      </c>
      <c r="AN269" s="32">
        <f>$E219*Common!AO$69</f>
        <v>0</v>
      </c>
      <c r="AO269" s="32">
        <f>$E219*Common!AP$69</f>
        <v>0</v>
      </c>
      <c r="AP269" s="32">
        <f>$E219*Common!AQ$69</f>
        <v>0</v>
      </c>
      <c r="AQ269" s="32">
        <f>$E219*Common!AR$69</f>
        <v>0</v>
      </c>
      <c r="AR269" s="32">
        <f>$E219*Common!AS$69</f>
        <v>0</v>
      </c>
      <c r="AS269" s="32">
        <f>$E219*Common!AT$69</f>
        <v>0</v>
      </c>
      <c r="AT269" s="32">
        <f>$E219*Common!AU$69</f>
        <v>0</v>
      </c>
      <c r="AU269" s="32">
        <f>$E219*Common!AV$69</f>
        <v>0</v>
      </c>
      <c r="AV269" s="32">
        <f>$E219*Common!AW$69</f>
        <v>0</v>
      </c>
      <c r="AW269" s="32">
        <f>$E219*Common!AX$69</f>
        <v>0</v>
      </c>
      <c r="AX269" s="32">
        <f>$E219*Common!AY$69</f>
        <v>0</v>
      </c>
      <c r="AY269" s="32">
        <f>$E219*Common!AZ$69</f>
        <v>0</v>
      </c>
      <c r="AZ269" s="32">
        <f>$E219*Common!BA$69</f>
        <v>0</v>
      </c>
      <c r="BA269" s="32">
        <f>$E219*Common!BB$69</f>
        <v>0</v>
      </c>
      <c r="BB269" s="32">
        <f>$E219*Common!BC$69</f>
        <v>0</v>
      </c>
      <c r="BC269" s="32">
        <f>$E219*Common!BD$69</f>
        <v>0</v>
      </c>
      <c r="BD269" s="32">
        <f>$E219*Common!BE$69</f>
        <v>0</v>
      </c>
      <c r="BE269" s="32">
        <f>$E219*Common!BF$69</f>
        <v>0</v>
      </c>
      <c r="BF269" s="32">
        <f>$E219*Common!BG$69</f>
        <v>0</v>
      </c>
      <c r="BG269" s="32">
        <f>$E219*Common!BH$69</f>
        <v>0</v>
      </c>
      <c r="BH269" s="32">
        <f>$E219*Common!BI$69</f>
        <v>0</v>
      </c>
      <c r="BI269" s="32">
        <f>$E219*Common!BJ$69</f>
        <v>0</v>
      </c>
      <c r="BJ269" s="32">
        <f>$E219*Common!BK$69</f>
        <v>0</v>
      </c>
      <c r="BK269" s="32">
        <f>$E219*Common!BL$69</f>
        <v>0</v>
      </c>
      <c r="BL269" s="32">
        <f>$E219*Common!BM$69</f>
        <v>0</v>
      </c>
      <c r="BM269" s="32">
        <f>$E219*Common!BN$69</f>
        <v>0</v>
      </c>
      <c r="BN269" s="32">
        <f>$E219*Common!BO$69</f>
        <v>0</v>
      </c>
      <c r="BO269" s="32">
        <f>$E219*Common!BP$69</f>
        <v>0</v>
      </c>
      <c r="BP269" s="32">
        <f>$E219*Common!BQ$69</f>
        <v>0</v>
      </c>
      <c r="BQ269" s="32">
        <f>$E219*Common!BR$69</f>
        <v>0</v>
      </c>
      <c r="BR269" s="32">
        <f>$E219*Common!BS$69</f>
        <v>0</v>
      </c>
      <c r="BS269" s="32">
        <f>$E219*Common!BT$69</f>
        <v>0</v>
      </c>
      <c r="BT269" s="32">
        <f>$E219*Common!BU$69</f>
        <v>0</v>
      </c>
      <c r="BU269" s="32">
        <f>$E219*Common!BV$69</f>
        <v>0</v>
      </c>
      <c r="BV269" s="32">
        <f>$E219*Common!BW$69</f>
        <v>0</v>
      </c>
      <c r="BW269" s="32">
        <f>$E219*Common!BX$69</f>
        <v>0</v>
      </c>
      <c r="BX269" s="32">
        <f>$E219*Common!BY$69</f>
        <v>0</v>
      </c>
      <c r="BY269" s="32">
        <f>$E219*Common!BZ$69</f>
        <v>0</v>
      </c>
      <c r="BZ269" s="32">
        <f>$E219*Common!CA$69</f>
        <v>0</v>
      </c>
      <c r="CA269" s="32">
        <f>$E219*Common!CB$69</f>
        <v>0</v>
      </c>
      <c r="CB269" s="32">
        <f>$E219*Common!CC$69</f>
        <v>0</v>
      </c>
      <c r="CC269" s="32">
        <f>$E219*Common!CD$69</f>
        <v>0</v>
      </c>
      <c r="CD269" s="32">
        <f>$E219*Common!CE$69</f>
        <v>0</v>
      </c>
      <c r="CE269" s="32">
        <f>$E219*Common!CF$69</f>
        <v>0</v>
      </c>
      <c r="CF269" s="32">
        <f>$E219*Common!CG$69</f>
        <v>0</v>
      </c>
      <c r="CG269" s="32">
        <f>$E219*Common!CH$69</f>
        <v>0</v>
      </c>
      <c r="CH269" s="32">
        <f>$E219*Common!CI$69</f>
        <v>0</v>
      </c>
      <c r="CI269" s="32">
        <f>$E219*Common!CJ$69</f>
        <v>0</v>
      </c>
      <c r="CR269" s="32">
        <f t="shared" ref="CR269:CS269" si="46">C219</f>
        <v>0.7</v>
      </c>
      <c r="CS269" s="32">
        <f t="shared" si="46"/>
        <v>0</v>
      </c>
      <c r="CV269">
        <f t="shared" si="24"/>
        <v>0</v>
      </c>
      <c r="CW269">
        <f t="shared" si="25"/>
        <v>0</v>
      </c>
      <c r="CX269">
        <f t="shared" si="26"/>
        <v>0</v>
      </c>
      <c r="CY269">
        <f t="shared" si="27"/>
        <v>0</v>
      </c>
      <c r="CZ269">
        <f t="shared" si="28"/>
        <v>0</v>
      </c>
      <c r="DA269">
        <f t="shared" si="29"/>
        <v>0</v>
      </c>
      <c r="DB269">
        <f t="shared" si="30"/>
        <v>0</v>
      </c>
      <c r="DF269" s="32">
        <f t="shared" si="31"/>
        <v>2.8526767124165886</v>
      </c>
      <c r="DI269">
        <f>SUM('SS Material Flow'!C200:J200)/'SS Material Flow'!B109</f>
        <v>0.98650000000000004</v>
      </c>
      <c r="DK269">
        <f>'SS Material Flow'!B200/'SS Material Flow'!B109</f>
        <v>1.3500000000000009E-2</v>
      </c>
    </row>
    <row r="270" spans="1:115" x14ac:dyDescent="0.35">
      <c r="A270" t="str">
        <f t="shared" si="21"/>
        <v>Paper - Non-recyclable</v>
      </c>
      <c r="B270" s="32">
        <f>$E220*Common!C$69</f>
        <v>0</v>
      </c>
      <c r="C270" s="32">
        <f>$E220*Common!D$69</f>
        <v>0</v>
      </c>
      <c r="D270" s="32">
        <f>$E220*Common!E$69</f>
        <v>0</v>
      </c>
      <c r="E270" s="32">
        <f>$E220*Common!F$69</f>
        <v>0</v>
      </c>
      <c r="F270" s="32">
        <f>$E220*Common!G$69</f>
        <v>0</v>
      </c>
      <c r="G270" s="32">
        <f>$E220*Common!H$69</f>
        <v>0</v>
      </c>
      <c r="H270" s="32">
        <f>$E220*Common!I$69</f>
        <v>0</v>
      </c>
      <c r="I270" s="32">
        <f>$E220*Common!J$69</f>
        <v>0</v>
      </c>
      <c r="J270" s="32">
        <f>$E220*Common!K$69</f>
        <v>0</v>
      </c>
      <c r="K270" s="32">
        <f>$E220*Common!L$69</f>
        <v>0</v>
      </c>
      <c r="L270" s="32">
        <f>$E220*Common!M$69</f>
        <v>0</v>
      </c>
      <c r="M270" s="32">
        <f>$E220*Common!N$69</f>
        <v>0</v>
      </c>
      <c r="N270" s="32">
        <f>$E220*Common!O$69</f>
        <v>0</v>
      </c>
      <c r="O270" s="32">
        <f>$E220*Common!P$69</f>
        <v>0</v>
      </c>
      <c r="P270" s="32">
        <f>$E220*Common!Q$69</f>
        <v>0</v>
      </c>
      <c r="Q270" s="32">
        <f>$E220*Common!R$69</f>
        <v>0</v>
      </c>
      <c r="R270" s="32">
        <f>$E220*Common!S$69</f>
        <v>0</v>
      </c>
      <c r="S270" s="32">
        <f>$E220*Common!T$69</f>
        <v>0</v>
      </c>
      <c r="T270" s="32">
        <f>$E220*Common!U$69</f>
        <v>0</v>
      </c>
      <c r="U270" s="32">
        <f>$E220*Common!V$69</f>
        <v>0</v>
      </c>
      <c r="V270" s="32">
        <f>$E220*Common!W$69</f>
        <v>0</v>
      </c>
      <c r="W270" s="32">
        <f>$E220*Common!X$69</f>
        <v>0</v>
      </c>
      <c r="X270" s="32">
        <f>$E220*Common!Y$69</f>
        <v>0</v>
      </c>
      <c r="Y270" s="32">
        <f>$E220*Common!Z$69</f>
        <v>0</v>
      </c>
      <c r="Z270" s="32">
        <f>$E220*Common!AA$69</f>
        <v>0</v>
      </c>
      <c r="AA270" s="32">
        <f>$E220*Common!AB$69</f>
        <v>0</v>
      </c>
      <c r="AB270" s="32">
        <f>$E220*Common!AC$69</f>
        <v>0</v>
      </c>
      <c r="AC270" s="32">
        <f>$E220*Common!AD$69</f>
        <v>0</v>
      </c>
      <c r="AD270" s="32">
        <f>$E220*Common!AE$69</f>
        <v>0</v>
      </c>
      <c r="AE270" s="32">
        <f>$E220*Common!AF$69</f>
        <v>0</v>
      </c>
      <c r="AF270" s="32">
        <f>$E220*Common!AG$69</f>
        <v>0</v>
      </c>
      <c r="AG270" s="32">
        <f>$E220*Common!AH$69</f>
        <v>0</v>
      </c>
      <c r="AH270" s="32">
        <f>$E220*Common!AI$69</f>
        <v>0</v>
      </c>
      <c r="AI270" s="32">
        <f>$E220*Common!AJ$69</f>
        <v>0</v>
      </c>
      <c r="AJ270" s="32">
        <f>$E220*Common!AK$69</f>
        <v>0</v>
      </c>
      <c r="AK270" s="32">
        <f>$E220*Common!AL$69</f>
        <v>0</v>
      </c>
      <c r="AL270" s="32">
        <f>$E220*Common!AM$69</f>
        <v>0</v>
      </c>
      <c r="AM270" s="32">
        <f>$E220*Common!AN$69</f>
        <v>0</v>
      </c>
      <c r="AN270" s="32">
        <f>$E220*Common!AO$69</f>
        <v>0</v>
      </c>
      <c r="AO270" s="32">
        <f>$E220*Common!AP$69</f>
        <v>0</v>
      </c>
      <c r="AP270" s="32">
        <f>$E220*Common!AQ$69</f>
        <v>0</v>
      </c>
      <c r="AQ270" s="32">
        <f>$E220*Common!AR$69</f>
        <v>0</v>
      </c>
      <c r="AR270" s="32">
        <f>$E220*Common!AS$69</f>
        <v>0</v>
      </c>
      <c r="AS270" s="32">
        <f>$E220*Common!AT$69</f>
        <v>0</v>
      </c>
      <c r="AT270" s="32">
        <f>$E220*Common!AU$69</f>
        <v>0</v>
      </c>
      <c r="AU270" s="32">
        <f>$E220*Common!AV$69</f>
        <v>0</v>
      </c>
      <c r="AV270" s="32">
        <f>$E220*Common!AW$69</f>
        <v>0</v>
      </c>
      <c r="AW270" s="32">
        <f>$E220*Common!AX$69</f>
        <v>0</v>
      </c>
      <c r="AX270" s="32">
        <f>$E220*Common!AY$69</f>
        <v>0</v>
      </c>
      <c r="AY270" s="32">
        <f>$E220*Common!AZ$69</f>
        <v>0</v>
      </c>
      <c r="AZ270" s="32">
        <f>$E220*Common!BA$69</f>
        <v>0</v>
      </c>
      <c r="BA270" s="32">
        <f>$E220*Common!BB$69</f>
        <v>0</v>
      </c>
      <c r="BB270" s="32">
        <f>$E220*Common!BC$69</f>
        <v>0</v>
      </c>
      <c r="BC270" s="32">
        <f>$E220*Common!BD$69</f>
        <v>0</v>
      </c>
      <c r="BD270" s="32">
        <f>$E220*Common!BE$69</f>
        <v>0</v>
      </c>
      <c r="BE270" s="32">
        <f>$E220*Common!BF$69</f>
        <v>0</v>
      </c>
      <c r="BF270" s="32">
        <f>$E220*Common!BG$69</f>
        <v>0</v>
      </c>
      <c r="BG270" s="32">
        <f>$E220*Common!BH$69</f>
        <v>0</v>
      </c>
      <c r="BH270" s="32">
        <f>$E220*Common!BI$69</f>
        <v>0</v>
      </c>
      <c r="BI270" s="32">
        <f>$E220*Common!BJ$69</f>
        <v>0</v>
      </c>
      <c r="BJ270" s="32">
        <f>$E220*Common!BK$69</f>
        <v>0</v>
      </c>
      <c r="BK270" s="32">
        <f>$E220*Common!BL$69</f>
        <v>0</v>
      </c>
      <c r="BL270" s="32">
        <f>$E220*Common!BM$69</f>
        <v>0</v>
      </c>
      <c r="BM270" s="32">
        <f>$E220*Common!BN$69</f>
        <v>0</v>
      </c>
      <c r="BN270" s="32">
        <f>$E220*Common!BO$69</f>
        <v>0</v>
      </c>
      <c r="BO270" s="32">
        <f>$E220*Common!BP$69</f>
        <v>0</v>
      </c>
      <c r="BP270" s="32">
        <f>$E220*Common!BQ$69</f>
        <v>0</v>
      </c>
      <c r="BQ270" s="32">
        <f>$E220*Common!BR$69</f>
        <v>0</v>
      </c>
      <c r="BR270" s="32">
        <f>$E220*Common!BS$69</f>
        <v>0</v>
      </c>
      <c r="BS270" s="32">
        <f>$E220*Common!BT$69</f>
        <v>0</v>
      </c>
      <c r="BT270" s="32">
        <f>$E220*Common!BU$69</f>
        <v>0</v>
      </c>
      <c r="BU270" s="32">
        <f>$E220*Common!BV$69</f>
        <v>0</v>
      </c>
      <c r="BV270" s="32">
        <f>$E220*Common!BW$69</f>
        <v>0</v>
      </c>
      <c r="BW270" s="32">
        <f>$E220*Common!BX$69</f>
        <v>0</v>
      </c>
      <c r="BX270" s="32">
        <f>$E220*Common!BY$69</f>
        <v>0</v>
      </c>
      <c r="BY270" s="32">
        <f>$E220*Common!BZ$69</f>
        <v>0</v>
      </c>
      <c r="BZ270" s="32">
        <f>$E220*Common!CA$69</f>
        <v>0</v>
      </c>
      <c r="CA270" s="32">
        <f>$E220*Common!CB$69</f>
        <v>0</v>
      </c>
      <c r="CB270" s="32">
        <f>$E220*Common!CC$69</f>
        <v>0</v>
      </c>
      <c r="CC270" s="32">
        <f>$E220*Common!CD$69</f>
        <v>0</v>
      </c>
      <c r="CD270" s="32">
        <f>$E220*Common!CE$69</f>
        <v>0</v>
      </c>
      <c r="CE270" s="32">
        <f>$E220*Common!CF$69</f>
        <v>0</v>
      </c>
      <c r="CF270" s="32">
        <f>$E220*Common!CG$69</f>
        <v>0</v>
      </c>
      <c r="CG270" s="32">
        <f>$E220*Common!CH$69</f>
        <v>0</v>
      </c>
      <c r="CH270" s="32">
        <f>$E220*Common!CI$69</f>
        <v>0</v>
      </c>
      <c r="CI270" s="32">
        <f>$E220*Common!CJ$69</f>
        <v>0</v>
      </c>
      <c r="CR270" s="32">
        <f t="shared" ref="CR270:CS270" si="47">C220</f>
        <v>0.7</v>
      </c>
      <c r="CS270" s="32">
        <f t="shared" si="47"/>
        <v>0</v>
      </c>
      <c r="CV270">
        <f t="shared" si="24"/>
        <v>0</v>
      </c>
      <c r="CW270">
        <f t="shared" si="25"/>
        <v>0</v>
      </c>
      <c r="CX270">
        <f t="shared" si="26"/>
        <v>0</v>
      </c>
      <c r="CY270">
        <f t="shared" si="27"/>
        <v>0</v>
      </c>
      <c r="CZ270">
        <f t="shared" si="28"/>
        <v>0</v>
      </c>
      <c r="DA270">
        <f t="shared" si="29"/>
        <v>0</v>
      </c>
      <c r="DB270">
        <f t="shared" si="30"/>
        <v>0</v>
      </c>
      <c r="DF270" s="32">
        <f t="shared" si="31"/>
        <v>3.5917727575846561</v>
      </c>
      <c r="DI270">
        <f>SUM('SS Material Flow'!C201:J201)/'SS Material Flow'!B110</f>
        <v>0</v>
      </c>
      <c r="DK270">
        <f>'SS Material Flow'!B201/'SS Material Flow'!B110</f>
        <v>1</v>
      </c>
    </row>
    <row r="271" spans="1:115" x14ac:dyDescent="0.35">
      <c r="A271" t="str">
        <f t="shared" si="21"/>
        <v>HDPE - Translucent Containers</v>
      </c>
      <c r="B271" s="32">
        <f>$E221*Common!C$69</f>
        <v>1.0961385549456113</v>
      </c>
      <c r="C271" s="32">
        <f>$E221*Common!D$69</f>
        <v>0</v>
      </c>
      <c r="D271" s="32">
        <f>$E221*Common!E$69</f>
        <v>0</v>
      </c>
      <c r="E271" s="32">
        <f>$E221*Common!F$69</f>
        <v>0</v>
      </c>
      <c r="F271" s="32">
        <f>$E221*Common!G$69</f>
        <v>0</v>
      </c>
      <c r="G271" s="32">
        <f>$E221*Common!H$69</f>
        <v>0</v>
      </c>
      <c r="H271" s="32">
        <f>$E221*Common!I$69</f>
        <v>0</v>
      </c>
      <c r="I271" s="32">
        <f>$E221*Common!J$69</f>
        <v>0</v>
      </c>
      <c r="J271" s="32">
        <f>$E221*Common!K$69</f>
        <v>0</v>
      </c>
      <c r="K271" s="32">
        <f>$E221*Common!L$69</f>
        <v>0</v>
      </c>
      <c r="L271" s="32">
        <f>$E221*Common!M$69</f>
        <v>0</v>
      </c>
      <c r="M271" s="32">
        <f>$E221*Common!N$69</f>
        <v>0</v>
      </c>
      <c r="N271" s="32">
        <f>$E221*Common!O$69</f>
        <v>0</v>
      </c>
      <c r="O271" s="32">
        <f>$E221*Common!P$69</f>
        <v>0</v>
      </c>
      <c r="P271" s="32">
        <f>$E221*Common!Q$69</f>
        <v>0</v>
      </c>
      <c r="Q271" s="32">
        <f>$E221*Common!R$69</f>
        <v>0</v>
      </c>
      <c r="R271" s="32">
        <f>$E221*Common!S$69</f>
        <v>0</v>
      </c>
      <c r="S271" s="32">
        <f>$E221*Common!T$69</f>
        <v>0</v>
      </c>
      <c r="T271" s="32">
        <f>$E221*Common!U$69</f>
        <v>0</v>
      </c>
      <c r="U271" s="32">
        <f>$E221*Common!V$69</f>
        <v>0</v>
      </c>
      <c r="V271" s="32">
        <f>$E221*Common!W$69</f>
        <v>0</v>
      </c>
      <c r="W271" s="32">
        <f>$E221*Common!X$69</f>
        <v>0</v>
      </c>
      <c r="X271" s="32">
        <f>$E221*Common!Y$69</f>
        <v>0</v>
      </c>
      <c r="Y271" s="32">
        <f>$E221*Common!Z$69</f>
        <v>0</v>
      </c>
      <c r="Z271" s="32">
        <f>$E221*Common!AA$69</f>
        <v>0</v>
      </c>
      <c r="AA271" s="32">
        <f>$E221*Common!AB$69</f>
        <v>0</v>
      </c>
      <c r="AB271" s="32">
        <f>$E221*Common!AC$69</f>
        <v>0</v>
      </c>
      <c r="AC271" s="32">
        <f>$E221*Common!AD$69</f>
        <v>0</v>
      </c>
      <c r="AD271" s="32">
        <f>$E221*Common!AE$69</f>
        <v>0</v>
      </c>
      <c r="AE271" s="32">
        <f>$E221*Common!AF$69</f>
        <v>0</v>
      </c>
      <c r="AF271" s="32">
        <f>$E221*Common!AG$69</f>
        <v>0</v>
      </c>
      <c r="AG271" s="32">
        <f>$E221*Common!AH$69</f>
        <v>0</v>
      </c>
      <c r="AH271" s="32">
        <f>$E221*Common!AI$69</f>
        <v>0</v>
      </c>
      <c r="AI271" s="32">
        <f>$E221*Common!AJ$69</f>
        <v>0</v>
      </c>
      <c r="AJ271" s="32">
        <f>$E221*Common!AK$69</f>
        <v>0</v>
      </c>
      <c r="AK271" s="32">
        <f>$E221*Common!AL$69</f>
        <v>0</v>
      </c>
      <c r="AL271" s="32">
        <f>$E221*Common!AM$69</f>
        <v>0</v>
      </c>
      <c r="AM271" s="32">
        <f>$E221*Common!AN$69</f>
        <v>0</v>
      </c>
      <c r="AN271" s="32">
        <f>$E221*Common!AO$69</f>
        <v>0</v>
      </c>
      <c r="AO271" s="32">
        <f>$E221*Common!AP$69</f>
        <v>0</v>
      </c>
      <c r="AP271" s="32">
        <f>$E221*Common!AQ$69</f>
        <v>0</v>
      </c>
      <c r="AQ271" s="32">
        <f>$E221*Common!AR$69</f>
        <v>0</v>
      </c>
      <c r="AR271" s="32">
        <f>$E221*Common!AS$69</f>
        <v>0</v>
      </c>
      <c r="AS271" s="32">
        <f>$E221*Common!AT$69</f>
        <v>0</v>
      </c>
      <c r="AT271" s="32">
        <f>$E221*Common!AU$69</f>
        <v>0</v>
      </c>
      <c r="AU271" s="32">
        <f>$E221*Common!AV$69</f>
        <v>0</v>
      </c>
      <c r="AV271" s="32">
        <f>$E221*Common!AW$69</f>
        <v>0</v>
      </c>
      <c r="AW271" s="32">
        <f>$E221*Common!AX$69</f>
        <v>0</v>
      </c>
      <c r="AX271" s="32">
        <f>$E221*Common!AY$69</f>
        <v>0</v>
      </c>
      <c r="AY271" s="32">
        <f>$E221*Common!AZ$69</f>
        <v>0</v>
      </c>
      <c r="AZ271" s="32">
        <f>$E221*Common!BA$69</f>
        <v>0</v>
      </c>
      <c r="BA271" s="32">
        <f>$E221*Common!BB$69</f>
        <v>0</v>
      </c>
      <c r="BB271" s="32">
        <f>$E221*Common!BC$69</f>
        <v>0</v>
      </c>
      <c r="BC271" s="32">
        <f>$E221*Common!BD$69</f>
        <v>0</v>
      </c>
      <c r="BD271" s="32">
        <f>$E221*Common!BE$69</f>
        <v>0</v>
      </c>
      <c r="BE271" s="32">
        <f>$E221*Common!BF$69</f>
        <v>0</v>
      </c>
      <c r="BF271" s="32">
        <f>$E221*Common!BG$69</f>
        <v>0</v>
      </c>
      <c r="BG271" s="32">
        <f>$E221*Common!BH$69</f>
        <v>0</v>
      </c>
      <c r="BH271" s="32">
        <f>$E221*Common!BI$69</f>
        <v>0</v>
      </c>
      <c r="BI271" s="32">
        <f>$E221*Common!BJ$69</f>
        <v>0</v>
      </c>
      <c r="BJ271" s="32">
        <f>$E221*Common!BK$69</f>
        <v>0</v>
      </c>
      <c r="BK271" s="32">
        <f>$E221*Common!BL$69</f>
        <v>0</v>
      </c>
      <c r="BL271" s="32">
        <f>$E221*Common!BM$69</f>
        <v>0</v>
      </c>
      <c r="BM271" s="32">
        <f>$E221*Common!BN$69</f>
        <v>0</v>
      </c>
      <c r="BN271" s="32">
        <f>$E221*Common!BO$69</f>
        <v>0</v>
      </c>
      <c r="BO271" s="32">
        <f>$E221*Common!BP$69</f>
        <v>0</v>
      </c>
      <c r="BP271" s="32">
        <f>$E221*Common!BQ$69</f>
        <v>0</v>
      </c>
      <c r="BQ271" s="32">
        <f>$E221*Common!BR$69</f>
        <v>0</v>
      </c>
      <c r="BR271" s="32">
        <f>$E221*Common!BS$69</f>
        <v>0</v>
      </c>
      <c r="BS271" s="32">
        <f>$E221*Common!BT$69</f>
        <v>0</v>
      </c>
      <c r="BT271" s="32">
        <f>$E221*Common!BU$69</f>
        <v>0</v>
      </c>
      <c r="BU271" s="32">
        <f>$E221*Common!BV$69</f>
        <v>0</v>
      </c>
      <c r="BV271" s="32">
        <f>$E221*Common!BW$69</f>
        <v>0</v>
      </c>
      <c r="BW271" s="32">
        <f>$E221*Common!BX$69</f>
        <v>0</v>
      </c>
      <c r="BX271" s="32">
        <f>$E221*Common!BY$69</f>
        <v>0</v>
      </c>
      <c r="BY271" s="32">
        <f>$E221*Common!BZ$69</f>
        <v>0</v>
      </c>
      <c r="BZ271" s="32">
        <f>$E221*Common!CA$69</f>
        <v>0</v>
      </c>
      <c r="CA271" s="32">
        <f>$E221*Common!CB$69</f>
        <v>0</v>
      </c>
      <c r="CB271" s="32">
        <f>$E221*Common!CC$69</f>
        <v>0</v>
      </c>
      <c r="CC271" s="32">
        <f>$E221*Common!CD$69</f>
        <v>0</v>
      </c>
      <c r="CD271" s="32">
        <f>$E221*Common!CE$69</f>
        <v>0</v>
      </c>
      <c r="CE271" s="32">
        <f>$E221*Common!CF$69</f>
        <v>0</v>
      </c>
      <c r="CF271" s="32">
        <f>$E221*Common!CG$69</f>
        <v>0</v>
      </c>
      <c r="CG271" s="32">
        <f>$E221*Common!CH$69</f>
        <v>0</v>
      </c>
      <c r="CH271" s="32">
        <f>$E221*Common!CI$69</f>
        <v>0</v>
      </c>
      <c r="CI271" s="32">
        <f>$E221*Common!CJ$69</f>
        <v>0</v>
      </c>
      <c r="CR271" s="32">
        <f t="shared" ref="CR271:CS271" si="48">C221</f>
        <v>0.7</v>
      </c>
      <c r="CS271" s="32">
        <f t="shared" si="48"/>
        <v>0</v>
      </c>
      <c r="CV271">
        <f t="shared" si="24"/>
        <v>0</v>
      </c>
      <c r="CW271">
        <f t="shared" si="25"/>
        <v>0</v>
      </c>
      <c r="CX271">
        <f t="shared" si="26"/>
        <v>0</v>
      </c>
      <c r="CY271">
        <f t="shared" si="27"/>
        <v>0</v>
      </c>
      <c r="CZ271">
        <f t="shared" si="28"/>
        <v>0</v>
      </c>
      <c r="DA271">
        <f t="shared" si="29"/>
        <v>0</v>
      </c>
      <c r="DB271">
        <f t="shared" si="30"/>
        <v>0</v>
      </c>
      <c r="DF271" s="32">
        <f t="shared" si="31"/>
        <v>13.278024228549562</v>
      </c>
      <c r="DI271">
        <f>SUM('SS Material Flow'!C202:J202)/'SS Material Flow'!B111</f>
        <v>0.98002999999999996</v>
      </c>
      <c r="DK271">
        <f>'SS Material Flow'!B202/'SS Material Flow'!B111</f>
        <v>1.9970000000000061E-2</v>
      </c>
    </row>
    <row r="272" spans="1:115" x14ac:dyDescent="0.35">
      <c r="A272" t="str">
        <f t="shared" si="21"/>
        <v>HDPE - Pigmented Containers</v>
      </c>
      <c r="B272" s="32">
        <f>$E222*Common!C$69</f>
        <v>1.0961385549456113</v>
      </c>
      <c r="C272" s="32">
        <f>$E222*Common!D$69</f>
        <v>0</v>
      </c>
      <c r="D272" s="32">
        <f>$E222*Common!E$69</f>
        <v>0</v>
      </c>
      <c r="E272" s="32">
        <f>$E222*Common!F$69</f>
        <v>0</v>
      </c>
      <c r="F272" s="32">
        <f>$E222*Common!G$69</f>
        <v>0</v>
      </c>
      <c r="G272" s="32">
        <f>$E222*Common!H$69</f>
        <v>0</v>
      </c>
      <c r="H272" s="32">
        <f>$E222*Common!I$69</f>
        <v>0</v>
      </c>
      <c r="I272" s="32">
        <f>$E222*Common!J$69</f>
        <v>0</v>
      </c>
      <c r="J272" s="32">
        <f>$E222*Common!K$69</f>
        <v>0</v>
      </c>
      <c r="K272" s="32">
        <f>$E222*Common!L$69</f>
        <v>0</v>
      </c>
      <c r="L272" s="32">
        <f>$E222*Common!M$69</f>
        <v>0</v>
      </c>
      <c r="M272" s="32">
        <f>$E222*Common!N$69</f>
        <v>0</v>
      </c>
      <c r="N272" s="32">
        <f>$E222*Common!O$69</f>
        <v>0</v>
      </c>
      <c r="O272" s="32">
        <f>$E222*Common!P$69</f>
        <v>0</v>
      </c>
      <c r="P272" s="32">
        <f>$E222*Common!Q$69</f>
        <v>0</v>
      </c>
      <c r="Q272" s="32">
        <f>$E222*Common!R$69</f>
        <v>0</v>
      </c>
      <c r="R272" s="32">
        <f>$E222*Common!S$69</f>
        <v>0</v>
      </c>
      <c r="S272" s="32">
        <f>$E222*Common!T$69</f>
        <v>0</v>
      </c>
      <c r="T272" s="32">
        <f>$E222*Common!U$69</f>
        <v>0</v>
      </c>
      <c r="U272" s="32">
        <f>$E222*Common!V$69</f>
        <v>0</v>
      </c>
      <c r="V272" s="32">
        <f>$E222*Common!W$69</f>
        <v>0</v>
      </c>
      <c r="W272" s="32">
        <f>$E222*Common!X$69</f>
        <v>0</v>
      </c>
      <c r="X272" s="32">
        <f>$E222*Common!Y$69</f>
        <v>0</v>
      </c>
      <c r="Y272" s="32">
        <f>$E222*Common!Z$69</f>
        <v>0</v>
      </c>
      <c r="Z272" s="32">
        <f>$E222*Common!AA$69</f>
        <v>0</v>
      </c>
      <c r="AA272" s="32">
        <f>$E222*Common!AB$69</f>
        <v>0</v>
      </c>
      <c r="AB272" s="32">
        <f>$E222*Common!AC$69</f>
        <v>0</v>
      </c>
      <c r="AC272" s="32">
        <f>$E222*Common!AD$69</f>
        <v>0</v>
      </c>
      <c r="AD272" s="32">
        <f>$E222*Common!AE$69</f>
        <v>0</v>
      </c>
      <c r="AE272" s="32">
        <f>$E222*Common!AF$69</f>
        <v>0</v>
      </c>
      <c r="AF272" s="32">
        <f>$E222*Common!AG$69</f>
        <v>0</v>
      </c>
      <c r="AG272" s="32">
        <f>$E222*Common!AH$69</f>
        <v>0</v>
      </c>
      <c r="AH272" s="32">
        <f>$E222*Common!AI$69</f>
        <v>0</v>
      </c>
      <c r="AI272" s="32">
        <f>$E222*Common!AJ$69</f>
        <v>0</v>
      </c>
      <c r="AJ272" s="32">
        <f>$E222*Common!AK$69</f>
        <v>0</v>
      </c>
      <c r="AK272" s="32">
        <f>$E222*Common!AL$69</f>
        <v>0</v>
      </c>
      <c r="AL272" s="32">
        <f>$E222*Common!AM$69</f>
        <v>0</v>
      </c>
      <c r="AM272" s="32">
        <f>$E222*Common!AN$69</f>
        <v>0</v>
      </c>
      <c r="AN272" s="32">
        <f>$E222*Common!AO$69</f>
        <v>0</v>
      </c>
      <c r="AO272" s="32">
        <f>$E222*Common!AP$69</f>
        <v>0</v>
      </c>
      <c r="AP272" s="32">
        <f>$E222*Common!AQ$69</f>
        <v>0</v>
      </c>
      <c r="AQ272" s="32">
        <f>$E222*Common!AR$69</f>
        <v>0</v>
      </c>
      <c r="AR272" s="32">
        <f>$E222*Common!AS$69</f>
        <v>0</v>
      </c>
      <c r="AS272" s="32">
        <f>$E222*Common!AT$69</f>
        <v>0</v>
      </c>
      <c r="AT272" s="32">
        <f>$E222*Common!AU$69</f>
        <v>0</v>
      </c>
      <c r="AU272" s="32">
        <f>$E222*Common!AV$69</f>
        <v>0</v>
      </c>
      <c r="AV272" s="32">
        <f>$E222*Common!AW$69</f>
        <v>0</v>
      </c>
      <c r="AW272" s="32">
        <f>$E222*Common!AX$69</f>
        <v>0</v>
      </c>
      <c r="AX272" s="32">
        <f>$E222*Common!AY$69</f>
        <v>0</v>
      </c>
      <c r="AY272" s="32">
        <f>$E222*Common!AZ$69</f>
        <v>0</v>
      </c>
      <c r="AZ272" s="32">
        <f>$E222*Common!BA$69</f>
        <v>0</v>
      </c>
      <c r="BA272" s="32">
        <f>$E222*Common!BB$69</f>
        <v>0</v>
      </c>
      <c r="BB272" s="32">
        <f>$E222*Common!BC$69</f>
        <v>0</v>
      </c>
      <c r="BC272" s="32">
        <f>$E222*Common!BD$69</f>
        <v>0</v>
      </c>
      <c r="BD272" s="32">
        <f>$E222*Common!BE$69</f>
        <v>0</v>
      </c>
      <c r="BE272" s="32">
        <f>$E222*Common!BF$69</f>
        <v>0</v>
      </c>
      <c r="BF272" s="32">
        <f>$E222*Common!BG$69</f>
        <v>0</v>
      </c>
      <c r="BG272" s="32">
        <f>$E222*Common!BH$69</f>
        <v>0</v>
      </c>
      <c r="BH272" s="32">
        <f>$E222*Common!BI$69</f>
        <v>0</v>
      </c>
      <c r="BI272" s="32">
        <f>$E222*Common!BJ$69</f>
        <v>0</v>
      </c>
      <c r="BJ272" s="32">
        <f>$E222*Common!BK$69</f>
        <v>0</v>
      </c>
      <c r="BK272" s="32">
        <f>$E222*Common!BL$69</f>
        <v>0</v>
      </c>
      <c r="BL272" s="32">
        <f>$E222*Common!BM$69</f>
        <v>0</v>
      </c>
      <c r="BM272" s="32">
        <f>$E222*Common!BN$69</f>
        <v>0</v>
      </c>
      <c r="BN272" s="32">
        <f>$E222*Common!BO$69</f>
        <v>0</v>
      </c>
      <c r="BO272" s="32">
        <f>$E222*Common!BP$69</f>
        <v>0</v>
      </c>
      <c r="BP272" s="32">
        <f>$E222*Common!BQ$69</f>
        <v>0</v>
      </c>
      <c r="BQ272" s="32">
        <f>$E222*Common!BR$69</f>
        <v>0</v>
      </c>
      <c r="BR272" s="32">
        <f>$E222*Common!BS$69</f>
        <v>0</v>
      </c>
      <c r="BS272" s="32">
        <f>$E222*Common!BT$69</f>
        <v>0</v>
      </c>
      <c r="BT272" s="32">
        <f>$E222*Common!BU$69</f>
        <v>0</v>
      </c>
      <c r="BU272" s="32">
        <f>$E222*Common!BV$69</f>
        <v>0</v>
      </c>
      <c r="BV272" s="32">
        <f>$E222*Common!BW$69</f>
        <v>0</v>
      </c>
      <c r="BW272" s="32">
        <f>$E222*Common!BX$69</f>
        <v>0</v>
      </c>
      <c r="BX272" s="32">
        <f>$E222*Common!BY$69</f>
        <v>0</v>
      </c>
      <c r="BY272" s="32">
        <f>$E222*Common!BZ$69</f>
        <v>0</v>
      </c>
      <c r="BZ272" s="32">
        <f>$E222*Common!CA$69</f>
        <v>0</v>
      </c>
      <c r="CA272" s="32">
        <f>$E222*Common!CB$69</f>
        <v>0</v>
      </c>
      <c r="CB272" s="32">
        <f>$E222*Common!CC$69</f>
        <v>0</v>
      </c>
      <c r="CC272" s="32">
        <f>$E222*Common!CD$69</f>
        <v>0</v>
      </c>
      <c r="CD272" s="32">
        <f>$E222*Common!CE$69</f>
        <v>0</v>
      </c>
      <c r="CE272" s="32">
        <f>$E222*Common!CF$69</f>
        <v>0</v>
      </c>
      <c r="CF272" s="32">
        <f>$E222*Common!CG$69</f>
        <v>0</v>
      </c>
      <c r="CG272" s="32">
        <f>$E222*Common!CH$69</f>
        <v>0</v>
      </c>
      <c r="CH272" s="32">
        <f>$E222*Common!CI$69</f>
        <v>0</v>
      </c>
      <c r="CI272" s="32">
        <f>$E222*Common!CJ$69</f>
        <v>0</v>
      </c>
      <c r="CR272" s="32">
        <f t="shared" ref="CR272:CS272" si="49">C222</f>
        <v>0.7</v>
      </c>
      <c r="CS272" s="32">
        <f t="shared" si="49"/>
        <v>0</v>
      </c>
      <c r="CV272">
        <f t="shared" si="24"/>
        <v>0</v>
      </c>
      <c r="CW272">
        <f t="shared" si="25"/>
        <v>0</v>
      </c>
      <c r="CX272">
        <f t="shared" si="26"/>
        <v>0</v>
      </c>
      <c r="CY272">
        <f t="shared" si="27"/>
        <v>0</v>
      </c>
      <c r="CZ272">
        <f t="shared" si="28"/>
        <v>0</v>
      </c>
      <c r="DA272">
        <f t="shared" si="29"/>
        <v>0</v>
      </c>
      <c r="DB272">
        <f t="shared" si="30"/>
        <v>0</v>
      </c>
      <c r="DF272" s="32">
        <f t="shared" si="31"/>
        <v>13.27802422854956</v>
      </c>
      <c r="DI272">
        <f>SUM('SS Material Flow'!C203:J203)/'SS Material Flow'!B112</f>
        <v>0.98002999999999996</v>
      </c>
      <c r="DK272">
        <f>'SS Material Flow'!B203/'SS Material Flow'!B112</f>
        <v>1.9970000000000043E-2</v>
      </c>
    </row>
    <row r="273" spans="1:115" x14ac:dyDescent="0.35">
      <c r="A273" t="str">
        <f t="shared" si="21"/>
        <v>PET - Containers</v>
      </c>
      <c r="B273" s="32">
        <f>$E223*Common!C$69</f>
        <v>1.0961385549456113</v>
      </c>
      <c r="C273" s="32">
        <f>$E223*Common!D$69</f>
        <v>0</v>
      </c>
      <c r="D273" s="32">
        <f>$E223*Common!E$69</f>
        <v>0</v>
      </c>
      <c r="E273" s="32">
        <f>$E223*Common!F$69</f>
        <v>0</v>
      </c>
      <c r="F273" s="32">
        <f>$E223*Common!G$69</f>
        <v>0</v>
      </c>
      <c r="G273" s="32">
        <f>$E223*Common!H$69</f>
        <v>0</v>
      </c>
      <c r="H273" s="32">
        <f>$E223*Common!I$69</f>
        <v>0</v>
      </c>
      <c r="I273" s="32">
        <f>$E223*Common!J$69</f>
        <v>0</v>
      </c>
      <c r="J273" s="32">
        <f>$E223*Common!K$69</f>
        <v>0</v>
      </c>
      <c r="K273" s="32">
        <f>$E223*Common!L$69</f>
        <v>0</v>
      </c>
      <c r="L273" s="32">
        <f>$E223*Common!M$69</f>
        <v>0</v>
      </c>
      <c r="M273" s="32">
        <f>$E223*Common!N$69</f>
        <v>0</v>
      </c>
      <c r="N273" s="32">
        <f>$E223*Common!O$69</f>
        <v>0</v>
      </c>
      <c r="O273" s="32">
        <f>$E223*Common!P$69</f>
        <v>0</v>
      </c>
      <c r="P273" s="32">
        <f>$E223*Common!Q$69</f>
        <v>0</v>
      </c>
      <c r="Q273" s="32">
        <f>$E223*Common!R$69</f>
        <v>0</v>
      </c>
      <c r="R273" s="32">
        <f>$E223*Common!S$69</f>
        <v>0</v>
      </c>
      <c r="S273" s="32">
        <f>$E223*Common!T$69</f>
        <v>0</v>
      </c>
      <c r="T273" s="32">
        <f>$E223*Common!U$69</f>
        <v>0</v>
      </c>
      <c r="U273" s="32">
        <f>$E223*Common!V$69</f>
        <v>0</v>
      </c>
      <c r="V273" s="32">
        <f>$E223*Common!W$69</f>
        <v>0</v>
      </c>
      <c r="W273" s="32">
        <f>$E223*Common!X$69</f>
        <v>0</v>
      </c>
      <c r="X273" s="32">
        <f>$E223*Common!Y$69</f>
        <v>0</v>
      </c>
      <c r="Y273" s="32">
        <f>$E223*Common!Z$69</f>
        <v>0</v>
      </c>
      <c r="Z273" s="32">
        <f>$E223*Common!AA$69</f>
        <v>0</v>
      </c>
      <c r="AA273" s="32">
        <f>$E223*Common!AB$69</f>
        <v>0</v>
      </c>
      <c r="AB273" s="32">
        <f>$E223*Common!AC$69</f>
        <v>0</v>
      </c>
      <c r="AC273" s="32">
        <f>$E223*Common!AD$69</f>
        <v>0</v>
      </c>
      <c r="AD273" s="32">
        <f>$E223*Common!AE$69</f>
        <v>0</v>
      </c>
      <c r="AE273" s="32">
        <f>$E223*Common!AF$69</f>
        <v>0</v>
      </c>
      <c r="AF273" s="32">
        <f>$E223*Common!AG$69</f>
        <v>0</v>
      </c>
      <c r="AG273" s="32">
        <f>$E223*Common!AH$69</f>
        <v>0</v>
      </c>
      <c r="AH273" s="32">
        <f>$E223*Common!AI$69</f>
        <v>0</v>
      </c>
      <c r="AI273" s="32">
        <f>$E223*Common!AJ$69</f>
        <v>0</v>
      </c>
      <c r="AJ273" s="32">
        <f>$E223*Common!AK$69</f>
        <v>0</v>
      </c>
      <c r="AK273" s="32">
        <f>$E223*Common!AL$69</f>
        <v>0</v>
      </c>
      <c r="AL273" s="32">
        <f>$E223*Common!AM$69</f>
        <v>0</v>
      </c>
      <c r="AM273" s="32">
        <f>$E223*Common!AN$69</f>
        <v>0</v>
      </c>
      <c r="AN273" s="32">
        <f>$E223*Common!AO$69</f>
        <v>0</v>
      </c>
      <c r="AO273" s="32">
        <f>$E223*Common!AP$69</f>
        <v>0</v>
      </c>
      <c r="AP273" s="32">
        <f>$E223*Common!AQ$69</f>
        <v>0</v>
      </c>
      <c r="AQ273" s="32">
        <f>$E223*Common!AR$69</f>
        <v>0</v>
      </c>
      <c r="AR273" s="32">
        <f>$E223*Common!AS$69</f>
        <v>0</v>
      </c>
      <c r="AS273" s="32">
        <f>$E223*Common!AT$69</f>
        <v>0</v>
      </c>
      <c r="AT273" s="32">
        <f>$E223*Common!AU$69</f>
        <v>0</v>
      </c>
      <c r="AU273" s="32">
        <f>$E223*Common!AV$69</f>
        <v>0</v>
      </c>
      <c r="AV273" s="32">
        <f>$E223*Common!AW$69</f>
        <v>0</v>
      </c>
      <c r="AW273" s="32">
        <f>$E223*Common!AX$69</f>
        <v>0</v>
      </c>
      <c r="AX273" s="32">
        <f>$E223*Common!AY$69</f>
        <v>0</v>
      </c>
      <c r="AY273" s="32">
        <f>$E223*Common!AZ$69</f>
        <v>0</v>
      </c>
      <c r="AZ273" s="32">
        <f>$E223*Common!BA$69</f>
        <v>0</v>
      </c>
      <c r="BA273" s="32">
        <f>$E223*Common!BB$69</f>
        <v>0</v>
      </c>
      <c r="BB273" s="32">
        <f>$E223*Common!BC$69</f>
        <v>0</v>
      </c>
      <c r="BC273" s="32">
        <f>$E223*Common!BD$69</f>
        <v>0</v>
      </c>
      <c r="BD273" s="32">
        <f>$E223*Common!BE$69</f>
        <v>0</v>
      </c>
      <c r="BE273" s="32">
        <f>$E223*Common!BF$69</f>
        <v>0</v>
      </c>
      <c r="BF273" s="32">
        <f>$E223*Common!BG$69</f>
        <v>0</v>
      </c>
      <c r="BG273" s="32">
        <f>$E223*Common!BH$69</f>
        <v>0</v>
      </c>
      <c r="BH273" s="32">
        <f>$E223*Common!BI$69</f>
        <v>0</v>
      </c>
      <c r="BI273" s="32">
        <f>$E223*Common!BJ$69</f>
        <v>0</v>
      </c>
      <c r="BJ273" s="32">
        <f>$E223*Common!BK$69</f>
        <v>0</v>
      </c>
      <c r="BK273" s="32">
        <f>$E223*Common!BL$69</f>
        <v>0</v>
      </c>
      <c r="BL273" s="32">
        <f>$E223*Common!BM$69</f>
        <v>0</v>
      </c>
      <c r="BM273" s="32">
        <f>$E223*Common!BN$69</f>
        <v>0</v>
      </c>
      <c r="BN273" s="32">
        <f>$E223*Common!BO$69</f>
        <v>0</v>
      </c>
      <c r="BO273" s="32">
        <f>$E223*Common!BP$69</f>
        <v>0</v>
      </c>
      <c r="BP273" s="32">
        <f>$E223*Common!BQ$69</f>
        <v>0</v>
      </c>
      <c r="BQ273" s="32">
        <f>$E223*Common!BR$69</f>
        <v>0</v>
      </c>
      <c r="BR273" s="32">
        <f>$E223*Common!BS$69</f>
        <v>0</v>
      </c>
      <c r="BS273" s="32">
        <f>$E223*Common!BT$69</f>
        <v>0</v>
      </c>
      <c r="BT273" s="32">
        <f>$E223*Common!BU$69</f>
        <v>0</v>
      </c>
      <c r="BU273" s="32">
        <f>$E223*Common!BV$69</f>
        <v>0</v>
      </c>
      <c r="BV273" s="32">
        <f>$E223*Common!BW$69</f>
        <v>0</v>
      </c>
      <c r="BW273" s="32">
        <f>$E223*Common!BX$69</f>
        <v>0</v>
      </c>
      <c r="BX273" s="32">
        <f>$E223*Common!BY$69</f>
        <v>0</v>
      </c>
      <c r="BY273" s="32">
        <f>$E223*Common!BZ$69</f>
        <v>0</v>
      </c>
      <c r="BZ273" s="32">
        <f>$E223*Common!CA$69</f>
        <v>0</v>
      </c>
      <c r="CA273" s="32">
        <f>$E223*Common!CB$69</f>
        <v>0</v>
      </c>
      <c r="CB273" s="32">
        <f>$E223*Common!CC$69</f>
        <v>0</v>
      </c>
      <c r="CC273" s="32">
        <f>$E223*Common!CD$69</f>
        <v>0</v>
      </c>
      <c r="CD273" s="32">
        <f>$E223*Common!CE$69</f>
        <v>0</v>
      </c>
      <c r="CE273" s="32">
        <f>$E223*Common!CF$69</f>
        <v>0</v>
      </c>
      <c r="CF273" s="32">
        <f>$E223*Common!CG$69</f>
        <v>0</v>
      </c>
      <c r="CG273" s="32">
        <f>$E223*Common!CH$69</f>
        <v>0</v>
      </c>
      <c r="CH273" s="32">
        <f>$E223*Common!CI$69</f>
        <v>0</v>
      </c>
      <c r="CI273" s="32">
        <f>$E223*Common!CJ$69</f>
        <v>0</v>
      </c>
      <c r="CR273" s="32">
        <f t="shared" ref="CR273:CS273" si="50">C223</f>
        <v>0.7</v>
      </c>
      <c r="CS273" s="32">
        <f t="shared" si="50"/>
        <v>0</v>
      </c>
      <c r="CV273">
        <f t="shared" si="24"/>
        <v>0</v>
      </c>
      <c r="CW273">
        <f t="shared" si="25"/>
        <v>0</v>
      </c>
      <c r="CX273">
        <f t="shared" si="26"/>
        <v>0</v>
      </c>
      <c r="CY273">
        <f t="shared" si="27"/>
        <v>0</v>
      </c>
      <c r="CZ273">
        <f t="shared" si="28"/>
        <v>0</v>
      </c>
      <c r="DA273">
        <f t="shared" si="29"/>
        <v>0</v>
      </c>
      <c r="DB273">
        <f t="shared" si="30"/>
        <v>0</v>
      </c>
      <c r="DF273" s="32">
        <f t="shared" si="31"/>
        <v>7.6136861741646467</v>
      </c>
      <c r="DI273">
        <f>SUM('SS Material Flow'!C204:J204)/'SS Material Flow'!B113</f>
        <v>0.98003000000000007</v>
      </c>
      <c r="DK273">
        <f>'SS Material Flow'!B204/'SS Material Flow'!B113</f>
        <v>1.9969999999999963E-2</v>
      </c>
    </row>
    <row r="274" spans="1:115" x14ac:dyDescent="0.35">
      <c r="A274" t="str">
        <f t="shared" si="21"/>
        <v>Plastic - Other # 1, Polypropylene</v>
      </c>
      <c r="B274" s="32">
        <f>$E224*Common!C$69</f>
        <v>0</v>
      </c>
      <c r="C274" s="32">
        <f>$E224*Common!D$69</f>
        <v>0</v>
      </c>
      <c r="D274" s="32">
        <f>$E224*Common!E$69</f>
        <v>0</v>
      </c>
      <c r="E274" s="32">
        <f>$E224*Common!F$69</f>
        <v>0</v>
      </c>
      <c r="F274" s="32">
        <f>$E224*Common!G$69</f>
        <v>0</v>
      </c>
      <c r="G274" s="32">
        <f>$E224*Common!H$69</f>
        <v>0</v>
      </c>
      <c r="H274" s="32">
        <f>$E224*Common!I$69</f>
        <v>0</v>
      </c>
      <c r="I274" s="32">
        <f>$E224*Common!J$69</f>
        <v>0</v>
      </c>
      <c r="J274" s="32">
        <f>$E224*Common!K$69</f>
        <v>0</v>
      </c>
      <c r="K274" s="32">
        <f>$E224*Common!L$69</f>
        <v>0</v>
      </c>
      <c r="L274" s="32">
        <f>$E224*Common!M$69</f>
        <v>0</v>
      </c>
      <c r="M274" s="32">
        <f>$E224*Common!N$69</f>
        <v>0</v>
      </c>
      <c r="N274" s="32">
        <f>$E224*Common!O$69</f>
        <v>0</v>
      </c>
      <c r="O274" s="32">
        <f>$E224*Common!P$69</f>
        <v>0</v>
      </c>
      <c r="P274" s="32">
        <f>$E224*Common!Q$69</f>
        <v>0</v>
      </c>
      <c r="Q274" s="32">
        <f>$E224*Common!R$69</f>
        <v>0</v>
      </c>
      <c r="R274" s="32">
        <f>$E224*Common!S$69</f>
        <v>0</v>
      </c>
      <c r="S274" s="32">
        <f>$E224*Common!T$69</f>
        <v>0</v>
      </c>
      <c r="T274" s="32">
        <f>$E224*Common!U$69</f>
        <v>0</v>
      </c>
      <c r="U274" s="32">
        <f>$E224*Common!V$69</f>
        <v>0</v>
      </c>
      <c r="V274" s="32">
        <f>$E224*Common!W$69</f>
        <v>0</v>
      </c>
      <c r="W274" s="32">
        <f>$E224*Common!X$69</f>
        <v>0</v>
      </c>
      <c r="X274" s="32">
        <f>$E224*Common!Y$69</f>
        <v>0</v>
      </c>
      <c r="Y274" s="32">
        <f>$E224*Common!Z$69</f>
        <v>0</v>
      </c>
      <c r="Z274" s="32">
        <f>$E224*Common!AA$69</f>
        <v>0</v>
      </c>
      <c r="AA274" s="32">
        <f>$E224*Common!AB$69</f>
        <v>0</v>
      </c>
      <c r="AB274" s="32">
        <f>$E224*Common!AC$69</f>
        <v>0</v>
      </c>
      <c r="AC274" s="32">
        <f>$E224*Common!AD$69</f>
        <v>0</v>
      </c>
      <c r="AD274" s="32">
        <f>$E224*Common!AE$69</f>
        <v>0</v>
      </c>
      <c r="AE274" s="32">
        <f>$E224*Common!AF$69</f>
        <v>0</v>
      </c>
      <c r="AF274" s="32">
        <f>$E224*Common!AG$69</f>
        <v>0</v>
      </c>
      <c r="AG274" s="32">
        <f>$E224*Common!AH$69</f>
        <v>0</v>
      </c>
      <c r="AH274" s="32">
        <f>$E224*Common!AI$69</f>
        <v>0</v>
      </c>
      <c r="AI274" s="32">
        <f>$E224*Common!AJ$69</f>
        <v>0</v>
      </c>
      <c r="AJ274" s="32">
        <f>$E224*Common!AK$69</f>
        <v>0</v>
      </c>
      <c r="AK274" s="32">
        <f>$E224*Common!AL$69</f>
        <v>0</v>
      </c>
      <c r="AL274" s="32">
        <f>$E224*Common!AM$69</f>
        <v>0</v>
      </c>
      <c r="AM274" s="32">
        <f>$E224*Common!AN$69</f>
        <v>0</v>
      </c>
      <c r="AN274" s="32">
        <f>$E224*Common!AO$69</f>
        <v>0</v>
      </c>
      <c r="AO274" s="32">
        <f>$E224*Common!AP$69</f>
        <v>0</v>
      </c>
      <c r="AP274" s="32">
        <f>$E224*Common!AQ$69</f>
        <v>0</v>
      </c>
      <c r="AQ274" s="32">
        <f>$E224*Common!AR$69</f>
        <v>0</v>
      </c>
      <c r="AR274" s="32">
        <f>$E224*Common!AS$69</f>
        <v>0</v>
      </c>
      <c r="AS274" s="32">
        <f>$E224*Common!AT$69</f>
        <v>0</v>
      </c>
      <c r="AT274" s="32">
        <f>$E224*Common!AU$69</f>
        <v>0</v>
      </c>
      <c r="AU274" s="32">
        <f>$E224*Common!AV$69</f>
        <v>0</v>
      </c>
      <c r="AV274" s="32">
        <f>$E224*Common!AW$69</f>
        <v>0</v>
      </c>
      <c r="AW274" s="32">
        <f>$E224*Common!AX$69</f>
        <v>0</v>
      </c>
      <c r="AX274" s="32">
        <f>$E224*Common!AY$69</f>
        <v>0</v>
      </c>
      <c r="AY274" s="32">
        <f>$E224*Common!AZ$69</f>
        <v>0</v>
      </c>
      <c r="AZ274" s="32">
        <f>$E224*Common!BA$69</f>
        <v>0</v>
      </c>
      <c r="BA274" s="32">
        <f>$E224*Common!BB$69</f>
        <v>0</v>
      </c>
      <c r="BB274" s="32">
        <f>$E224*Common!BC$69</f>
        <v>0</v>
      </c>
      <c r="BC274" s="32">
        <f>$E224*Common!BD$69</f>
        <v>0</v>
      </c>
      <c r="BD274" s="32">
        <f>$E224*Common!BE$69</f>
        <v>0</v>
      </c>
      <c r="BE274" s="32">
        <f>$E224*Common!BF$69</f>
        <v>0</v>
      </c>
      <c r="BF274" s="32">
        <f>$E224*Common!BG$69</f>
        <v>0</v>
      </c>
      <c r="BG274" s="32">
        <f>$E224*Common!BH$69</f>
        <v>0</v>
      </c>
      <c r="BH274" s="32">
        <f>$E224*Common!BI$69</f>
        <v>0</v>
      </c>
      <c r="BI274" s="32">
        <f>$E224*Common!BJ$69</f>
        <v>0</v>
      </c>
      <c r="BJ274" s="32">
        <f>$E224*Common!BK$69</f>
        <v>0</v>
      </c>
      <c r="BK274" s="32">
        <f>$E224*Common!BL$69</f>
        <v>0</v>
      </c>
      <c r="BL274" s="32">
        <f>$E224*Common!BM$69</f>
        <v>0</v>
      </c>
      <c r="BM274" s="32">
        <f>$E224*Common!BN$69</f>
        <v>0</v>
      </c>
      <c r="BN274" s="32">
        <f>$E224*Common!BO$69</f>
        <v>0</v>
      </c>
      <c r="BO274" s="32">
        <f>$E224*Common!BP$69</f>
        <v>0</v>
      </c>
      <c r="BP274" s="32">
        <f>$E224*Common!BQ$69</f>
        <v>0</v>
      </c>
      <c r="BQ274" s="32">
        <f>$E224*Common!BR$69</f>
        <v>0</v>
      </c>
      <c r="BR274" s="32">
        <f>$E224*Common!BS$69</f>
        <v>0</v>
      </c>
      <c r="BS274" s="32">
        <f>$E224*Common!BT$69</f>
        <v>0</v>
      </c>
      <c r="BT274" s="32">
        <f>$E224*Common!BU$69</f>
        <v>0</v>
      </c>
      <c r="BU274" s="32">
        <f>$E224*Common!BV$69</f>
        <v>0</v>
      </c>
      <c r="BV274" s="32">
        <f>$E224*Common!BW$69</f>
        <v>0</v>
      </c>
      <c r="BW274" s="32">
        <f>$E224*Common!BX$69</f>
        <v>0</v>
      </c>
      <c r="BX274" s="32">
        <f>$E224*Common!BY$69</f>
        <v>0</v>
      </c>
      <c r="BY274" s="32">
        <f>$E224*Common!BZ$69</f>
        <v>0</v>
      </c>
      <c r="BZ274" s="32">
        <f>$E224*Common!CA$69</f>
        <v>0</v>
      </c>
      <c r="CA274" s="32">
        <f>$E224*Common!CB$69</f>
        <v>0</v>
      </c>
      <c r="CB274" s="32">
        <f>$E224*Common!CC$69</f>
        <v>0</v>
      </c>
      <c r="CC274" s="32">
        <f>$E224*Common!CD$69</f>
        <v>0</v>
      </c>
      <c r="CD274" s="32">
        <f>$E224*Common!CE$69</f>
        <v>0</v>
      </c>
      <c r="CE274" s="32">
        <f>$E224*Common!CF$69</f>
        <v>0</v>
      </c>
      <c r="CF274" s="32">
        <f>$E224*Common!CG$69</f>
        <v>0</v>
      </c>
      <c r="CG274" s="32">
        <f>$E224*Common!CH$69</f>
        <v>0</v>
      </c>
      <c r="CH274" s="32">
        <f>$E224*Common!CI$69</f>
        <v>0</v>
      </c>
      <c r="CI274" s="32">
        <f>$E224*Common!CJ$69</f>
        <v>0</v>
      </c>
      <c r="CR274" s="32">
        <f t="shared" ref="CR274:CS274" si="51">C224</f>
        <v>0.7</v>
      </c>
      <c r="CS274" s="32">
        <f t="shared" si="51"/>
        <v>0</v>
      </c>
      <c r="CV274">
        <f t="shared" si="24"/>
        <v>0</v>
      </c>
      <c r="CW274">
        <f t="shared" si="25"/>
        <v>0</v>
      </c>
      <c r="CX274">
        <f t="shared" si="26"/>
        <v>0</v>
      </c>
      <c r="CY274">
        <f t="shared" si="27"/>
        <v>0</v>
      </c>
      <c r="CZ274">
        <f t="shared" si="28"/>
        <v>0</v>
      </c>
      <c r="DA274">
        <f t="shared" si="29"/>
        <v>0</v>
      </c>
      <c r="DB274">
        <f t="shared" si="30"/>
        <v>0</v>
      </c>
      <c r="DF274" s="32">
        <f t="shared" si="31"/>
        <v>3.8657276550043411</v>
      </c>
      <c r="DI274">
        <f>SUM('SS Material Flow'!C205:J205)/'SS Material Flow'!B114</f>
        <v>1.5000000000000002E-3</v>
      </c>
      <c r="DK274">
        <f>'SS Material Flow'!B205/'SS Material Flow'!B114</f>
        <v>0.99850000000000005</v>
      </c>
    </row>
    <row r="275" spans="1:115" x14ac:dyDescent="0.35">
      <c r="A275" t="str">
        <f t="shared" si="21"/>
        <v>Plastic - Other # 2</v>
      </c>
      <c r="B275" s="32">
        <f>$E225*Common!C$69</f>
        <v>0</v>
      </c>
      <c r="C275" s="32">
        <f>$E225*Common!D$69</f>
        <v>0</v>
      </c>
      <c r="D275" s="32">
        <f>$E225*Common!E$69</f>
        <v>0</v>
      </c>
      <c r="E275" s="32">
        <f>$E225*Common!F$69</f>
        <v>0</v>
      </c>
      <c r="F275" s="32">
        <f>$E225*Common!G$69</f>
        <v>0</v>
      </c>
      <c r="G275" s="32">
        <f>$E225*Common!H$69</f>
        <v>0</v>
      </c>
      <c r="H275" s="32">
        <f>$E225*Common!I$69</f>
        <v>0</v>
      </c>
      <c r="I275" s="32">
        <f>$E225*Common!J$69</f>
        <v>0</v>
      </c>
      <c r="J275" s="32">
        <f>$E225*Common!K$69</f>
        <v>0</v>
      </c>
      <c r="K275" s="32">
        <f>$E225*Common!L$69</f>
        <v>0</v>
      </c>
      <c r="L275" s="32">
        <f>$E225*Common!M$69</f>
        <v>0</v>
      </c>
      <c r="M275" s="32">
        <f>$E225*Common!N$69</f>
        <v>0</v>
      </c>
      <c r="N275" s="32">
        <f>$E225*Common!O$69</f>
        <v>0</v>
      </c>
      <c r="O275" s="32">
        <f>$E225*Common!P$69</f>
        <v>0</v>
      </c>
      <c r="P275" s="32">
        <f>$E225*Common!Q$69</f>
        <v>0</v>
      </c>
      <c r="Q275" s="32">
        <f>$E225*Common!R$69</f>
        <v>0</v>
      </c>
      <c r="R275" s="32">
        <f>$E225*Common!S$69</f>
        <v>0</v>
      </c>
      <c r="S275" s="32">
        <f>$E225*Common!T$69</f>
        <v>0</v>
      </c>
      <c r="T275" s="32">
        <f>$E225*Common!U$69</f>
        <v>0</v>
      </c>
      <c r="U275" s="32">
        <f>$E225*Common!V$69</f>
        <v>0</v>
      </c>
      <c r="V275" s="32">
        <f>$E225*Common!W$69</f>
        <v>0</v>
      </c>
      <c r="W275" s="32">
        <f>$E225*Common!X$69</f>
        <v>0</v>
      </c>
      <c r="X275" s="32">
        <f>$E225*Common!Y$69</f>
        <v>0</v>
      </c>
      <c r="Y275" s="32">
        <f>$E225*Common!Z$69</f>
        <v>0</v>
      </c>
      <c r="Z275" s="32">
        <f>$E225*Common!AA$69</f>
        <v>0</v>
      </c>
      <c r="AA275" s="32">
        <f>$E225*Common!AB$69</f>
        <v>0</v>
      </c>
      <c r="AB275" s="32">
        <f>$E225*Common!AC$69</f>
        <v>0</v>
      </c>
      <c r="AC275" s="32">
        <f>$E225*Common!AD$69</f>
        <v>0</v>
      </c>
      <c r="AD275" s="32">
        <f>$E225*Common!AE$69</f>
        <v>0</v>
      </c>
      <c r="AE275" s="32">
        <f>$E225*Common!AF$69</f>
        <v>0</v>
      </c>
      <c r="AF275" s="32">
        <f>$E225*Common!AG$69</f>
        <v>0</v>
      </c>
      <c r="AG275" s="32">
        <f>$E225*Common!AH$69</f>
        <v>0</v>
      </c>
      <c r="AH275" s="32">
        <f>$E225*Common!AI$69</f>
        <v>0</v>
      </c>
      <c r="AI275" s="32">
        <f>$E225*Common!AJ$69</f>
        <v>0</v>
      </c>
      <c r="AJ275" s="32">
        <f>$E225*Common!AK$69</f>
        <v>0</v>
      </c>
      <c r="AK275" s="32">
        <f>$E225*Common!AL$69</f>
        <v>0</v>
      </c>
      <c r="AL275" s="32">
        <f>$E225*Common!AM$69</f>
        <v>0</v>
      </c>
      <c r="AM275" s="32">
        <f>$E225*Common!AN$69</f>
        <v>0</v>
      </c>
      <c r="AN275" s="32">
        <f>$E225*Common!AO$69</f>
        <v>0</v>
      </c>
      <c r="AO275" s="32">
        <f>$E225*Common!AP$69</f>
        <v>0</v>
      </c>
      <c r="AP275" s="32">
        <f>$E225*Common!AQ$69</f>
        <v>0</v>
      </c>
      <c r="AQ275" s="32">
        <f>$E225*Common!AR$69</f>
        <v>0</v>
      </c>
      <c r="AR275" s="32">
        <f>$E225*Common!AS$69</f>
        <v>0</v>
      </c>
      <c r="AS275" s="32">
        <f>$E225*Common!AT$69</f>
        <v>0</v>
      </c>
      <c r="AT275" s="32">
        <f>$E225*Common!AU$69</f>
        <v>0</v>
      </c>
      <c r="AU275" s="32">
        <f>$E225*Common!AV$69</f>
        <v>0</v>
      </c>
      <c r="AV275" s="32">
        <f>$E225*Common!AW$69</f>
        <v>0</v>
      </c>
      <c r="AW275" s="32">
        <f>$E225*Common!AX$69</f>
        <v>0</v>
      </c>
      <c r="AX275" s="32">
        <f>$E225*Common!AY$69</f>
        <v>0</v>
      </c>
      <c r="AY275" s="32">
        <f>$E225*Common!AZ$69</f>
        <v>0</v>
      </c>
      <c r="AZ275" s="32">
        <f>$E225*Common!BA$69</f>
        <v>0</v>
      </c>
      <c r="BA275" s="32">
        <f>$E225*Common!BB$69</f>
        <v>0</v>
      </c>
      <c r="BB275" s="32">
        <f>$E225*Common!BC$69</f>
        <v>0</v>
      </c>
      <c r="BC275" s="32">
        <f>$E225*Common!BD$69</f>
        <v>0</v>
      </c>
      <c r="BD275" s="32">
        <f>$E225*Common!BE$69</f>
        <v>0</v>
      </c>
      <c r="BE275" s="32">
        <f>$E225*Common!BF$69</f>
        <v>0</v>
      </c>
      <c r="BF275" s="32">
        <f>$E225*Common!BG$69</f>
        <v>0</v>
      </c>
      <c r="BG275" s="32">
        <f>$E225*Common!BH$69</f>
        <v>0</v>
      </c>
      <c r="BH275" s="32">
        <f>$E225*Common!BI$69</f>
        <v>0</v>
      </c>
      <c r="BI275" s="32">
        <f>$E225*Common!BJ$69</f>
        <v>0</v>
      </c>
      <c r="BJ275" s="32">
        <f>$E225*Common!BK$69</f>
        <v>0</v>
      </c>
      <c r="BK275" s="32">
        <f>$E225*Common!BL$69</f>
        <v>0</v>
      </c>
      <c r="BL275" s="32">
        <f>$E225*Common!BM$69</f>
        <v>0</v>
      </c>
      <c r="BM275" s="32">
        <f>$E225*Common!BN$69</f>
        <v>0</v>
      </c>
      <c r="BN275" s="32">
        <f>$E225*Common!BO$69</f>
        <v>0</v>
      </c>
      <c r="BO275" s="32">
        <f>$E225*Common!BP$69</f>
        <v>0</v>
      </c>
      <c r="BP275" s="32">
        <f>$E225*Common!BQ$69</f>
        <v>0</v>
      </c>
      <c r="BQ275" s="32">
        <f>$E225*Common!BR$69</f>
        <v>0</v>
      </c>
      <c r="BR275" s="32">
        <f>$E225*Common!BS$69</f>
        <v>0</v>
      </c>
      <c r="BS275" s="32">
        <f>$E225*Common!BT$69</f>
        <v>0</v>
      </c>
      <c r="BT275" s="32">
        <f>$E225*Common!BU$69</f>
        <v>0</v>
      </c>
      <c r="BU275" s="32">
        <f>$E225*Common!BV$69</f>
        <v>0</v>
      </c>
      <c r="BV275" s="32">
        <f>$E225*Common!BW$69</f>
        <v>0</v>
      </c>
      <c r="BW275" s="32">
        <f>$E225*Common!BX$69</f>
        <v>0</v>
      </c>
      <c r="BX275" s="32">
        <f>$E225*Common!BY$69</f>
        <v>0</v>
      </c>
      <c r="BY275" s="32">
        <f>$E225*Common!BZ$69</f>
        <v>0</v>
      </c>
      <c r="BZ275" s="32">
        <f>$E225*Common!CA$69</f>
        <v>0</v>
      </c>
      <c r="CA275" s="32">
        <f>$E225*Common!CB$69</f>
        <v>0</v>
      </c>
      <c r="CB275" s="32">
        <f>$E225*Common!CC$69</f>
        <v>0</v>
      </c>
      <c r="CC275" s="32">
        <f>$E225*Common!CD$69</f>
        <v>0</v>
      </c>
      <c r="CD275" s="32">
        <f>$E225*Common!CE$69</f>
        <v>0</v>
      </c>
      <c r="CE275" s="32">
        <f>$E225*Common!CF$69</f>
        <v>0</v>
      </c>
      <c r="CF275" s="32">
        <f>$E225*Common!CG$69</f>
        <v>0</v>
      </c>
      <c r="CG275" s="32">
        <f>$E225*Common!CH$69</f>
        <v>0</v>
      </c>
      <c r="CH275" s="32">
        <f>$E225*Common!CI$69</f>
        <v>0</v>
      </c>
      <c r="CI275" s="32">
        <f>$E225*Common!CJ$69</f>
        <v>0</v>
      </c>
      <c r="CR275" s="32">
        <f t="shared" ref="CR275:CS275" si="52">C225</f>
        <v>0.7</v>
      </c>
      <c r="CS275" s="32">
        <f t="shared" si="52"/>
        <v>0</v>
      </c>
      <c r="CV275">
        <f t="shared" si="24"/>
        <v>0</v>
      </c>
      <c r="CW275">
        <f t="shared" si="25"/>
        <v>0</v>
      </c>
      <c r="CX275">
        <f t="shared" si="26"/>
        <v>0</v>
      </c>
      <c r="CY275">
        <f t="shared" si="27"/>
        <v>0</v>
      </c>
      <c r="CZ275">
        <f t="shared" si="28"/>
        <v>0</v>
      </c>
      <c r="DA275">
        <f t="shared" si="29"/>
        <v>0</v>
      </c>
      <c r="DB275">
        <f t="shared" si="30"/>
        <v>0</v>
      </c>
      <c r="DF275" s="32">
        <f t="shared" si="31"/>
        <v>3.8657276550043411</v>
      </c>
      <c r="DI275">
        <f>SUM('SS Material Flow'!C206:J206)/'SS Material Flow'!B115</f>
        <v>1.5000000000000002E-3</v>
      </c>
      <c r="DK275">
        <f>'SS Material Flow'!B206/'SS Material Flow'!B115</f>
        <v>0.99850000000000005</v>
      </c>
    </row>
    <row r="276" spans="1:115" x14ac:dyDescent="0.35">
      <c r="A276" t="str">
        <f t="shared" si="21"/>
        <v>Mixed Plastic</v>
      </c>
      <c r="B276" s="32">
        <f>$E226*Common!C$69</f>
        <v>0</v>
      </c>
      <c r="C276" s="32">
        <f>$E226*Common!D$69</f>
        <v>0</v>
      </c>
      <c r="D276" s="32">
        <f>$E226*Common!E$69</f>
        <v>0</v>
      </c>
      <c r="E276" s="32">
        <f>$E226*Common!F$69</f>
        <v>0</v>
      </c>
      <c r="F276" s="32">
        <f>$E226*Common!G$69</f>
        <v>0</v>
      </c>
      <c r="G276" s="32">
        <f>$E226*Common!H$69</f>
        <v>0</v>
      </c>
      <c r="H276" s="32">
        <f>$E226*Common!I$69</f>
        <v>0</v>
      </c>
      <c r="I276" s="32">
        <f>$E226*Common!J$69</f>
        <v>0</v>
      </c>
      <c r="J276" s="32">
        <f>$E226*Common!K$69</f>
        <v>0</v>
      </c>
      <c r="K276" s="32">
        <f>$E226*Common!L$69</f>
        <v>0</v>
      </c>
      <c r="L276" s="32">
        <f>$E226*Common!M$69</f>
        <v>0</v>
      </c>
      <c r="M276" s="32">
        <f>$E226*Common!N$69</f>
        <v>0</v>
      </c>
      <c r="N276" s="32">
        <f>$E226*Common!O$69</f>
        <v>0</v>
      </c>
      <c r="O276" s="32">
        <f>$E226*Common!P$69</f>
        <v>0</v>
      </c>
      <c r="P276" s="32">
        <f>$E226*Common!Q$69</f>
        <v>0</v>
      </c>
      <c r="Q276" s="32">
        <f>$E226*Common!R$69</f>
        <v>0</v>
      </c>
      <c r="R276" s="32">
        <f>$E226*Common!S$69</f>
        <v>0</v>
      </c>
      <c r="S276" s="32">
        <f>$E226*Common!T$69</f>
        <v>0</v>
      </c>
      <c r="T276" s="32">
        <f>$E226*Common!U$69</f>
        <v>0</v>
      </c>
      <c r="U276" s="32">
        <f>$E226*Common!V$69</f>
        <v>0</v>
      </c>
      <c r="V276" s="32">
        <f>$E226*Common!W$69</f>
        <v>0</v>
      </c>
      <c r="W276" s="32">
        <f>$E226*Common!X$69</f>
        <v>0</v>
      </c>
      <c r="X276" s="32">
        <f>$E226*Common!Y$69</f>
        <v>0</v>
      </c>
      <c r="Y276" s="32">
        <f>$E226*Common!Z$69</f>
        <v>0</v>
      </c>
      <c r="Z276" s="32">
        <f>$E226*Common!AA$69</f>
        <v>0</v>
      </c>
      <c r="AA276" s="32">
        <f>$E226*Common!AB$69</f>
        <v>0</v>
      </c>
      <c r="AB276" s="32">
        <f>$E226*Common!AC$69</f>
        <v>0</v>
      </c>
      <c r="AC276" s="32">
        <f>$E226*Common!AD$69</f>
        <v>0</v>
      </c>
      <c r="AD276" s="32">
        <f>$E226*Common!AE$69</f>
        <v>0</v>
      </c>
      <c r="AE276" s="32">
        <f>$E226*Common!AF$69</f>
        <v>0</v>
      </c>
      <c r="AF276" s="32">
        <f>$E226*Common!AG$69</f>
        <v>0</v>
      </c>
      <c r="AG276" s="32">
        <f>$E226*Common!AH$69</f>
        <v>0</v>
      </c>
      <c r="AH276" s="32">
        <f>$E226*Common!AI$69</f>
        <v>0</v>
      </c>
      <c r="AI276" s="32">
        <f>$E226*Common!AJ$69</f>
        <v>0</v>
      </c>
      <c r="AJ276" s="32">
        <f>$E226*Common!AK$69</f>
        <v>0</v>
      </c>
      <c r="AK276" s="32">
        <f>$E226*Common!AL$69</f>
        <v>0</v>
      </c>
      <c r="AL276" s="32">
        <f>$E226*Common!AM$69</f>
        <v>0</v>
      </c>
      <c r="AM276" s="32">
        <f>$E226*Common!AN$69</f>
        <v>0</v>
      </c>
      <c r="AN276" s="32">
        <f>$E226*Common!AO$69</f>
        <v>0</v>
      </c>
      <c r="AO276" s="32">
        <f>$E226*Common!AP$69</f>
        <v>0</v>
      </c>
      <c r="AP276" s="32">
        <f>$E226*Common!AQ$69</f>
        <v>0</v>
      </c>
      <c r="AQ276" s="32">
        <f>$E226*Common!AR$69</f>
        <v>0</v>
      </c>
      <c r="AR276" s="32">
        <f>$E226*Common!AS$69</f>
        <v>0</v>
      </c>
      <c r="AS276" s="32">
        <f>$E226*Common!AT$69</f>
        <v>0</v>
      </c>
      <c r="AT276" s="32">
        <f>$E226*Common!AU$69</f>
        <v>0</v>
      </c>
      <c r="AU276" s="32">
        <f>$E226*Common!AV$69</f>
        <v>0</v>
      </c>
      <c r="AV276" s="32">
        <f>$E226*Common!AW$69</f>
        <v>0</v>
      </c>
      <c r="AW276" s="32">
        <f>$E226*Common!AX$69</f>
        <v>0</v>
      </c>
      <c r="AX276" s="32">
        <f>$E226*Common!AY$69</f>
        <v>0</v>
      </c>
      <c r="AY276" s="32">
        <f>$E226*Common!AZ$69</f>
        <v>0</v>
      </c>
      <c r="AZ276" s="32">
        <f>$E226*Common!BA$69</f>
        <v>0</v>
      </c>
      <c r="BA276" s="32">
        <f>$E226*Common!BB$69</f>
        <v>0</v>
      </c>
      <c r="BB276" s="32">
        <f>$E226*Common!BC$69</f>
        <v>0</v>
      </c>
      <c r="BC276" s="32">
        <f>$E226*Common!BD$69</f>
        <v>0</v>
      </c>
      <c r="BD276" s="32">
        <f>$E226*Common!BE$69</f>
        <v>0</v>
      </c>
      <c r="BE276" s="32">
        <f>$E226*Common!BF$69</f>
        <v>0</v>
      </c>
      <c r="BF276" s="32">
        <f>$E226*Common!BG$69</f>
        <v>0</v>
      </c>
      <c r="BG276" s="32">
        <f>$E226*Common!BH$69</f>
        <v>0</v>
      </c>
      <c r="BH276" s="32">
        <f>$E226*Common!BI$69</f>
        <v>0</v>
      </c>
      <c r="BI276" s="32">
        <f>$E226*Common!BJ$69</f>
        <v>0</v>
      </c>
      <c r="BJ276" s="32">
        <f>$E226*Common!BK$69</f>
        <v>0</v>
      </c>
      <c r="BK276" s="32">
        <f>$E226*Common!BL$69</f>
        <v>0</v>
      </c>
      <c r="BL276" s="32">
        <f>$E226*Common!BM$69</f>
        <v>0</v>
      </c>
      <c r="BM276" s="32">
        <f>$E226*Common!BN$69</f>
        <v>0</v>
      </c>
      <c r="BN276" s="32">
        <f>$E226*Common!BO$69</f>
        <v>0</v>
      </c>
      <c r="BO276" s="32">
        <f>$E226*Common!BP$69</f>
        <v>0</v>
      </c>
      <c r="BP276" s="32">
        <f>$E226*Common!BQ$69</f>
        <v>0</v>
      </c>
      <c r="BQ276" s="32">
        <f>$E226*Common!BR$69</f>
        <v>0</v>
      </c>
      <c r="BR276" s="32">
        <f>$E226*Common!BS$69</f>
        <v>0</v>
      </c>
      <c r="BS276" s="32">
        <f>$E226*Common!BT$69</f>
        <v>0</v>
      </c>
      <c r="BT276" s="32">
        <f>$E226*Common!BU$69</f>
        <v>0</v>
      </c>
      <c r="BU276" s="32">
        <f>$E226*Common!BV$69</f>
        <v>0</v>
      </c>
      <c r="BV276" s="32">
        <f>$E226*Common!BW$69</f>
        <v>0</v>
      </c>
      <c r="BW276" s="32">
        <f>$E226*Common!BX$69</f>
        <v>0</v>
      </c>
      <c r="BX276" s="32">
        <f>$E226*Common!BY$69</f>
        <v>0</v>
      </c>
      <c r="BY276" s="32">
        <f>$E226*Common!BZ$69</f>
        <v>0</v>
      </c>
      <c r="BZ276" s="32">
        <f>$E226*Common!CA$69</f>
        <v>0</v>
      </c>
      <c r="CA276" s="32">
        <f>$E226*Common!CB$69</f>
        <v>0</v>
      </c>
      <c r="CB276" s="32">
        <f>$E226*Common!CC$69</f>
        <v>0</v>
      </c>
      <c r="CC276" s="32">
        <f>$E226*Common!CD$69</f>
        <v>0</v>
      </c>
      <c r="CD276" s="32">
        <f>$E226*Common!CE$69</f>
        <v>0</v>
      </c>
      <c r="CE276" s="32">
        <f>$E226*Common!CF$69</f>
        <v>0</v>
      </c>
      <c r="CF276" s="32">
        <f>$E226*Common!CG$69</f>
        <v>0</v>
      </c>
      <c r="CG276" s="32">
        <f>$E226*Common!CH$69</f>
        <v>0</v>
      </c>
      <c r="CH276" s="32">
        <f>$E226*Common!CI$69</f>
        <v>0</v>
      </c>
      <c r="CI276" s="32">
        <f>$E226*Common!CJ$69</f>
        <v>0</v>
      </c>
      <c r="CR276" s="32">
        <f t="shared" ref="CR276:CS276" si="53">C226</f>
        <v>0.7</v>
      </c>
      <c r="CS276" s="32">
        <f t="shared" si="53"/>
        <v>0</v>
      </c>
      <c r="CV276">
        <f t="shared" si="24"/>
        <v>0</v>
      </c>
      <c r="CW276">
        <f t="shared" si="25"/>
        <v>0</v>
      </c>
      <c r="CX276">
        <f t="shared" si="26"/>
        <v>0</v>
      </c>
      <c r="CY276">
        <f t="shared" si="27"/>
        <v>0</v>
      </c>
      <c r="CZ276">
        <f t="shared" si="28"/>
        <v>0</v>
      </c>
      <c r="DA276">
        <f t="shared" si="29"/>
        <v>0</v>
      </c>
      <c r="DB276">
        <f t="shared" si="30"/>
        <v>0</v>
      </c>
      <c r="DF276" s="32">
        <f t="shared" si="31"/>
        <v>3.8657276550043411</v>
      </c>
      <c r="DI276">
        <f>SUM('SS Material Flow'!C207:J207)/'SS Material Flow'!B116</f>
        <v>1.5000000000000002E-3</v>
      </c>
      <c r="DK276">
        <f>'SS Material Flow'!B207/'SS Material Flow'!B116</f>
        <v>0.99850000000000005</v>
      </c>
    </row>
    <row r="277" spans="1:115" x14ac:dyDescent="0.35">
      <c r="A277" t="str">
        <f t="shared" si="21"/>
        <v>Plastic Film</v>
      </c>
      <c r="B277" s="32">
        <f>$E227*Common!C$69</f>
        <v>1.0081701117503299</v>
      </c>
      <c r="C277" s="32">
        <f>$E227*Common!D$69</f>
        <v>0</v>
      </c>
      <c r="D277" s="32">
        <f>$E227*Common!E$69</f>
        <v>0</v>
      </c>
      <c r="E277" s="32">
        <f>$E227*Common!F$69</f>
        <v>0</v>
      </c>
      <c r="F277" s="32">
        <f>$E227*Common!G$69</f>
        <v>0</v>
      </c>
      <c r="G277" s="32">
        <f>$E227*Common!H$69</f>
        <v>0</v>
      </c>
      <c r="H277" s="32">
        <f>$E227*Common!I$69</f>
        <v>0</v>
      </c>
      <c r="I277" s="32">
        <f>$E227*Common!J$69</f>
        <v>0</v>
      </c>
      <c r="J277" s="32">
        <f>$E227*Common!K$69</f>
        <v>0</v>
      </c>
      <c r="K277" s="32">
        <f>$E227*Common!L$69</f>
        <v>0</v>
      </c>
      <c r="L277" s="32">
        <f>$E227*Common!M$69</f>
        <v>0</v>
      </c>
      <c r="M277" s="32">
        <f>$E227*Common!N$69</f>
        <v>0</v>
      </c>
      <c r="N277" s="32">
        <f>$E227*Common!O$69</f>
        <v>0</v>
      </c>
      <c r="O277" s="32">
        <f>$E227*Common!P$69</f>
        <v>0</v>
      </c>
      <c r="P277" s="32">
        <f>$E227*Common!Q$69</f>
        <v>0</v>
      </c>
      <c r="Q277" s="32">
        <f>$E227*Common!R$69</f>
        <v>0</v>
      </c>
      <c r="R277" s="32">
        <f>$E227*Common!S$69</f>
        <v>0</v>
      </c>
      <c r="S277" s="32">
        <f>$E227*Common!T$69</f>
        <v>0</v>
      </c>
      <c r="T277" s="32">
        <f>$E227*Common!U$69</f>
        <v>0</v>
      </c>
      <c r="U277" s="32">
        <f>$E227*Common!V$69</f>
        <v>0</v>
      </c>
      <c r="V277" s="32">
        <f>$E227*Common!W$69</f>
        <v>0</v>
      </c>
      <c r="W277" s="32">
        <f>$E227*Common!X$69</f>
        <v>0</v>
      </c>
      <c r="X277" s="32">
        <f>$E227*Common!Y$69</f>
        <v>0</v>
      </c>
      <c r="Y277" s="32">
        <f>$E227*Common!Z$69</f>
        <v>0</v>
      </c>
      <c r="Z277" s="32">
        <f>$E227*Common!AA$69</f>
        <v>0</v>
      </c>
      <c r="AA277" s="32">
        <f>$E227*Common!AB$69</f>
        <v>0</v>
      </c>
      <c r="AB277" s="32">
        <f>$E227*Common!AC$69</f>
        <v>0</v>
      </c>
      <c r="AC277" s="32">
        <f>$E227*Common!AD$69</f>
        <v>0</v>
      </c>
      <c r="AD277" s="32">
        <f>$E227*Common!AE$69</f>
        <v>0</v>
      </c>
      <c r="AE277" s="32">
        <f>$E227*Common!AF$69</f>
        <v>0</v>
      </c>
      <c r="AF277" s="32">
        <f>$E227*Common!AG$69</f>
        <v>0</v>
      </c>
      <c r="AG277" s="32">
        <f>$E227*Common!AH$69</f>
        <v>0</v>
      </c>
      <c r="AH277" s="32">
        <f>$E227*Common!AI$69</f>
        <v>0</v>
      </c>
      <c r="AI277" s="32">
        <f>$E227*Common!AJ$69</f>
        <v>0</v>
      </c>
      <c r="AJ277" s="32">
        <f>$E227*Common!AK$69</f>
        <v>0</v>
      </c>
      <c r="AK277" s="32">
        <f>$E227*Common!AL$69</f>
        <v>0</v>
      </c>
      <c r="AL277" s="32">
        <f>$E227*Common!AM$69</f>
        <v>0</v>
      </c>
      <c r="AM277" s="32">
        <f>$E227*Common!AN$69</f>
        <v>0</v>
      </c>
      <c r="AN277" s="32">
        <f>$E227*Common!AO$69</f>
        <v>0</v>
      </c>
      <c r="AO277" s="32">
        <f>$E227*Common!AP$69</f>
        <v>0</v>
      </c>
      <c r="AP277" s="32">
        <f>$E227*Common!AQ$69</f>
        <v>0</v>
      </c>
      <c r="AQ277" s="32">
        <f>$E227*Common!AR$69</f>
        <v>0</v>
      </c>
      <c r="AR277" s="32">
        <f>$E227*Common!AS$69</f>
        <v>0</v>
      </c>
      <c r="AS277" s="32">
        <f>$E227*Common!AT$69</f>
        <v>0</v>
      </c>
      <c r="AT277" s="32">
        <f>$E227*Common!AU$69</f>
        <v>0</v>
      </c>
      <c r="AU277" s="32">
        <f>$E227*Common!AV$69</f>
        <v>0</v>
      </c>
      <c r="AV277" s="32">
        <f>$E227*Common!AW$69</f>
        <v>0</v>
      </c>
      <c r="AW277" s="32">
        <f>$E227*Common!AX$69</f>
        <v>0</v>
      </c>
      <c r="AX277" s="32">
        <f>$E227*Common!AY$69</f>
        <v>0</v>
      </c>
      <c r="AY277" s="32">
        <f>$E227*Common!AZ$69</f>
        <v>0</v>
      </c>
      <c r="AZ277" s="32">
        <f>$E227*Common!BA$69</f>
        <v>0</v>
      </c>
      <c r="BA277" s="32">
        <f>$E227*Common!BB$69</f>
        <v>0</v>
      </c>
      <c r="BB277" s="32">
        <f>$E227*Common!BC$69</f>
        <v>0</v>
      </c>
      <c r="BC277" s="32">
        <f>$E227*Common!BD$69</f>
        <v>0</v>
      </c>
      <c r="BD277" s="32">
        <f>$E227*Common!BE$69</f>
        <v>0</v>
      </c>
      <c r="BE277" s="32">
        <f>$E227*Common!BF$69</f>
        <v>0</v>
      </c>
      <c r="BF277" s="32">
        <f>$E227*Common!BG$69</f>
        <v>0</v>
      </c>
      <c r="BG277" s="32">
        <f>$E227*Common!BH$69</f>
        <v>0</v>
      </c>
      <c r="BH277" s="32">
        <f>$E227*Common!BI$69</f>
        <v>0</v>
      </c>
      <c r="BI277" s="32">
        <f>$E227*Common!BJ$69</f>
        <v>0</v>
      </c>
      <c r="BJ277" s="32">
        <f>$E227*Common!BK$69</f>
        <v>0</v>
      </c>
      <c r="BK277" s="32">
        <f>$E227*Common!BL$69</f>
        <v>0</v>
      </c>
      <c r="BL277" s="32">
        <f>$E227*Common!BM$69</f>
        <v>0</v>
      </c>
      <c r="BM277" s="32">
        <f>$E227*Common!BN$69</f>
        <v>0</v>
      </c>
      <c r="BN277" s="32">
        <f>$E227*Common!BO$69</f>
        <v>0</v>
      </c>
      <c r="BO277" s="32">
        <f>$E227*Common!BP$69</f>
        <v>0</v>
      </c>
      <c r="BP277" s="32">
        <f>$E227*Common!BQ$69</f>
        <v>0</v>
      </c>
      <c r="BQ277" s="32">
        <f>$E227*Common!BR$69</f>
        <v>0</v>
      </c>
      <c r="BR277" s="32">
        <f>$E227*Common!BS$69</f>
        <v>0</v>
      </c>
      <c r="BS277" s="32">
        <f>$E227*Common!BT$69</f>
        <v>0</v>
      </c>
      <c r="BT277" s="32">
        <f>$E227*Common!BU$69</f>
        <v>0</v>
      </c>
      <c r="BU277" s="32">
        <f>$E227*Common!BV$69</f>
        <v>0</v>
      </c>
      <c r="BV277" s="32">
        <f>$E227*Common!BW$69</f>
        <v>0</v>
      </c>
      <c r="BW277" s="32">
        <f>$E227*Common!BX$69</f>
        <v>0</v>
      </c>
      <c r="BX277" s="32">
        <f>$E227*Common!BY$69</f>
        <v>0</v>
      </c>
      <c r="BY277" s="32">
        <f>$E227*Common!BZ$69</f>
        <v>0</v>
      </c>
      <c r="BZ277" s="32">
        <f>$E227*Common!CA$69</f>
        <v>0</v>
      </c>
      <c r="CA277" s="32">
        <f>$E227*Common!CB$69</f>
        <v>0</v>
      </c>
      <c r="CB277" s="32">
        <f>$E227*Common!CC$69</f>
        <v>0</v>
      </c>
      <c r="CC277" s="32">
        <f>$E227*Common!CD$69</f>
        <v>0</v>
      </c>
      <c r="CD277" s="32">
        <f>$E227*Common!CE$69</f>
        <v>0</v>
      </c>
      <c r="CE277" s="32">
        <f>$E227*Common!CF$69</f>
        <v>0</v>
      </c>
      <c r="CF277" s="32">
        <f>$E227*Common!CG$69</f>
        <v>0</v>
      </c>
      <c r="CG277" s="32">
        <f>$E227*Common!CH$69</f>
        <v>0</v>
      </c>
      <c r="CH277" s="32">
        <f>$E227*Common!CI$69</f>
        <v>0</v>
      </c>
      <c r="CI277" s="32">
        <f>$E227*Common!CJ$69</f>
        <v>0</v>
      </c>
      <c r="CR277" s="32">
        <f t="shared" ref="CR277:CS277" si="54">C227</f>
        <v>0.7</v>
      </c>
      <c r="CS277" s="32">
        <f t="shared" si="54"/>
        <v>0</v>
      </c>
      <c r="CV277">
        <f t="shared" si="24"/>
        <v>0</v>
      </c>
      <c r="CW277">
        <f t="shared" si="25"/>
        <v>0</v>
      </c>
      <c r="CX277">
        <f t="shared" si="26"/>
        <v>0</v>
      </c>
      <c r="CY277">
        <f t="shared" si="27"/>
        <v>0</v>
      </c>
      <c r="CZ277">
        <f t="shared" si="28"/>
        <v>0</v>
      </c>
      <c r="DA277">
        <f t="shared" si="29"/>
        <v>0</v>
      </c>
      <c r="DB277">
        <f t="shared" si="30"/>
        <v>0</v>
      </c>
      <c r="DF277" s="32">
        <f t="shared" si="31"/>
        <v>2.9569559508619667</v>
      </c>
      <c r="DI277">
        <f>SUM('SS Material Flow'!C208:J208)/'SS Material Flow'!B117</f>
        <v>0.9</v>
      </c>
      <c r="DK277">
        <f>'SS Material Flow'!B208/'SS Material Flow'!B117</f>
        <v>0.1</v>
      </c>
    </row>
    <row r="278" spans="1:115" x14ac:dyDescent="0.35">
      <c r="A278" t="str">
        <f t="shared" si="21"/>
        <v xml:space="preserve">Plastic - Non-Recyclable </v>
      </c>
      <c r="B278" s="32">
        <f>$E228*Common!C$69</f>
        <v>0</v>
      </c>
      <c r="C278" s="32">
        <f>$E228*Common!D$69</f>
        <v>0</v>
      </c>
      <c r="D278" s="32">
        <f>$E228*Common!E$69</f>
        <v>0</v>
      </c>
      <c r="E278" s="32">
        <f>$E228*Common!F$69</f>
        <v>0</v>
      </c>
      <c r="F278" s="32">
        <f>$E228*Common!G$69</f>
        <v>0</v>
      </c>
      <c r="G278" s="32">
        <f>$E228*Common!H$69</f>
        <v>0</v>
      </c>
      <c r="H278" s="32">
        <f>$E228*Common!I$69</f>
        <v>0</v>
      </c>
      <c r="I278" s="32">
        <f>$E228*Common!J$69</f>
        <v>0</v>
      </c>
      <c r="J278" s="32">
        <f>$E228*Common!K$69</f>
        <v>0</v>
      </c>
      <c r="K278" s="32">
        <f>$E228*Common!L$69</f>
        <v>0</v>
      </c>
      <c r="L278" s="32">
        <f>$E228*Common!M$69</f>
        <v>0</v>
      </c>
      <c r="M278" s="32">
        <f>$E228*Common!N$69</f>
        <v>0</v>
      </c>
      <c r="N278" s="32">
        <f>$E228*Common!O$69</f>
        <v>0</v>
      </c>
      <c r="O278" s="32">
        <f>$E228*Common!P$69</f>
        <v>0</v>
      </c>
      <c r="P278" s="32">
        <f>$E228*Common!Q$69</f>
        <v>0</v>
      </c>
      <c r="Q278" s="32">
        <f>$E228*Common!R$69</f>
        <v>0</v>
      </c>
      <c r="R278" s="32">
        <f>$E228*Common!S$69</f>
        <v>0</v>
      </c>
      <c r="S278" s="32">
        <f>$E228*Common!T$69</f>
        <v>0</v>
      </c>
      <c r="T278" s="32">
        <f>$E228*Common!U$69</f>
        <v>0</v>
      </c>
      <c r="U278" s="32">
        <f>$E228*Common!V$69</f>
        <v>0</v>
      </c>
      <c r="V278" s="32">
        <f>$E228*Common!W$69</f>
        <v>0</v>
      </c>
      <c r="W278" s="32">
        <f>$E228*Common!X$69</f>
        <v>0</v>
      </c>
      <c r="X278" s="32">
        <f>$E228*Common!Y$69</f>
        <v>0</v>
      </c>
      <c r="Y278" s="32">
        <f>$E228*Common!Z$69</f>
        <v>0</v>
      </c>
      <c r="Z278" s="32">
        <f>$E228*Common!AA$69</f>
        <v>0</v>
      </c>
      <c r="AA278" s="32">
        <f>$E228*Common!AB$69</f>
        <v>0</v>
      </c>
      <c r="AB278" s="32">
        <f>$E228*Common!AC$69</f>
        <v>0</v>
      </c>
      <c r="AC278" s="32">
        <f>$E228*Common!AD$69</f>
        <v>0</v>
      </c>
      <c r="AD278" s="32">
        <f>$E228*Common!AE$69</f>
        <v>0</v>
      </c>
      <c r="AE278" s="32">
        <f>$E228*Common!AF$69</f>
        <v>0</v>
      </c>
      <c r="AF278" s="32">
        <f>$E228*Common!AG$69</f>
        <v>0</v>
      </c>
      <c r="AG278" s="32">
        <f>$E228*Common!AH$69</f>
        <v>0</v>
      </c>
      <c r="AH278" s="32">
        <f>$E228*Common!AI$69</f>
        <v>0</v>
      </c>
      <c r="AI278" s="32">
        <f>$E228*Common!AJ$69</f>
        <v>0</v>
      </c>
      <c r="AJ278" s="32">
        <f>$E228*Common!AK$69</f>
        <v>0</v>
      </c>
      <c r="AK278" s="32">
        <f>$E228*Common!AL$69</f>
        <v>0</v>
      </c>
      <c r="AL278" s="32">
        <f>$E228*Common!AM$69</f>
        <v>0</v>
      </c>
      <c r="AM278" s="32">
        <f>$E228*Common!AN$69</f>
        <v>0</v>
      </c>
      <c r="AN278" s="32">
        <f>$E228*Common!AO$69</f>
        <v>0</v>
      </c>
      <c r="AO278" s="32">
        <f>$E228*Common!AP$69</f>
        <v>0</v>
      </c>
      <c r="AP278" s="32">
        <f>$E228*Common!AQ$69</f>
        <v>0</v>
      </c>
      <c r="AQ278" s="32">
        <f>$E228*Common!AR$69</f>
        <v>0</v>
      </c>
      <c r="AR278" s="32">
        <f>$E228*Common!AS$69</f>
        <v>0</v>
      </c>
      <c r="AS278" s="32">
        <f>$E228*Common!AT$69</f>
        <v>0</v>
      </c>
      <c r="AT278" s="32">
        <f>$E228*Common!AU$69</f>
        <v>0</v>
      </c>
      <c r="AU278" s="32">
        <f>$E228*Common!AV$69</f>
        <v>0</v>
      </c>
      <c r="AV278" s="32">
        <f>$E228*Common!AW$69</f>
        <v>0</v>
      </c>
      <c r="AW278" s="32">
        <f>$E228*Common!AX$69</f>
        <v>0</v>
      </c>
      <c r="AX278" s="32">
        <f>$E228*Common!AY$69</f>
        <v>0</v>
      </c>
      <c r="AY278" s="32">
        <f>$E228*Common!AZ$69</f>
        <v>0</v>
      </c>
      <c r="AZ278" s="32">
        <f>$E228*Common!BA$69</f>
        <v>0</v>
      </c>
      <c r="BA278" s="32">
        <f>$E228*Common!BB$69</f>
        <v>0</v>
      </c>
      <c r="BB278" s="32">
        <f>$E228*Common!BC$69</f>
        <v>0</v>
      </c>
      <c r="BC278" s="32">
        <f>$E228*Common!BD$69</f>
        <v>0</v>
      </c>
      <c r="BD278" s="32">
        <f>$E228*Common!BE$69</f>
        <v>0</v>
      </c>
      <c r="BE278" s="32">
        <f>$E228*Common!BF$69</f>
        <v>0</v>
      </c>
      <c r="BF278" s="32">
        <f>$E228*Common!BG$69</f>
        <v>0</v>
      </c>
      <c r="BG278" s="32">
        <f>$E228*Common!BH$69</f>
        <v>0</v>
      </c>
      <c r="BH278" s="32">
        <f>$E228*Common!BI$69</f>
        <v>0</v>
      </c>
      <c r="BI278" s="32">
        <f>$E228*Common!BJ$69</f>
        <v>0</v>
      </c>
      <c r="BJ278" s="32">
        <f>$E228*Common!BK$69</f>
        <v>0</v>
      </c>
      <c r="BK278" s="32">
        <f>$E228*Common!BL$69</f>
        <v>0</v>
      </c>
      <c r="BL278" s="32">
        <f>$E228*Common!BM$69</f>
        <v>0</v>
      </c>
      <c r="BM278" s="32">
        <f>$E228*Common!BN$69</f>
        <v>0</v>
      </c>
      <c r="BN278" s="32">
        <f>$E228*Common!BO$69</f>
        <v>0</v>
      </c>
      <c r="BO278" s="32">
        <f>$E228*Common!BP$69</f>
        <v>0</v>
      </c>
      <c r="BP278" s="32">
        <f>$E228*Common!BQ$69</f>
        <v>0</v>
      </c>
      <c r="BQ278" s="32">
        <f>$E228*Common!BR$69</f>
        <v>0</v>
      </c>
      <c r="BR278" s="32">
        <f>$E228*Common!BS$69</f>
        <v>0</v>
      </c>
      <c r="BS278" s="32">
        <f>$E228*Common!BT$69</f>
        <v>0</v>
      </c>
      <c r="BT278" s="32">
        <f>$E228*Common!BU$69</f>
        <v>0</v>
      </c>
      <c r="BU278" s="32">
        <f>$E228*Common!BV$69</f>
        <v>0</v>
      </c>
      <c r="BV278" s="32">
        <f>$E228*Common!BW$69</f>
        <v>0</v>
      </c>
      <c r="BW278" s="32">
        <f>$E228*Common!BX$69</f>
        <v>0</v>
      </c>
      <c r="BX278" s="32">
        <f>$E228*Common!BY$69</f>
        <v>0</v>
      </c>
      <c r="BY278" s="32">
        <f>$E228*Common!BZ$69</f>
        <v>0</v>
      </c>
      <c r="BZ278" s="32">
        <f>$E228*Common!CA$69</f>
        <v>0</v>
      </c>
      <c r="CA278" s="32">
        <f>$E228*Common!CB$69</f>
        <v>0</v>
      </c>
      <c r="CB278" s="32">
        <f>$E228*Common!CC$69</f>
        <v>0</v>
      </c>
      <c r="CC278" s="32">
        <f>$E228*Common!CD$69</f>
        <v>0</v>
      </c>
      <c r="CD278" s="32">
        <f>$E228*Common!CE$69</f>
        <v>0</v>
      </c>
      <c r="CE278" s="32">
        <f>$E228*Common!CF$69</f>
        <v>0</v>
      </c>
      <c r="CF278" s="32">
        <f>$E228*Common!CG$69</f>
        <v>0</v>
      </c>
      <c r="CG278" s="32">
        <f>$E228*Common!CH$69</f>
        <v>0</v>
      </c>
      <c r="CH278" s="32">
        <f>$E228*Common!CI$69</f>
        <v>0</v>
      </c>
      <c r="CI278" s="32">
        <f>$E228*Common!CJ$69</f>
        <v>0</v>
      </c>
      <c r="CR278" s="32">
        <f t="shared" ref="CR278:CS278" si="55">C228</f>
        <v>0.7</v>
      </c>
      <c r="CS278" s="32">
        <f t="shared" si="55"/>
        <v>0</v>
      </c>
      <c r="CV278">
        <f t="shared" si="24"/>
        <v>0</v>
      </c>
      <c r="CW278">
        <f t="shared" si="25"/>
        <v>0</v>
      </c>
      <c r="CX278">
        <f t="shared" si="26"/>
        <v>0</v>
      </c>
      <c r="CY278">
        <f t="shared" si="27"/>
        <v>0</v>
      </c>
      <c r="CZ278">
        <f t="shared" si="28"/>
        <v>0</v>
      </c>
      <c r="DA278">
        <f t="shared" si="29"/>
        <v>0</v>
      </c>
      <c r="DB278">
        <f t="shared" si="30"/>
        <v>0</v>
      </c>
      <c r="DF278" s="32">
        <f t="shared" si="31"/>
        <v>3.5917727575846561</v>
      </c>
      <c r="DI278">
        <f>SUM('SS Material Flow'!C209:J209)/'SS Material Flow'!B118</f>
        <v>0</v>
      </c>
      <c r="DK278">
        <f>'SS Material Flow'!B209/'SS Material Flow'!B118</f>
        <v>1</v>
      </c>
    </row>
    <row r="279" spans="1:115" x14ac:dyDescent="0.35">
      <c r="A279" t="str">
        <f t="shared" si="21"/>
        <v>Ferrous Cans</v>
      </c>
      <c r="B279" s="32">
        <f>$E229*Common!C$69</f>
        <v>0.69615648908938776</v>
      </c>
      <c r="C279" s="32">
        <f>$E229*Common!D$69</f>
        <v>0</v>
      </c>
      <c r="D279" s="32">
        <f>$E229*Common!E$69</f>
        <v>0</v>
      </c>
      <c r="E279" s="32">
        <f>$E229*Common!F$69</f>
        <v>0</v>
      </c>
      <c r="F279" s="32">
        <f>$E229*Common!G$69</f>
        <v>0</v>
      </c>
      <c r="G279" s="32">
        <f>$E229*Common!H$69</f>
        <v>0</v>
      </c>
      <c r="H279" s="32">
        <f>$E229*Common!I$69</f>
        <v>0</v>
      </c>
      <c r="I279" s="32">
        <f>$E229*Common!J$69</f>
        <v>0</v>
      </c>
      <c r="J279" s="32">
        <f>$E229*Common!K$69</f>
        <v>0</v>
      </c>
      <c r="K279" s="32">
        <f>$E229*Common!L$69</f>
        <v>0</v>
      </c>
      <c r="L279" s="32">
        <f>$E229*Common!M$69</f>
        <v>0</v>
      </c>
      <c r="M279" s="32">
        <f>$E229*Common!N$69</f>
        <v>0</v>
      </c>
      <c r="N279" s="32">
        <f>$E229*Common!O$69</f>
        <v>0</v>
      </c>
      <c r="O279" s="32">
        <f>$E229*Common!P$69</f>
        <v>0</v>
      </c>
      <c r="P279" s="32">
        <f>$E229*Common!Q$69</f>
        <v>0</v>
      </c>
      <c r="Q279" s="32">
        <f>$E229*Common!R$69</f>
        <v>0</v>
      </c>
      <c r="R279" s="32">
        <f>$E229*Common!S$69</f>
        <v>0</v>
      </c>
      <c r="S279" s="32">
        <f>$E229*Common!T$69</f>
        <v>0</v>
      </c>
      <c r="T279" s="32">
        <f>$E229*Common!U$69</f>
        <v>0</v>
      </c>
      <c r="U279" s="32">
        <f>$E229*Common!V$69</f>
        <v>0</v>
      </c>
      <c r="V279" s="32">
        <f>$E229*Common!W$69</f>
        <v>0</v>
      </c>
      <c r="W279" s="32">
        <f>$E229*Common!X$69</f>
        <v>0</v>
      </c>
      <c r="X279" s="32">
        <f>$E229*Common!Y$69</f>
        <v>0</v>
      </c>
      <c r="Y279" s="32">
        <f>$E229*Common!Z$69</f>
        <v>0</v>
      </c>
      <c r="Z279" s="32">
        <f>$E229*Common!AA$69</f>
        <v>0</v>
      </c>
      <c r="AA279" s="32">
        <f>$E229*Common!AB$69</f>
        <v>0</v>
      </c>
      <c r="AB279" s="32">
        <f>$E229*Common!AC$69</f>
        <v>0</v>
      </c>
      <c r="AC279" s="32">
        <f>$E229*Common!AD$69</f>
        <v>0</v>
      </c>
      <c r="AD279" s="32">
        <f>$E229*Common!AE$69</f>
        <v>0</v>
      </c>
      <c r="AE279" s="32">
        <f>$E229*Common!AF$69</f>
        <v>0</v>
      </c>
      <c r="AF279" s="32">
        <f>$E229*Common!AG$69</f>
        <v>0</v>
      </c>
      <c r="AG279" s="32">
        <f>$E229*Common!AH$69</f>
        <v>0</v>
      </c>
      <c r="AH279" s="32">
        <f>$E229*Common!AI$69</f>
        <v>0</v>
      </c>
      <c r="AI279" s="32">
        <f>$E229*Common!AJ$69</f>
        <v>0</v>
      </c>
      <c r="AJ279" s="32">
        <f>$E229*Common!AK$69</f>
        <v>0</v>
      </c>
      <c r="AK279" s="32">
        <f>$E229*Common!AL$69</f>
        <v>0</v>
      </c>
      <c r="AL279" s="32">
        <f>$E229*Common!AM$69</f>
        <v>0</v>
      </c>
      <c r="AM279" s="32">
        <f>$E229*Common!AN$69</f>
        <v>0</v>
      </c>
      <c r="AN279" s="32">
        <f>$E229*Common!AO$69</f>
        <v>0</v>
      </c>
      <c r="AO279" s="32">
        <f>$E229*Common!AP$69</f>
        <v>0</v>
      </c>
      <c r="AP279" s="32">
        <f>$E229*Common!AQ$69</f>
        <v>0</v>
      </c>
      <c r="AQ279" s="32">
        <f>$E229*Common!AR$69</f>
        <v>0</v>
      </c>
      <c r="AR279" s="32">
        <f>$E229*Common!AS$69</f>
        <v>0</v>
      </c>
      <c r="AS279" s="32">
        <f>$E229*Common!AT$69</f>
        <v>0</v>
      </c>
      <c r="AT279" s="32">
        <f>$E229*Common!AU$69</f>
        <v>0</v>
      </c>
      <c r="AU279" s="32">
        <f>$E229*Common!AV$69</f>
        <v>0</v>
      </c>
      <c r="AV279" s="32">
        <f>$E229*Common!AW$69</f>
        <v>0</v>
      </c>
      <c r="AW279" s="32">
        <f>$E229*Common!AX$69</f>
        <v>0</v>
      </c>
      <c r="AX279" s="32">
        <f>$E229*Common!AY$69</f>
        <v>0</v>
      </c>
      <c r="AY279" s="32">
        <f>$E229*Common!AZ$69</f>
        <v>0</v>
      </c>
      <c r="AZ279" s="32">
        <f>$E229*Common!BA$69</f>
        <v>0</v>
      </c>
      <c r="BA279" s="32">
        <f>$E229*Common!BB$69</f>
        <v>0</v>
      </c>
      <c r="BB279" s="32">
        <f>$E229*Common!BC$69</f>
        <v>0</v>
      </c>
      <c r="BC279" s="32">
        <f>$E229*Common!BD$69</f>
        <v>0</v>
      </c>
      <c r="BD279" s="32">
        <f>$E229*Common!BE$69</f>
        <v>0</v>
      </c>
      <c r="BE279" s="32">
        <f>$E229*Common!BF$69</f>
        <v>0</v>
      </c>
      <c r="BF279" s="32">
        <f>$E229*Common!BG$69</f>
        <v>0</v>
      </c>
      <c r="BG279" s="32">
        <f>$E229*Common!BH$69</f>
        <v>0</v>
      </c>
      <c r="BH279" s="32">
        <f>$E229*Common!BI$69</f>
        <v>0</v>
      </c>
      <c r="BI279" s="32">
        <f>$E229*Common!BJ$69</f>
        <v>0</v>
      </c>
      <c r="BJ279" s="32">
        <f>$E229*Common!BK$69</f>
        <v>0</v>
      </c>
      <c r="BK279" s="32">
        <f>$E229*Common!BL$69</f>
        <v>0</v>
      </c>
      <c r="BL279" s="32">
        <f>$E229*Common!BM$69</f>
        <v>0</v>
      </c>
      <c r="BM279" s="32">
        <f>$E229*Common!BN$69</f>
        <v>0</v>
      </c>
      <c r="BN279" s="32">
        <f>$E229*Common!BO$69</f>
        <v>0</v>
      </c>
      <c r="BO279" s="32">
        <f>$E229*Common!BP$69</f>
        <v>0</v>
      </c>
      <c r="BP279" s="32">
        <f>$E229*Common!BQ$69</f>
        <v>0</v>
      </c>
      <c r="BQ279" s="32">
        <f>$E229*Common!BR$69</f>
        <v>0</v>
      </c>
      <c r="BR279" s="32">
        <f>$E229*Common!BS$69</f>
        <v>0</v>
      </c>
      <c r="BS279" s="32">
        <f>$E229*Common!BT$69</f>
        <v>0</v>
      </c>
      <c r="BT279" s="32">
        <f>$E229*Common!BU$69</f>
        <v>0</v>
      </c>
      <c r="BU279" s="32">
        <f>$E229*Common!BV$69</f>
        <v>0</v>
      </c>
      <c r="BV279" s="32">
        <f>$E229*Common!BW$69</f>
        <v>0</v>
      </c>
      <c r="BW279" s="32">
        <f>$E229*Common!BX$69</f>
        <v>0</v>
      </c>
      <c r="BX279" s="32">
        <f>$E229*Common!BY$69</f>
        <v>0</v>
      </c>
      <c r="BY279" s="32">
        <f>$E229*Common!BZ$69</f>
        <v>0</v>
      </c>
      <c r="BZ279" s="32">
        <f>$E229*Common!CA$69</f>
        <v>0</v>
      </c>
      <c r="CA279" s="32">
        <f>$E229*Common!CB$69</f>
        <v>0</v>
      </c>
      <c r="CB279" s="32">
        <f>$E229*Common!CC$69</f>
        <v>0</v>
      </c>
      <c r="CC279" s="32">
        <f>$E229*Common!CD$69</f>
        <v>0</v>
      </c>
      <c r="CD279" s="32">
        <f>$E229*Common!CE$69</f>
        <v>0</v>
      </c>
      <c r="CE279" s="32">
        <f>$E229*Common!CF$69</f>
        <v>0</v>
      </c>
      <c r="CF279" s="32">
        <f>$E229*Common!CG$69</f>
        <v>0</v>
      </c>
      <c r="CG279" s="32">
        <f>$E229*Common!CH$69</f>
        <v>0</v>
      </c>
      <c r="CH279" s="32">
        <f>$E229*Common!CI$69</f>
        <v>0</v>
      </c>
      <c r="CI279" s="32">
        <f>$E229*Common!CJ$69</f>
        <v>0</v>
      </c>
      <c r="CR279" s="32">
        <f t="shared" ref="CR279:CS279" si="56">C229</f>
        <v>0.7</v>
      </c>
      <c r="CS279" s="32">
        <f t="shared" si="56"/>
        <v>0</v>
      </c>
      <c r="CV279">
        <f t="shared" si="24"/>
        <v>0</v>
      </c>
      <c r="CW279">
        <f t="shared" si="25"/>
        <v>0</v>
      </c>
      <c r="CX279">
        <f t="shared" si="26"/>
        <v>0</v>
      </c>
      <c r="CY279">
        <f t="shared" si="27"/>
        <v>0</v>
      </c>
      <c r="CZ279">
        <f t="shared" si="28"/>
        <v>0</v>
      </c>
      <c r="DA279">
        <f t="shared" si="29"/>
        <v>0</v>
      </c>
      <c r="DB279">
        <f t="shared" si="30"/>
        <v>0</v>
      </c>
      <c r="DF279" s="32">
        <f t="shared" si="31"/>
        <v>7.0431052441695261</v>
      </c>
      <c r="DI279">
        <f>SUM('SS Material Flow'!C210:J210)/'SS Material Flow'!B119</f>
        <v>0.98</v>
      </c>
      <c r="DK279">
        <f>'SS Material Flow'!B210/'SS Material Flow'!B119</f>
        <v>2.0000000000000018E-2</v>
      </c>
    </row>
    <row r="280" spans="1:115" x14ac:dyDescent="0.35">
      <c r="A280" t="str">
        <f t="shared" si="21"/>
        <v>Ferrous Metal - Other</v>
      </c>
      <c r="B280" s="32">
        <f>$E230*Common!C$69</f>
        <v>0.69615648908938765</v>
      </c>
      <c r="C280" s="32">
        <f>$E230*Common!D$69</f>
        <v>0</v>
      </c>
      <c r="D280" s="32">
        <f>$E230*Common!E$69</f>
        <v>0</v>
      </c>
      <c r="E280" s="32">
        <f>$E230*Common!F$69</f>
        <v>0</v>
      </c>
      <c r="F280" s="32">
        <f>$E230*Common!G$69</f>
        <v>0</v>
      </c>
      <c r="G280" s="32">
        <f>$E230*Common!H$69</f>
        <v>0</v>
      </c>
      <c r="H280" s="32">
        <f>$E230*Common!I$69</f>
        <v>0</v>
      </c>
      <c r="I280" s="32">
        <f>$E230*Common!J$69</f>
        <v>0</v>
      </c>
      <c r="J280" s="32">
        <f>$E230*Common!K$69</f>
        <v>0</v>
      </c>
      <c r="K280" s="32">
        <f>$E230*Common!L$69</f>
        <v>0</v>
      </c>
      <c r="L280" s="32">
        <f>$E230*Common!M$69</f>
        <v>0</v>
      </c>
      <c r="M280" s="32">
        <f>$E230*Common!N$69</f>
        <v>0</v>
      </c>
      <c r="N280" s="32">
        <f>$E230*Common!O$69</f>
        <v>0</v>
      </c>
      <c r="O280" s="32">
        <f>$E230*Common!P$69</f>
        <v>0</v>
      </c>
      <c r="P280" s="32">
        <f>$E230*Common!Q$69</f>
        <v>0</v>
      </c>
      <c r="Q280" s="32">
        <f>$E230*Common!R$69</f>
        <v>0</v>
      </c>
      <c r="R280" s="32">
        <f>$E230*Common!S$69</f>
        <v>0</v>
      </c>
      <c r="S280" s="32">
        <f>$E230*Common!T$69</f>
        <v>0</v>
      </c>
      <c r="T280" s="32">
        <f>$E230*Common!U$69</f>
        <v>0</v>
      </c>
      <c r="U280" s="32">
        <f>$E230*Common!V$69</f>
        <v>0</v>
      </c>
      <c r="V280" s="32">
        <f>$E230*Common!W$69</f>
        <v>0</v>
      </c>
      <c r="W280" s="32">
        <f>$E230*Common!X$69</f>
        <v>0</v>
      </c>
      <c r="X280" s="32">
        <f>$E230*Common!Y$69</f>
        <v>0</v>
      </c>
      <c r="Y280" s="32">
        <f>$E230*Common!Z$69</f>
        <v>0</v>
      </c>
      <c r="Z280" s="32">
        <f>$E230*Common!AA$69</f>
        <v>0</v>
      </c>
      <c r="AA280" s="32">
        <f>$E230*Common!AB$69</f>
        <v>0</v>
      </c>
      <c r="AB280" s="32">
        <f>$E230*Common!AC$69</f>
        <v>0</v>
      </c>
      <c r="AC280" s="32">
        <f>$E230*Common!AD$69</f>
        <v>0</v>
      </c>
      <c r="AD280" s="32">
        <f>$E230*Common!AE$69</f>
        <v>0</v>
      </c>
      <c r="AE280" s="32">
        <f>$E230*Common!AF$69</f>
        <v>0</v>
      </c>
      <c r="AF280" s="32">
        <f>$E230*Common!AG$69</f>
        <v>0</v>
      </c>
      <c r="AG280" s="32">
        <f>$E230*Common!AH$69</f>
        <v>0</v>
      </c>
      <c r="AH280" s="32">
        <f>$E230*Common!AI$69</f>
        <v>0</v>
      </c>
      <c r="AI280" s="32">
        <f>$E230*Common!AJ$69</f>
        <v>0</v>
      </c>
      <c r="AJ280" s="32">
        <f>$E230*Common!AK$69</f>
        <v>0</v>
      </c>
      <c r="AK280" s="32">
        <f>$E230*Common!AL$69</f>
        <v>0</v>
      </c>
      <c r="AL280" s="32">
        <f>$E230*Common!AM$69</f>
        <v>0</v>
      </c>
      <c r="AM280" s="32">
        <f>$E230*Common!AN$69</f>
        <v>0</v>
      </c>
      <c r="AN280" s="32">
        <f>$E230*Common!AO$69</f>
        <v>0</v>
      </c>
      <c r="AO280" s="32">
        <f>$E230*Common!AP$69</f>
        <v>0</v>
      </c>
      <c r="AP280" s="32">
        <f>$E230*Common!AQ$69</f>
        <v>0</v>
      </c>
      <c r="AQ280" s="32">
        <f>$E230*Common!AR$69</f>
        <v>0</v>
      </c>
      <c r="AR280" s="32">
        <f>$E230*Common!AS$69</f>
        <v>0</v>
      </c>
      <c r="AS280" s="32">
        <f>$E230*Common!AT$69</f>
        <v>0</v>
      </c>
      <c r="AT280" s="32">
        <f>$E230*Common!AU$69</f>
        <v>0</v>
      </c>
      <c r="AU280" s="32">
        <f>$E230*Common!AV$69</f>
        <v>0</v>
      </c>
      <c r="AV280" s="32">
        <f>$E230*Common!AW$69</f>
        <v>0</v>
      </c>
      <c r="AW280" s="32">
        <f>$E230*Common!AX$69</f>
        <v>0</v>
      </c>
      <c r="AX280" s="32">
        <f>$E230*Common!AY$69</f>
        <v>0</v>
      </c>
      <c r="AY280" s="32">
        <f>$E230*Common!AZ$69</f>
        <v>0</v>
      </c>
      <c r="AZ280" s="32">
        <f>$E230*Common!BA$69</f>
        <v>0</v>
      </c>
      <c r="BA280" s="32">
        <f>$E230*Common!BB$69</f>
        <v>0</v>
      </c>
      <c r="BB280" s="32">
        <f>$E230*Common!BC$69</f>
        <v>0</v>
      </c>
      <c r="BC280" s="32">
        <f>$E230*Common!BD$69</f>
        <v>0</v>
      </c>
      <c r="BD280" s="32">
        <f>$E230*Common!BE$69</f>
        <v>0</v>
      </c>
      <c r="BE280" s="32">
        <f>$E230*Common!BF$69</f>
        <v>0</v>
      </c>
      <c r="BF280" s="32">
        <f>$E230*Common!BG$69</f>
        <v>0</v>
      </c>
      <c r="BG280" s="32">
        <f>$E230*Common!BH$69</f>
        <v>0</v>
      </c>
      <c r="BH280" s="32">
        <f>$E230*Common!BI$69</f>
        <v>0</v>
      </c>
      <c r="BI280" s="32">
        <f>$E230*Common!BJ$69</f>
        <v>0</v>
      </c>
      <c r="BJ280" s="32">
        <f>$E230*Common!BK$69</f>
        <v>0</v>
      </c>
      <c r="BK280" s="32">
        <f>$E230*Common!BL$69</f>
        <v>0</v>
      </c>
      <c r="BL280" s="32">
        <f>$E230*Common!BM$69</f>
        <v>0</v>
      </c>
      <c r="BM280" s="32">
        <f>$E230*Common!BN$69</f>
        <v>0</v>
      </c>
      <c r="BN280" s="32">
        <f>$E230*Common!BO$69</f>
        <v>0</v>
      </c>
      <c r="BO280" s="32">
        <f>$E230*Common!BP$69</f>
        <v>0</v>
      </c>
      <c r="BP280" s="32">
        <f>$E230*Common!BQ$69</f>
        <v>0</v>
      </c>
      <c r="BQ280" s="32">
        <f>$E230*Common!BR$69</f>
        <v>0</v>
      </c>
      <c r="BR280" s="32">
        <f>$E230*Common!BS$69</f>
        <v>0</v>
      </c>
      <c r="BS280" s="32">
        <f>$E230*Common!BT$69</f>
        <v>0</v>
      </c>
      <c r="BT280" s="32">
        <f>$E230*Common!BU$69</f>
        <v>0</v>
      </c>
      <c r="BU280" s="32">
        <f>$E230*Common!BV$69</f>
        <v>0</v>
      </c>
      <c r="BV280" s="32">
        <f>$E230*Common!BW$69</f>
        <v>0</v>
      </c>
      <c r="BW280" s="32">
        <f>$E230*Common!BX$69</f>
        <v>0</v>
      </c>
      <c r="BX280" s="32">
        <f>$E230*Common!BY$69</f>
        <v>0</v>
      </c>
      <c r="BY280" s="32">
        <f>$E230*Common!BZ$69</f>
        <v>0</v>
      </c>
      <c r="BZ280" s="32">
        <f>$E230*Common!CA$69</f>
        <v>0</v>
      </c>
      <c r="CA280" s="32">
        <f>$E230*Common!CB$69</f>
        <v>0</v>
      </c>
      <c r="CB280" s="32">
        <f>$E230*Common!CC$69</f>
        <v>0</v>
      </c>
      <c r="CC280" s="32">
        <f>$E230*Common!CD$69</f>
        <v>0</v>
      </c>
      <c r="CD280" s="32">
        <f>$E230*Common!CE$69</f>
        <v>0</v>
      </c>
      <c r="CE280" s="32">
        <f>$E230*Common!CF$69</f>
        <v>0</v>
      </c>
      <c r="CF280" s="32">
        <f>$E230*Common!CG$69</f>
        <v>0</v>
      </c>
      <c r="CG280" s="32">
        <f>$E230*Common!CH$69</f>
        <v>0</v>
      </c>
      <c r="CH280" s="32">
        <f>$E230*Common!CI$69</f>
        <v>0</v>
      </c>
      <c r="CI280" s="32">
        <f>$E230*Common!CJ$69</f>
        <v>0</v>
      </c>
      <c r="CR280" s="32">
        <f t="shared" ref="CR280:CS280" si="57">C230</f>
        <v>0.7</v>
      </c>
      <c r="CS280" s="32">
        <f t="shared" si="57"/>
        <v>0</v>
      </c>
      <c r="CV280">
        <f t="shared" si="24"/>
        <v>0</v>
      </c>
      <c r="CW280">
        <f t="shared" si="25"/>
        <v>0</v>
      </c>
      <c r="CX280">
        <f t="shared" si="26"/>
        <v>0</v>
      </c>
      <c r="CY280">
        <f t="shared" si="27"/>
        <v>0</v>
      </c>
      <c r="CZ280">
        <f t="shared" si="28"/>
        <v>0</v>
      </c>
      <c r="DA280">
        <f t="shared" si="29"/>
        <v>0</v>
      </c>
      <c r="DB280">
        <f t="shared" si="30"/>
        <v>0</v>
      </c>
      <c r="DF280" s="32">
        <f t="shared" si="31"/>
        <v>7.0431052441695261</v>
      </c>
      <c r="DI280">
        <f>SUM('SS Material Flow'!C211:J211)/'SS Material Flow'!B120</f>
        <v>0.98</v>
      </c>
      <c r="DK280">
        <f>'SS Material Flow'!B211/'SS Material Flow'!B120</f>
        <v>2.0000000000000018E-2</v>
      </c>
    </row>
    <row r="281" spans="1:115" x14ac:dyDescent="0.35">
      <c r="A281" t="str">
        <f t="shared" si="21"/>
        <v>Aluminum Cans</v>
      </c>
      <c r="B281" s="32">
        <f>$E231*Common!C$69</f>
        <v>1.1771319545529313</v>
      </c>
      <c r="C281" s="32">
        <f>$E231*Common!D$69</f>
        <v>0</v>
      </c>
      <c r="D281" s="32">
        <f>$E231*Common!E$69</f>
        <v>0</v>
      </c>
      <c r="E281" s="32">
        <f>$E231*Common!F$69</f>
        <v>0</v>
      </c>
      <c r="F281" s="32">
        <f>$E231*Common!G$69</f>
        <v>0</v>
      </c>
      <c r="G281" s="32">
        <f>$E231*Common!H$69</f>
        <v>0</v>
      </c>
      <c r="H281" s="32">
        <f>$E231*Common!I$69</f>
        <v>0</v>
      </c>
      <c r="I281" s="32">
        <f>$E231*Common!J$69</f>
        <v>0</v>
      </c>
      <c r="J281" s="32">
        <f>$E231*Common!K$69</f>
        <v>0</v>
      </c>
      <c r="K281" s="32">
        <f>$E231*Common!L$69</f>
        <v>0</v>
      </c>
      <c r="L281" s="32">
        <f>$E231*Common!M$69</f>
        <v>0</v>
      </c>
      <c r="M281" s="32">
        <f>$E231*Common!N$69</f>
        <v>0</v>
      </c>
      <c r="N281" s="32">
        <f>$E231*Common!O$69</f>
        <v>0</v>
      </c>
      <c r="O281" s="32">
        <f>$E231*Common!P$69</f>
        <v>0</v>
      </c>
      <c r="P281" s="32">
        <f>$E231*Common!Q$69</f>
        <v>0</v>
      </c>
      <c r="Q281" s="32">
        <f>$E231*Common!R$69</f>
        <v>0</v>
      </c>
      <c r="R281" s="32">
        <f>$E231*Common!S$69</f>
        <v>0</v>
      </c>
      <c r="S281" s="32">
        <f>$E231*Common!T$69</f>
        <v>0</v>
      </c>
      <c r="T281" s="32">
        <f>$E231*Common!U$69</f>
        <v>0</v>
      </c>
      <c r="U281" s="32">
        <f>$E231*Common!V$69</f>
        <v>0</v>
      </c>
      <c r="V281" s="32">
        <f>$E231*Common!W$69</f>
        <v>0</v>
      </c>
      <c r="W281" s="32">
        <f>$E231*Common!X$69</f>
        <v>0</v>
      </c>
      <c r="X281" s="32">
        <f>$E231*Common!Y$69</f>
        <v>0</v>
      </c>
      <c r="Y281" s="32">
        <f>$E231*Common!Z$69</f>
        <v>0</v>
      </c>
      <c r="Z281" s="32">
        <f>$E231*Common!AA$69</f>
        <v>0</v>
      </c>
      <c r="AA281" s="32">
        <f>$E231*Common!AB$69</f>
        <v>0</v>
      </c>
      <c r="AB281" s="32">
        <f>$E231*Common!AC$69</f>
        <v>0</v>
      </c>
      <c r="AC281" s="32">
        <f>$E231*Common!AD$69</f>
        <v>0</v>
      </c>
      <c r="AD281" s="32">
        <f>$E231*Common!AE$69</f>
        <v>0</v>
      </c>
      <c r="AE281" s="32">
        <f>$E231*Common!AF$69</f>
        <v>0</v>
      </c>
      <c r="AF281" s="32">
        <f>$E231*Common!AG$69</f>
        <v>0</v>
      </c>
      <c r="AG281" s="32">
        <f>$E231*Common!AH$69</f>
        <v>0</v>
      </c>
      <c r="AH281" s="32">
        <f>$E231*Common!AI$69</f>
        <v>0</v>
      </c>
      <c r="AI281" s="32">
        <f>$E231*Common!AJ$69</f>
        <v>0</v>
      </c>
      <c r="AJ281" s="32">
        <f>$E231*Common!AK$69</f>
        <v>0</v>
      </c>
      <c r="AK281" s="32">
        <f>$E231*Common!AL$69</f>
        <v>0</v>
      </c>
      <c r="AL281" s="32">
        <f>$E231*Common!AM$69</f>
        <v>0</v>
      </c>
      <c r="AM281" s="32">
        <f>$E231*Common!AN$69</f>
        <v>0</v>
      </c>
      <c r="AN281" s="32">
        <f>$E231*Common!AO$69</f>
        <v>0</v>
      </c>
      <c r="AO281" s="32">
        <f>$E231*Common!AP$69</f>
        <v>0</v>
      </c>
      <c r="AP281" s="32">
        <f>$E231*Common!AQ$69</f>
        <v>0</v>
      </c>
      <c r="AQ281" s="32">
        <f>$E231*Common!AR$69</f>
        <v>0</v>
      </c>
      <c r="AR281" s="32">
        <f>$E231*Common!AS$69</f>
        <v>0</v>
      </c>
      <c r="AS281" s="32">
        <f>$E231*Common!AT$69</f>
        <v>0</v>
      </c>
      <c r="AT281" s="32">
        <f>$E231*Common!AU$69</f>
        <v>0</v>
      </c>
      <c r="AU281" s="32">
        <f>$E231*Common!AV$69</f>
        <v>0</v>
      </c>
      <c r="AV281" s="32">
        <f>$E231*Common!AW$69</f>
        <v>0</v>
      </c>
      <c r="AW281" s="32">
        <f>$E231*Common!AX$69</f>
        <v>0</v>
      </c>
      <c r="AX281" s="32">
        <f>$E231*Common!AY$69</f>
        <v>0</v>
      </c>
      <c r="AY281" s="32">
        <f>$E231*Common!AZ$69</f>
        <v>0</v>
      </c>
      <c r="AZ281" s="32">
        <f>$E231*Common!BA$69</f>
        <v>0</v>
      </c>
      <c r="BA281" s="32">
        <f>$E231*Common!BB$69</f>
        <v>0</v>
      </c>
      <c r="BB281" s="32">
        <f>$E231*Common!BC$69</f>
        <v>0</v>
      </c>
      <c r="BC281" s="32">
        <f>$E231*Common!BD$69</f>
        <v>0</v>
      </c>
      <c r="BD281" s="32">
        <f>$E231*Common!BE$69</f>
        <v>0</v>
      </c>
      <c r="BE281" s="32">
        <f>$E231*Common!BF$69</f>
        <v>0</v>
      </c>
      <c r="BF281" s="32">
        <f>$E231*Common!BG$69</f>
        <v>0</v>
      </c>
      <c r="BG281" s="32">
        <f>$E231*Common!BH$69</f>
        <v>0</v>
      </c>
      <c r="BH281" s="32">
        <f>$E231*Common!BI$69</f>
        <v>0</v>
      </c>
      <c r="BI281" s="32">
        <f>$E231*Common!BJ$69</f>
        <v>0</v>
      </c>
      <c r="BJ281" s="32">
        <f>$E231*Common!BK$69</f>
        <v>0</v>
      </c>
      <c r="BK281" s="32">
        <f>$E231*Common!BL$69</f>
        <v>0</v>
      </c>
      <c r="BL281" s="32">
        <f>$E231*Common!BM$69</f>
        <v>0</v>
      </c>
      <c r="BM281" s="32">
        <f>$E231*Common!BN$69</f>
        <v>0</v>
      </c>
      <c r="BN281" s="32">
        <f>$E231*Common!BO$69</f>
        <v>0</v>
      </c>
      <c r="BO281" s="32">
        <f>$E231*Common!BP$69</f>
        <v>0</v>
      </c>
      <c r="BP281" s="32">
        <f>$E231*Common!BQ$69</f>
        <v>0</v>
      </c>
      <c r="BQ281" s="32">
        <f>$E231*Common!BR$69</f>
        <v>0</v>
      </c>
      <c r="BR281" s="32">
        <f>$E231*Common!BS$69</f>
        <v>0</v>
      </c>
      <c r="BS281" s="32">
        <f>$E231*Common!BT$69</f>
        <v>0</v>
      </c>
      <c r="BT281" s="32">
        <f>$E231*Common!BU$69</f>
        <v>0</v>
      </c>
      <c r="BU281" s="32">
        <f>$E231*Common!BV$69</f>
        <v>0</v>
      </c>
      <c r="BV281" s="32">
        <f>$E231*Common!BW$69</f>
        <v>0</v>
      </c>
      <c r="BW281" s="32">
        <f>$E231*Common!BX$69</f>
        <v>0</v>
      </c>
      <c r="BX281" s="32">
        <f>$E231*Common!BY$69</f>
        <v>0</v>
      </c>
      <c r="BY281" s="32">
        <f>$E231*Common!BZ$69</f>
        <v>0</v>
      </c>
      <c r="BZ281" s="32">
        <f>$E231*Common!CA$69</f>
        <v>0</v>
      </c>
      <c r="CA281" s="32">
        <f>$E231*Common!CB$69</f>
        <v>0</v>
      </c>
      <c r="CB281" s="32">
        <f>$E231*Common!CC$69</f>
        <v>0</v>
      </c>
      <c r="CC281" s="32">
        <f>$E231*Common!CD$69</f>
        <v>0</v>
      </c>
      <c r="CD281" s="32">
        <f>$E231*Common!CE$69</f>
        <v>0</v>
      </c>
      <c r="CE281" s="32">
        <f>$E231*Common!CF$69</f>
        <v>0</v>
      </c>
      <c r="CF281" s="32">
        <f>$E231*Common!CG$69</f>
        <v>0</v>
      </c>
      <c r="CG281" s="32">
        <f>$E231*Common!CH$69</f>
        <v>0</v>
      </c>
      <c r="CH281" s="32">
        <f>$E231*Common!CI$69</f>
        <v>0</v>
      </c>
      <c r="CI281" s="32">
        <f>$E231*Common!CJ$69</f>
        <v>0</v>
      </c>
      <c r="CR281" s="32">
        <f t="shared" ref="CR281:CS281" si="58">C231</f>
        <v>0.7</v>
      </c>
      <c r="CS281" s="32">
        <f t="shared" si="58"/>
        <v>0</v>
      </c>
      <c r="CV281">
        <f t="shared" si="24"/>
        <v>0</v>
      </c>
      <c r="CW281">
        <f t="shared" si="25"/>
        <v>0</v>
      </c>
      <c r="CX281">
        <f t="shared" si="26"/>
        <v>0</v>
      </c>
      <c r="CY281">
        <f t="shared" si="27"/>
        <v>0</v>
      </c>
      <c r="CZ281">
        <f t="shared" si="28"/>
        <v>0</v>
      </c>
      <c r="DA281">
        <f t="shared" si="29"/>
        <v>0</v>
      </c>
      <c r="DB281">
        <f t="shared" si="30"/>
        <v>0</v>
      </c>
      <c r="DF281" s="32">
        <f t="shared" si="31"/>
        <v>5.3360384875650144</v>
      </c>
      <c r="DI281">
        <f>SUM('SS Material Flow'!C212:J212)/'SS Material Flow'!B121</f>
        <v>0.97</v>
      </c>
      <c r="DK281">
        <f>'SS Material Flow'!B212/'SS Material Flow'!B121</f>
        <v>3.0000000000000027E-2</v>
      </c>
    </row>
    <row r="282" spans="1:115" x14ac:dyDescent="0.35">
      <c r="A282" t="str">
        <f t="shared" si="21"/>
        <v>Aluminum - Foil</v>
      </c>
      <c r="B282" s="32">
        <f>$E232*Common!C$69</f>
        <v>1.1771319545529313</v>
      </c>
      <c r="C282" s="32">
        <f>$E232*Common!D$69</f>
        <v>0</v>
      </c>
      <c r="D282" s="32">
        <f>$E232*Common!E$69</f>
        <v>0</v>
      </c>
      <c r="E282" s="32">
        <f>$E232*Common!F$69</f>
        <v>0</v>
      </c>
      <c r="F282" s="32">
        <f>$E232*Common!G$69</f>
        <v>0</v>
      </c>
      <c r="G282" s="32">
        <f>$E232*Common!H$69</f>
        <v>0</v>
      </c>
      <c r="H282" s="32">
        <f>$E232*Common!I$69</f>
        <v>0</v>
      </c>
      <c r="I282" s="32">
        <f>$E232*Common!J$69</f>
        <v>0</v>
      </c>
      <c r="J282" s="32">
        <f>$E232*Common!K$69</f>
        <v>0</v>
      </c>
      <c r="K282" s="32">
        <f>$E232*Common!L$69</f>
        <v>0</v>
      </c>
      <c r="L282" s="32">
        <f>$E232*Common!M$69</f>
        <v>0</v>
      </c>
      <c r="M282" s="32">
        <f>$E232*Common!N$69</f>
        <v>0</v>
      </c>
      <c r="N282" s="32">
        <f>$E232*Common!O$69</f>
        <v>0</v>
      </c>
      <c r="O282" s="32">
        <f>$E232*Common!P$69</f>
        <v>0</v>
      </c>
      <c r="P282" s="32">
        <f>$E232*Common!Q$69</f>
        <v>0</v>
      </c>
      <c r="Q282" s="32">
        <f>$E232*Common!R$69</f>
        <v>0</v>
      </c>
      <c r="R282" s="32">
        <f>$E232*Common!S$69</f>
        <v>0</v>
      </c>
      <c r="S282" s="32">
        <f>$E232*Common!T$69</f>
        <v>0</v>
      </c>
      <c r="T282" s="32">
        <f>$E232*Common!U$69</f>
        <v>0</v>
      </c>
      <c r="U282" s="32">
        <f>$E232*Common!V$69</f>
        <v>0</v>
      </c>
      <c r="V282" s="32">
        <f>$E232*Common!W$69</f>
        <v>0</v>
      </c>
      <c r="W282" s="32">
        <f>$E232*Common!X$69</f>
        <v>0</v>
      </c>
      <c r="X282" s="32">
        <f>$E232*Common!Y$69</f>
        <v>0</v>
      </c>
      <c r="Y282" s="32">
        <f>$E232*Common!Z$69</f>
        <v>0</v>
      </c>
      <c r="Z282" s="32">
        <f>$E232*Common!AA$69</f>
        <v>0</v>
      </c>
      <c r="AA282" s="32">
        <f>$E232*Common!AB$69</f>
        <v>0</v>
      </c>
      <c r="AB282" s="32">
        <f>$E232*Common!AC$69</f>
        <v>0</v>
      </c>
      <c r="AC282" s="32">
        <f>$E232*Common!AD$69</f>
        <v>0</v>
      </c>
      <c r="AD282" s="32">
        <f>$E232*Common!AE$69</f>
        <v>0</v>
      </c>
      <c r="AE282" s="32">
        <f>$E232*Common!AF$69</f>
        <v>0</v>
      </c>
      <c r="AF282" s="32">
        <f>$E232*Common!AG$69</f>
        <v>0</v>
      </c>
      <c r="AG282" s="32">
        <f>$E232*Common!AH$69</f>
        <v>0</v>
      </c>
      <c r="AH282" s="32">
        <f>$E232*Common!AI$69</f>
        <v>0</v>
      </c>
      <c r="AI282" s="32">
        <f>$E232*Common!AJ$69</f>
        <v>0</v>
      </c>
      <c r="AJ282" s="32">
        <f>$E232*Common!AK$69</f>
        <v>0</v>
      </c>
      <c r="AK282" s="32">
        <f>$E232*Common!AL$69</f>
        <v>0</v>
      </c>
      <c r="AL282" s="32">
        <f>$E232*Common!AM$69</f>
        <v>0</v>
      </c>
      <c r="AM282" s="32">
        <f>$E232*Common!AN$69</f>
        <v>0</v>
      </c>
      <c r="AN282" s="32">
        <f>$E232*Common!AO$69</f>
        <v>0</v>
      </c>
      <c r="AO282" s="32">
        <f>$E232*Common!AP$69</f>
        <v>0</v>
      </c>
      <c r="AP282" s="32">
        <f>$E232*Common!AQ$69</f>
        <v>0</v>
      </c>
      <c r="AQ282" s="32">
        <f>$E232*Common!AR$69</f>
        <v>0</v>
      </c>
      <c r="AR282" s="32">
        <f>$E232*Common!AS$69</f>
        <v>0</v>
      </c>
      <c r="AS282" s="32">
        <f>$E232*Common!AT$69</f>
        <v>0</v>
      </c>
      <c r="AT282" s="32">
        <f>$E232*Common!AU$69</f>
        <v>0</v>
      </c>
      <c r="AU282" s="32">
        <f>$E232*Common!AV$69</f>
        <v>0</v>
      </c>
      <c r="AV282" s="32">
        <f>$E232*Common!AW$69</f>
        <v>0</v>
      </c>
      <c r="AW282" s="32">
        <f>$E232*Common!AX$69</f>
        <v>0</v>
      </c>
      <c r="AX282" s="32">
        <f>$E232*Common!AY$69</f>
        <v>0</v>
      </c>
      <c r="AY282" s="32">
        <f>$E232*Common!AZ$69</f>
        <v>0</v>
      </c>
      <c r="AZ282" s="32">
        <f>$E232*Common!BA$69</f>
        <v>0</v>
      </c>
      <c r="BA282" s="32">
        <f>$E232*Common!BB$69</f>
        <v>0</v>
      </c>
      <c r="BB282" s="32">
        <f>$E232*Common!BC$69</f>
        <v>0</v>
      </c>
      <c r="BC282" s="32">
        <f>$E232*Common!BD$69</f>
        <v>0</v>
      </c>
      <c r="BD282" s="32">
        <f>$E232*Common!BE$69</f>
        <v>0</v>
      </c>
      <c r="BE282" s="32">
        <f>$E232*Common!BF$69</f>
        <v>0</v>
      </c>
      <c r="BF282" s="32">
        <f>$E232*Common!BG$69</f>
        <v>0</v>
      </c>
      <c r="BG282" s="32">
        <f>$E232*Common!BH$69</f>
        <v>0</v>
      </c>
      <c r="BH282" s="32">
        <f>$E232*Common!BI$69</f>
        <v>0</v>
      </c>
      <c r="BI282" s="32">
        <f>$E232*Common!BJ$69</f>
        <v>0</v>
      </c>
      <c r="BJ282" s="32">
        <f>$E232*Common!BK$69</f>
        <v>0</v>
      </c>
      <c r="BK282" s="32">
        <f>$E232*Common!BL$69</f>
        <v>0</v>
      </c>
      <c r="BL282" s="32">
        <f>$E232*Common!BM$69</f>
        <v>0</v>
      </c>
      <c r="BM282" s="32">
        <f>$E232*Common!BN$69</f>
        <v>0</v>
      </c>
      <c r="BN282" s="32">
        <f>$E232*Common!BO$69</f>
        <v>0</v>
      </c>
      <c r="BO282" s="32">
        <f>$E232*Common!BP$69</f>
        <v>0</v>
      </c>
      <c r="BP282" s="32">
        <f>$E232*Common!BQ$69</f>
        <v>0</v>
      </c>
      <c r="BQ282" s="32">
        <f>$E232*Common!BR$69</f>
        <v>0</v>
      </c>
      <c r="BR282" s="32">
        <f>$E232*Common!BS$69</f>
        <v>0</v>
      </c>
      <c r="BS282" s="32">
        <f>$E232*Common!BT$69</f>
        <v>0</v>
      </c>
      <c r="BT282" s="32">
        <f>$E232*Common!BU$69</f>
        <v>0</v>
      </c>
      <c r="BU282" s="32">
        <f>$E232*Common!BV$69</f>
        <v>0</v>
      </c>
      <c r="BV282" s="32">
        <f>$E232*Common!BW$69</f>
        <v>0</v>
      </c>
      <c r="BW282" s="32">
        <f>$E232*Common!BX$69</f>
        <v>0</v>
      </c>
      <c r="BX282" s="32">
        <f>$E232*Common!BY$69</f>
        <v>0</v>
      </c>
      <c r="BY282" s="32">
        <f>$E232*Common!BZ$69</f>
        <v>0</v>
      </c>
      <c r="BZ282" s="32">
        <f>$E232*Common!CA$69</f>
        <v>0</v>
      </c>
      <c r="CA282" s="32">
        <f>$E232*Common!CB$69</f>
        <v>0</v>
      </c>
      <c r="CB282" s="32">
        <f>$E232*Common!CC$69</f>
        <v>0</v>
      </c>
      <c r="CC282" s="32">
        <f>$E232*Common!CD$69</f>
        <v>0</v>
      </c>
      <c r="CD282" s="32">
        <f>$E232*Common!CE$69</f>
        <v>0</v>
      </c>
      <c r="CE282" s="32">
        <f>$E232*Common!CF$69</f>
        <v>0</v>
      </c>
      <c r="CF282" s="32">
        <f>$E232*Common!CG$69</f>
        <v>0</v>
      </c>
      <c r="CG282" s="32">
        <f>$E232*Common!CH$69</f>
        <v>0</v>
      </c>
      <c r="CH282" s="32">
        <f>$E232*Common!CI$69</f>
        <v>0</v>
      </c>
      <c r="CI282" s="32">
        <f>$E232*Common!CJ$69</f>
        <v>0</v>
      </c>
      <c r="CR282" s="32">
        <f t="shared" ref="CR282:CS282" si="59">C232</f>
        <v>0.7</v>
      </c>
      <c r="CS282" s="32">
        <f t="shared" si="59"/>
        <v>0</v>
      </c>
      <c r="CV282">
        <f t="shared" si="24"/>
        <v>0</v>
      </c>
      <c r="CW282">
        <f t="shared" si="25"/>
        <v>0</v>
      </c>
      <c r="CX282">
        <f t="shared" si="26"/>
        <v>0</v>
      </c>
      <c r="CY282">
        <f t="shared" si="27"/>
        <v>0</v>
      </c>
      <c r="CZ282">
        <f t="shared" si="28"/>
        <v>0</v>
      </c>
      <c r="DA282">
        <f t="shared" si="29"/>
        <v>0</v>
      </c>
      <c r="DB282">
        <f t="shared" si="30"/>
        <v>0</v>
      </c>
      <c r="DF282" s="32">
        <f t="shared" si="31"/>
        <v>5.3360384875650135</v>
      </c>
      <c r="DI282">
        <f>SUM('SS Material Flow'!C213:J213)/'SS Material Flow'!B122</f>
        <v>0.97</v>
      </c>
      <c r="DK282">
        <f>'SS Material Flow'!B213/'SS Material Flow'!B122</f>
        <v>3.0000000000000027E-2</v>
      </c>
    </row>
    <row r="283" spans="1:115" x14ac:dyDescent="0.35">
      <c r="A283" t="str">
        <f t="shared" si="21"/>
        <v>Aluminum - Other</v>
      </c>
      <c r="B283" s="32">
        <f>$E233*Common!C$69</f>
        <v>1.1771319545529315</v>
      </c>
      <c r="C283" s="32">
        <f>$E233*Common!D$69</f>
        <v>0</v>
      </c>
      <c r="D283" s="32">
        <f>$E233*Common!E$69</f>
        <v>0</v>
      </c>
      <c r="E283" s="32">
        <f>$E233*Common!F$69</f>
        <v>0</v>
      </c>
      <c r="F283" s="32">
        <f>$E233*Common!G$69</f>
        <v>0</v>
      </c>
      <c r="G283" s="32">
        <f>$E233*Common!H$69</f>
        <v>0</v>
      </c>
      <c r="H283" s="32">
        <f>$E233*Common!I$69</f>
        <v>0</v>
      </c>
      <c r="I283" s="32">
        <f>$E233*Common!J$69</f>
        <v>0</v>
      </c>
      <c r="J283" s="32">
        <f>$E233*Common!K$69</f>
        <v>0</v>
      </c>
      <c r="K283" s="32">
        <f>$E233*Common!L$69</f>
        <v>0</v>
      </c>
      <c r="L283" s="32">
        <f>$E233*Common!M$69</f>
        <v>0</v>
      </c>
      <c r="M283" s="32">
        <f>$E233*Common!N$69</f>
        <v>0</v>
      </c>
      <c r="N283" s="32">
        <f>$E233*Common!O$69</f>
        <v>0</v>
      </c>
      <c r="O283" s="32">
        <f>$E233*Common!P$69</f>
        <v>0</v>
      </c>
      <c r="P283" s="32">
        <f>$E233*Common!Q$69</f>
        <v>0</v>
      </c>
      <c r="Q283" s="32">
        <f>$E233*Common!R$69</f>
        <v>0</v>
      </c>
      <c r="R283" s="32">
        <f>$E233*Common!S$69</f>
        <v>0</v>
      </c>
      <c r="S283" s="32">
        <f>$E233*Common!T$69</f>
        <v>0</v>
      </c>
      <c r="T283" s="32">
        <f>$E233*Common!U$69</f>
        <v>0</v>
      </c>
      <c r="U283" s="32">
        <f>$E233*Common!V$69</f>
        <v>0</v>
      </c>
      <c r="V283" s="32">
        <f>$E233*Common!W$69</f>
        <v>0</v>
      </c>
      <c r="W283" s="32">
        <f>$E233*Common!X$69</f>
        <v>0</v>
      </c>
      <c r="X283" s="32">
        <f>$E233*Common!Y$69</f>
        <v>0</v>
      </c>
      <c r="Y283" s="32">
        <f>$E233*Common!Z$69</f>
        <v>0</v>
      </c>
      <c r="Z283" s="32">
        <f>$E233*Common!AA$69</f>
        <v>0</v>
      </c>
      <c r="AA283" s="32">
        <f>$E233*Common!AB$69</f>
        <v>0</v>
      </c>
      <c r="AB283" s="32">
        <f>$E233*Common!AC$69</f>
        <v>0</v>
      </c>
      <c r="AC283" s="32">
        <f>$E233*Common!AD$69</f>
        <v>0</v>
      </c>
      <c r="AD283" s="32">
        <f>$E233*Common!AE$69</f>
        <v>0</v>
      </c>
      <c r="AE283" s="32">
        <f>$E233*Common!AF$69</f>
        <v>0</v>
      </c>
      <c r="AF283" s="32">
        <f>$E233*Common!AG$69</f>
        <v>0</v>
      </c>
      <c r="AG283" s="32">
        <f>$E233*Common!AH$69</f>
        <v>0</v>
      </c>
      <c r="AH283" s="32">
        <f>$E233*Common!AI$69</f>
        <v>0</v>
      </c>
      <c r="AI283" s="32">
        <f>$E233*Common!AJ$69</f>
        <v>0</v>
      </c>
      <c r="AJ283" s="32">
        <f>$E233*Common!AK$69</f>
        <v>0</v>
      </c>
      <c r="AK283" s="32">
        <f>$E233*Common!AL$69</f>
        <v>0</v>
      </c>
      <c r="AL283" s="32">
        <f>$E233*Common!AM$69</f>
        <v>0</v>
      </c>
      <c r="AM283" s="32">
        <f>$E233*Common!AN$69</f>
        <v>0</v>
      </c>
      <c r="AN283" s="32">
        <f>$E233*Common!AO$69</f>
        <v>0</v>
      </c>
      <c r="AO283" s="32">
        <f>$E233*Common!AP$69</f>
        <v>0</v>
      </c>
      <c r="AP283" s="32">
        <f>$E233*Common!AQ$69</f>
        <v>0</v>
      </c>
      <c r="AQ283" s="32">
        <f>$E233*Common!AR$69</f>
        <v>0</v>
      </c>
      <c r="AR283" s="32">
        <f>$E233*Common!AS$69</f>
        <v>0</v>
      </c>
      <c r="AS283" s="32">
        <f>$E233*Common!AT$69</f>
        <v>0</v>
      </c>
      <c r="AT283" s="32">
        <f>$E233*Common!AU$69</f>
        <v>0</v>
      </c>
      <c r="AU283" s="32">
        <f>$E233*Common!AV$69</f>
        <v>0</v>
      </c>
      <c r="AV283" s="32">
        <f>$E233*Common!AW$69</f>
        <v>0</v>
      </c>
      <c r="AW283" s="32">
        <f>$E233*Common!AX$69</f>
        <v>0</v>
      </c>
      <c r="AX283" s="32">
        <f>$E233*Common!AY$69</f>
        <v>0</v>
      </c>
      <c r="AY283" s="32">
        <f>$E233*Common!AZ$69</f>
        <v>0</v>
      </c>
      <c r="AZ283" s="32">
        <f>$E233*Common!BA$69</f>
        <v>0</v>
      </c>
      <c r="BA283" s="32">
        <f>$E233*Common!BB$69</f>
        <v>0</v>
      </c>
      <c r="BB283" s="32">
        <f>$E233*Common!BC$69</f>
        <v>0</v>
      </c>
      <c r="BC283" s="32">
        <f>$E233*Common!BD$69</f>
        <v>0</v>
      </c>
      <c r="BD283" s="32">
        <f>$E233*Common!BE$69</f>
        <v>0</v>
      </c>
      <c r="BE283" s="32">
        <f>$E233*Common!BF$69</f>
        <v>0</v>
      </c>
      <c r="BF283" s="32">
        <f>$E233*Common!BG$69</f>
        <v>0</v>
      </c>
      <c r="BG283" s="32">
        <f>$E233*Common!BH$69</f>
        <v>0</v>
      </c>
      <c r="BH283" s="32">
        <f>$E233*Common!BI$69</f>
        <v>0</v>
      </c>
      <c r="BI283" s="32">
        <f>$E233*Common!BJ$69</f>
        <v>0</v>
      </c>
      <c r="BJ283" s="32">
        <f>$E233*Common!BK$69</f>
        <v>0</v>
      </c>
      <c r="BK283" s="32">
        <f>$E233*Common!BL$69</f>
        <v>0</v>
      </c>
      <c r="BL283" s="32">
        <f>$E233*Common!BM$69</f>
        <v>0</v>
      </c>
      <c r="BM283" s="32">
        <f>$E233*Common!BN$69</f>
        <v>0</v>
      </c>
      <c r="BN283" s="32">
        <f>$E233*Common!BO$69</f>
        <v>0</v>
      </c>
      <c r="BO283" s="32">
        <f>$E233*Common!BP$69</f>
        <v>0</v>
      </c>
      <c r="BP283" s="32">
        <f>$E233*Common!BQ$69</f>
        <v>0</v>
      </c>
      <c r="BQ283" s="32">
        <f>$E233*Common!BR$69</f>
        <v>0</v>
      </c>
      <c r="BR283" s="32">
        <f>$E233*Common!BS$69</f>
        <v>0</v>
      </c>
      <c r="BS283" s="32">
        <f>$E233*Common!BT$69</f>
        <v>0</v>
      </c>
      <c r="BT283" s="32">
        <f>$E233*Common!BU$69</f>
        <v>0</v>
      </c>
      <c r="BU283" s="32">
        <f>$E233*Common!BV$69</f>
        <v>0</v>
      </c>
      <c r="BV283" s="32">
        <f>$E233*Common!BW$69</f>
        <v>0</v>
      </c>
      <c r="BW283" s="32">
        <f>$E233*Common!BX$69</f>
        <v>0</v>
      </c>
      <c r="BX283" s="32">
        <f>$E233*Common!BY$69</f>
        <v>0</v>
      </c>
      <c r="BY283" s="32">
        <f>$E233*Common!BZ$69</f>
        <v>0</v>
      </c>
      <c r="BZ283" s="32">
        <f>$E233*Common!CA$69</f>
        <v>0</v>
      </c>
      <c r="CA283" s="32">
        <f>$E233*Common!CB$69</f>
        <v>0</v>
      </c>
      <c r="CB283" s="32">
        <f>$E233*Common!CC$69</f>
        <v>0</v>
      </c>
      <c r="CC283" s="32">
        <f>$E233*Common!CD$69</f>
        <v>0</v>
      </c>
      <c r="CD283" s="32">
        <f>$E233*Common!CE$69</f>
        <v>0</v>
      </c>
      <c r="CE283" s="32">
        <f>$E233*Common!CF$69</f>
        <v>0</v>
      </c>
      <c r="CF283" s="32">
        <f>$E233*Common!CG$69</f>
        <v>0</v>
      </c>
      <c r="CG283" s="32">
        <f>$E233*Common!CH$69</f>
        <v>0</v>
      </c>
      <c r="CH283" s="32">
        <f>$E233*Common!CI$69</f>
        <v>0</v>
      </c>
      <c r="CI283" s="32">
        <f>$E233*Common!CJ$69</f>
        <v>0</v>
      </c>
      <c r="CR283" s="32">
        <f t="shared" ref="CR283:CS283" si="60">C233</f>
        <v>0.7</v>
      </c>
      <c r="CS283" s="32">
        <f t="shared" si="60"/>
        <v>0</v>
      </c>
      <c r="CV283">
        <f t="shared" si="24"/>
        <v>0</v>
      </c>
      <c r="CW283">
        <f t="shared" si="25"/>
        <v>0</v>
      </c>
      <c r="CX283">
        <f t="shared" si="26"/>
        <v>0</v>
      </c>
      <c r="CY283">
        <f t="shared" si="27"/>
        <v>0</v>
      </c>
      <c r="CZ283">
        <f t="shared" si="28"/>
        <v>0</v>
      </c>
      <c r="DA283">
        <f t="shared" si="29"/>
        <v>0</v>
      </c>
      <c r="DB283">
        <f t="shared" si="30"/>
        <v>0</v>
      </c>
      <c r="DF283" s="32">
        <f t="shared" si="31"/>
        <v>5.3360384875650153</v>
      </c>
      <c r="DI283">
        <f>SUM('SS Material Flow'!C214:J214)/'SS Material Flow'!B123</f>
        <v>0.97000000000000008</v>
      </c>
      <c r="DK283">
        <f>'SS Material Flow'!B214/'SS Material Flow'!B123</f>
        <v>2.9999999999999926E-2</v>
      </c>
    </row>
    <row r="284" spans="1:115" x14ac:dyDescent="0.35">
      <c r="A284" t="str">
        <f t="shared" si="21"/>
        <v xml:space="preserve">Ferrous - Non-recyclable </v>
      </c>
      <c r="B284" s="32">
        <f>$E234*Common!C$69</f>
        <v>0.69615648908938765</v>
      </c>
      <c r="C284" s="32">
        <f>$E234*Common!D$69</f>
        <v>0</v>
      </c>
      <c r="D284" s="32">
        <f>$E234*Common!E$69</f>
        <v>0</v>
      </c>
      <c r="E284" s="32">
        <f>$E234*Common!F$69</f>
        <v>0</v>
      </c>
      <c r="F284" s="32">
        <f>$E234*Common!G$69</f>
        <v>0</v>
      </c>
      <c r="G284" s="32">
        <f>$E234*Common!H$69</f>
        <v>0</v>
      </c>
      <c r="H284" s="32">
        <f>$E234*Common!I$69</f>
        <v>0</v>
      </c>
      <c r="I284" s="32">
        <f>$E234*Common!J$69</f>
        <v>0</v>
      </c>
      <c r="J284" s="32">
        <f>$E234*Common!K$69</f>
        <v>0</v>
      </c>
      <c r="K284" s="32">
        <f>$E234*Common!L$69</f>
        <v>0</v>
      </c>
      <c r="L284" s="32">
        <f>$E234*Common!M$69</f>
        <v>0</v>
      </c>
      <c r="M284" s="32">
        <f>$E234*Common!N$69</f>
        <v>0</v>
      </c>
      <c r="N284" s="32">
        <f>$E234*Common!O$69</f>
        <v>0</v>
      </c>
      <c r="O284" s="32">
        <f>$E234*Common!P$69</f>
        <v>0</v>
      </c>
      <c r="P284" s="32">
        <f>$E234*Common!Q$69</f>
        <v>0</v>
      </c>
      <c r="Q284" s="32">
        <f>$E234*Common!R$69</f>
        <v>0</v>
      </c>
      <c r="R284" s="32">
        <f>$E234*Common!S$69</f>
        <v>0</v>
      </c>
      <c r="S284" s="32">
        <f>$E234*Common!T$69</f>
        <v>0</v>
      </c>
      <c r="T284" s="32">
        <f>$E234*Common!U$69</f>
        <v>0</v>
      </c>
      <c r="U284" s="32">
        <f>$E234*Common!V$69</f>
        <v>0</v>
      </c>
      <c r="V284" s="32">
        <f>$E234*Common!W$69</f>
        <v>0</v>
      </c>
      <c r="W284" s="32">
        <f>$E234*Common!X$69</f>
        <v>0</v>
      </c>
      <c r="X284" s="32">
        <f>$E234*Common!Y$69</f>
        <v>0</v>
      </c>
      <c r="Y284" s="32">
        <f>$E234*Common!Z$69</f>
        <v>0</v>
      </c>
      <c r="Z284" s="32">
        <f>$E234*Common!AA$69</f>
        <v>0</v>
      </c>
      <c r="AA284" s="32">
        <f>$E234*Common!AB$69</f>
        <v>0</v>
      </c>
      <c r="AB284" s="32">
        <f>$E234*Common!AC$69</f>
        <v>0</v>
      </c>
      <c r="AC284" s="32">
        <f>$E234*Common!AD$69</f>
        <v>0</v>
      </c>
      <c r="AD284" s="32">
        <f>$E234*Common!AE$69</f>
        <v>0</v>
      </c>
      <c r="AE284" s="32">
        <f>$E234*Common!AF$69</f>
        <v>0</v>
      </c>
      <c r="AF284" s="32">
        <f>$E234*Common!AG$69</f>
        <v>0</v>
      </c>
      <c r="AG284" s="32">
        <f>$E234*Common!AH$69</f>
        <v>0</v>
      </c>
      <c r="AH284" s="32">
        <f>$E234*Common!AI$69</f>
        <v>0</v>
      </c>
      <c r="AI284" s="32">
        <f>$E234*Common!AJ$69</f>
        <v>0</v>
      </c>
      <c r="AJ284" s="32">
        <f>$E234*Common!AK$69</f>
        <v>0</v>
      </c>
      <c r="AK284" s="32">
        <f>$E234*Common!AL$69</f>
        <v>0</v>
      </c>
      <c r="AL284" s="32">
        <f>$E234*Common!AM$69</f>
        <v>0</v>
      </c>
      <c r="AM284" s="32">
        <f>$E234*Common!AN$69</f>
        <v>0</v>
      </c>
      <c r="AN284" s="32">
        <f>$E234*Common!AO$69</f>
        <v>0</v>
      </c>
      <c r="AO284" s="32">
        <f>$E234*Common!AP$69</f>
        <v>0</v>
      </c>
      <c r="AP284" s="32">
        <f>$E234*Common!AQ$69</f>
        <v>0</v>
      </c>
      <c r="AQ284" s="32">
        <f>$E234*Common!AR$69</f>
        <v>0</v>
      </c>
      <c r="AR284" s="32">
        <f>$E234*Common!AS$69</f>
        <v>0</v>
      </c>
      <c r="AS284" s="32">
        <f>$E234*Common!AT$69</f>
        <v>0</v>
      </c>
      <c r="AT284" s="32">
        <f>$E234*Common!AU$69</f>
        <v>0</v>
      </c>
      <c r="AU284" s="32">
        <f>$E234*Common!AV$69</f>
        <v>0</v>
      </c>
      <c r="AV284" s="32">
        <f>$E234*Common!AW$69</f>
        <v>0</v>
      </c>
      <c r="AW284" s="32">
        <f>$E234*Common!AX$69</f>
        <v>0</v>
      </c>
      <c r="AX284" s="32">
        <f>$E234*Common!AY$69</f>
        <v>0</v>
      </c>
      <c r="AY284" s="32">
        <f>$E234*Common!AZ$69</f>
        <v>0</v>
      </c>
      <c r="AZ284" s="32">
        <f>$E234*Common!BA$69</f>
        <v>0</v>
      </c>
      <c r="BA284" s="32">
        <f>$E234*Common!BB$69</f>
        <v>0</v>
      </c>
      <c r="BB284" s="32">
        <f>$E234*Common!BC$69</f>
        <v>0</v>
      </c>
      <c r="BC284" s="32">
        <f>$E234*Common!BD$69</f>
        <v>0</v>
      </c>
      <c r="BD284" s="32">
        <f>$E234*Common!BE$69</f>
        <v>0</v>
      </c>
      <c r="BE284" s="32">
        <f>$E234*Common!BF$69</f>
        <v>0</v>
      </c>
      <c r="BF284" s="32">
        <f>$E234*Common!BG$69</f>
        <v>0</v>
      </c>
      <c r="BG284" s="32">
        <f>$E234*Common!BH$69</f>
        <v>0</v>
      </c>
      <c r="BH284" s="32">
        <f>$E234*Common!BI$69</f>
        <v>0</v>
      </c>
      <c r="BI284" s="32">
        <f>$E234*Common!BJ$69</f>
        <v>0</v>
      </c>
      <c r="BJ284" s="32">
        <f>$E234*Common!BK$69</f>
        <v>0</v>
      </c>
      <c r="BK284" s="32">
        <f>$E234*Common!BL$69</f>
        <v>0</v>
      </c>
      <c r="BL284" s="32">
        <f>$E234*Common!BM$69</f>
        <v>0</v>
      </c>
      <c r="BM284" s="32">
        <f>$E234*Common!BN$69</f>
        <v>0</v>
      </c>
      <c r="BN284" s="32">
        <f>$E234*Common!BO$69</f>
        <v>0</v>
      </c>
      <c r="BO284" s="32">
        <f>$E234*Common!BP$69</f>
        <v>0</v>
      </c>
      <c r="BP284" s="32">
        <f>$E234*Common!BQ$69</f>
        <v>0</v>
      </c>
      <c r="BQ284" s="32">
        <f>$E234*Common!BR$69</f>
        <v>0</v>
      </c>
      <c r="BR284" s="32">
        <f>$E234*Common!BS$69</f>
        <v>0</v>
      </c>
      <c r="BS284" s="32">
        <f>$E234*Common!BT$69</f>
        <v>0</v>
      </c>
      <c r="BT284" s="32">
        <f>$E234*Common!BU$69</f>
        <v>0</v>
      </c>
      <c r="BU284" s="32">
        <f>$E234*Common!BV$69</f>
        <v>0</v>
      </c>
      <c r="BV284" s="32">
        <f>$E234*Common!BW$69</f>
        <v>0</v>
      </c>
      <c r="BW284" s="32">
        <f>$E234*Common!BX$69</f>
        <v>0</v>
      </c>
      <c r="BX284" s="32">
        <f>$E234*Common!BY$69</f>
        <v>0</v>
      </c>
      <c r="BY284" s="32">
        <f>$E234*Common!BZ$69</f>
        <v>0</v>
      </c>
      <c r="BZ284" s="32">
        <f>$E234*Common!CA$69</f>
        <v>0</v>
      </c>
      <c r="CA284" s="32">
        <f>$E234*Common!CB$69</f>
        <v>0</v>
      </c>
      <c r="CB284" s="32">
        <f>$E234*Common!CC$69</f>
        <v>0</v>
      </c>
      <c r="CC284" s="32">
        <f>$E234*Common!CD$69</f>
        <v>0</v>
      </c>
      <c r="CD284" s="32">
        <f>$E234*Common!CE$69</f>
        <v>0</v>
      </c>
      <c r="CE284" s="32">
        <f>$E234*Common!CF$69</f>
        <v>0</v>
      </c>
      <c r="CF284" s="32">
        <f>$E234*Common!CG$69</f>
        <v>0</v>
      </c>
      <c r="CG284" s="32">
        <f>$E234*Common!CH$69</f>
        <v>0</v>
      </c>
      <c r="CH284" s="32">
        <f>$E234*Common!CI$69</f>
        <v>0</v>
      </c>
      <c r="CI284" s="32">
        <f>$E234*Common!CJ$69</f>
        <v>0</v>
      </c>
      <c r="CR284" s="32">
        <f t="shared" ref="CR284:CS284" si="61">C234</f>
        <v>0.7</v>
      </c>
      <c r="CS284" s="32">
        <f t="shared" si="61"/>
        <v>0</v>
      </c>
      <c r="CV284">
        <f t="shared" si="24"/>
        <v>0</v>
      </c>
      <c r="CW284">
        <f t="shared" si="25"/>
        <v>0</v>
      </c>
      <c r="CX284">
        <f t="shared" si="26"/>
        <v>0</v>
      </c>
      <c r="CY284">
        <f t="shared" si="27"/>
        <v>0</v>
      </c>
      <c r="CZ284">
        <f t="shared" si="28"/>
        <v>0</v>
      </c>
      <c r="DA284">
        <f t="shared" si="29"/>
        <v>0</v>
      </c>
      <c r="DB284">
        <f t="shared" si="30"/>
        <v>0</v>
      </c>
      <c r="DF284" s="32">
        <f t="shared" si="31"/>
        <v>7.043105244169527</v>
      </c>
      <c r="DI284">
        <f>SUM('SS Material Flow'!C215:J215)/'SS Material Flow'!B124</f>
        <v>0.98</v>
      </c>
      <c r="DK284">
        <f>'SS Material Flow'!B215/'SS Material Flow'!B124</f>
        <v>2.0000000000000021E-2</v>
      </c>
    </row>
    <row r="285" spans="1:115" x14ac:dyDescent="0.35">
      <c r="A285" t="str">
        <f t="shared" si="21"/>
        <v xml:space="preserve">Al - Non-recyclable </v>
      </c>
      <c r="B285" s="32">
        <f>$E235*Common!C$69</f>
        <v>1.1771319545529315</v>
      </c>
      <c r="C285" s="32">
        <f>$E235*Common!D$69</f>
        <v>0</v>
      </c>
      <c r="D285" s="32">
        <f>$E235*Common!E$69</f>
        <v>0</v>
      </c>
      <c r="E285" s="32">
        <f>$E235*Common!F$69</f>
        <v>0</v>
      </c>
      <c r="F285" s="32">
        <f>$E235*Common!G$69</f>
        <v>0</v>
      </c>
      <c r="G285" s="32">
        <f>$E235*Common!H$69</f>
        <v>0</v>
      </c>
      <c r="H285" s="32">
        <f>$E235*Common!I$69</f>
        <v>0</v>
      </c>
      <c r="I285" s="32">
        <f>$E235*Common!J$69</f>
        <v>0</v>
      </c>
      <c r="J285" s="32">
        <f>$E235*Common!K$69</f>
        <v>0</v>
      </c>
      <c r="K285" s="32">
        <f>$E235*Common!L$69</f>
        <v>0</v>
      </c>
      <c r="L285" s="32">
        <f>$E235*Common!M$69</f>
        <v>0</v>
      </c>
      <c r="M285" s="32">
        <f>$E235*Common!N$69</f>
        <v>0</v>
      </c>
      <c r="N285" s="32">
        <f>$E235*Common!O$69</f>
        <v>0</v>
      </c>
      <c r="O285" s="32">
        <f>$E235*Common!P$69</f>
        <v>0</v>
      </c>
      <c r="P285" s="32">
        <f>$E235*Common!Q$69</f>
        <v>0</v>
      </c>
      <c r="Q285" s="32">
        <f>$E235*Common!R$69</f>
        <v>0</v>
      </c>
      <c r="R285" s="32">
        <f>$E235*Common!S$69</f>
        <v>0</v>
      </c>
      <c r="S285" s="32">
        <f>$E235*Common!T$69</f>
        <v>0</v>
      </c>
      <c r="T285" s="32">
        <f>$E235*Common!U$69</f>
        <v>0</v>
      </c>
      <c r="U285" s="32">
        <f>$E235*Common!V$69</f>
        <v>0</v>
      </c>
      <c r="V285" s="32">
        <f>$E235*Common!W$69</f>
        <v>0</v>
      </c>
      <c r="W285" s="32">
        <f>$E235*Common!X$69</f>
        <v>0</v>
      </c>
      <c r="X285" s="32">
        <f>$E235*Common!Y$69</f>
        <v>0</v>
      </c>
      <c r="Y285" s="32">
        <f>$E235*Common!Z$69</f>
        <v>0</v>
      </c>
      <c r="Z285" s="32">
        <f>$E235*Common!AA$69</f>
        <v>0</v>
      </c>
      <c r="AA285" s="32">
        <f>$E235*Common!AB$69</f>
        <v>0</v>
      </c>
      <c r="AB285" s="32">
        <f>$E235*Common!AC$69</f>
        <v>0</v>
      </c>
      <c r="AC285" s="32">
        <f>$E235*Common!AD$69</f>
        <v>0</v>
      </c>
      <c r="AD285" s="32">
        <f>$E235*Common!AE$69</f>
        <v>0</v>
      </c>
      <c r="AE285" s="32">
        <f>$E235*Common!AF$69</f>
        <v>0</v>
      </c>
      <c r="AF285" s="32">
        <f>$E235*Common!AG$69</f>
        <v>0</v>
      </c>
      <c r="AG285" s="32">
        <f>$E235*Common!AH$69</f>
        <v>0</v>
      </c>
      <c r="AH285" s="32">
        <f>$E235*Common!AI$69</f>
        <v>0</v>
      </c>
      <c r="AI285" s="32">
        <f>$E235*Common!AJ$69</f>
        <v>0</v>
      </c>
      <c r="AJ285" s="32">
        <f>$E235*Common!AK$69</f>
        <v>0</v>
      </c>
      <c r="AK285" s="32">
        <f>$E235*Common!AL$69</f>
        <v>0</v>
      </c>
      <c r="AL285" s="32">
        <f>$E235*Common!AM$69</f>
        <v>0</v>
      </c>
      <c r="AM285" s="32">
        <f>$E235*Common!AN$69</f>
        <v>0</v>
      </c>
      <c r="AN285" s="32">
        <f>$E235*Common!AO$69</f>
        <v>0</v>
      </c>
      <c r="AO285" s="32">
        <f>$E235*Common!AP$69</f>
        <v>0</v>
      </c>
      <c r="AP285" s="32">
        <f>$E235*Common!AQ$69</f>
        <v>0</v>
      </c>
      <c r="AQ285" s="32">
        <f>$E235*Common!AR$69</f>
        <v>0</v>
      </c>
      <c r="AR285" s="32">
        <f>$E235*Common!AS$69</f>
        <v>0</v>
      </c>
      <c r="AS285" s="32">
        <f>$E235*Common!AT$69</f>
        <v>0</v>
      </c>
      <c r="AT285" s="32">
        <f>$E235*Common!AU$69</f>
        <v>0</v>
      </c>
      <c r="AU285" s="32">
        <f>$E235*Common!AV$69</f>
        <v>0</v>
      </c>
      <c r="AV285" s="32">
        <f>$E235*Common!AW$69</f>
        <v>0</v>
      </c>
      <c r="AW285" s="32">
        <f>$E235*Common!AX$69</f>
        <v>0</v>
      </c>
      <c r="AX285" s="32">
        <f>$E235*Common!AY$69</f>
        <v>0</v>
      </c>
      <c r="AY285" s="32">
        <f>$E235*Common!AZ$69</f>
        <v>0</v>
      </c>
      <c r="AZ285" s="32">
        <f>$E235*Common!BA$69</f>
        <v>0</v>
      </c>
      <c r="BA285" s="32">
        <f>$E235*Common!BB$69</f>
        <v>0</v>
      </c>
      <c r="BB285" s="32">
        <f>$E235*Common!BC$69</f>
        <v>0</v>
      </c>
      <c r="BC285" s="32">
        <f>$E235*Common!BD$69</f>
        <v>0</v>
      </c>
      <c r="BD285" s="32">
        <f>$E235*Common!BE$69</f>
        <v>0</v>
      </c>
      <c r="BE285" s="32">
        <f>$E235*Common!BF$69</f>
        <v>0</v>
      </c>
      <c r="BF285" s="32">
        <f>$E235*Common!BG$69</f>
        <v>0</v>
      </c>
      <c r="BG285" s="32">
        <f>$E235*Common!BH$69</f>
        <v>0</v>
      </c>
      <c r="BH285" s="32">
        <f>$E235*Common!BI$69</f>
        <v>0</v>
      </c>
      <c r="BI285" s="32">
        <f>$E235*Common!BJ$69</f>
        <v>0</v>
      </c>
      <c r="BJ285" s="32">
        <f>$E235*Common!BK$69</f>
        <v>0</v>
      </c>
      <c r="BK285" s="32">
        <f>$E235*Common!BL$69</f>
        <v>0</v>
      </c>
      <c r="BL285" s="32">
        <f>$E235*Common!BM$69</f>
        <v>0</v>
      </c>
      <c r="BM285" s="32">
        <f>$E235*Common!BN$69</f>
        <v>0</v>
      </c>
      <c r="BN285" s="32">
        <f>$E235*Common!BO$69</f>
        <v>0</v>
      </c>
      <c r="BO285" s="32">
        <f>$E235*Common!BP$69</f>
        <v>0</v>
      </c>
      <c r="BP285" s="32">
        <f>$E235*Common!BQ$69</f>
        <v>0</v>
      </c>
      <c r="BQ285" s="32">
        <f>$E235*Common!BR$69</f>
        <v>0</v>
      </c>
      <c r="BR285" s="32">
        <f>$E235*Common!BS$69</f>
        <v>0</v>
      </c>
      <c r="BS285" s="32">
        <f>$E235*Common!BT$69</f>
        <v>0</v>
      </c>
      <c r="BT285" s="32">
        <f>$E235*Common!BU$69</f>
        <v>0</v>
      </c>
      <c r="BU285" s="32">
        <f>$E235*Common!BV$69</f>
        <v>0</v>
      </c>
      <c r="BV285" s="32">
        <f>$E235*Common!BW$69</f>
        <v>0</v>
      </c>
      <c r="BW285" s="32">
        <f>$E235*Common!BX$69</f>
        <v>0</v>
      </c>
      <c r="BX285" s="32">
        <f>$E235*Common!BY$69</f>
        <v>0</v>
      </c>
      <c r="BY285" s="32">
        <f>$E235*Common!BZ$69</f>
        <v>0</v>
      </c>
      <c r="BZ285" s="32">
        <f>$E235*Common!CA$69</f>
        <v>0</v>
      </c>
      <c r="CA285" s="32">
        <f>$E235*Common!CB$69</f>
        <v>0</v>
      </c>
      <c r="CB285" s="32">
        <f>$E235*Common!CC$69</f>
        <v>0</v>
      </c>
      <c r="CC285" s="32">
        <f>$E235*Common!CD$69</f>
        <v>0</v>
      </c>
      <c r="CD285" s="32">
        <f>$E235*Common!CE$69</f>
        <v>0</v>
      </c>
      <c r="CE285" s="32">
        <f>$E235*Common!CF$69</f>
        <v>0</v>
      </c>
      <c r="CF285" s="32">
        <f>$E235*Common!CG$69</f>
        <v>0</v>
      </c>
      <c r="CG285" s="32">
        <f>$E235*Common!CH$69</f>
        <v>0</v>
      </c>
      <c r="CH285" s="32">
        <f>$E235*Common!CI$69</f>
        <v>0</v>
      </c>
      <c r="CI285" s="32">
        <f>$E235*Common!CJ$69</f>
        <v>0</v>
      </c>
      <c r="CR285" s="32">
        <f t="shared" ref="CR285:CS285" si="62">C235</f>
        <v>0.7</v>
      </c>
      <c r="CS285" s="32">
        <f t="shared" si="62"/>
        <v>0</v>
      </c>
      <c r="CV285">
        <f t="shared" si="24"/>
        <v>0</v>
      </c>
      <c r="CW285">
        <f t="shared" si="25"/>
        <v>0</v>
      </c>
      <c r="CX285">
        <f t="shared" si="26"/>
        <v>0</v>
      </c>
      <c r="CY285">
        <f t="shared" si="27"/>
        <v>0</v>
      </c>
      <c r="CZ285">
        <f t="shared" si="28"/>
        <v>0</v>
      </c>
      <c r="DA285">
        <f t="shared" si="29"/>
        <v>0</v>
      </c>
      <c r="DB285">
        <f t="shared" si="30"/>
        <v>0</v>
      </c>
      <c r="DF285" s="32">
        <f t="shared" si="31"/>
        <v>5.3360384875650153</v>
      </c>
      <c r="DI285">
        <f>SUM('SS Material Flow'!C216:J216)/'SS Material Flow'!B125</f>
        <v>0.97000000000000008</v>
      </c>
      <c r="DK285">
        <f>'SS Material Flow'!B216/'SS Material Flow'!B125</f>
        <v>2.9999999999999926E-2</v>
      </c>
    </row>
    <row r="286" spans="1:115" x14ac:dyDescent="0.35">
      <c r="A286" t="str">
        <f t="shared" si="21"/>
        <v>Glass - Brown</v>
      </c>
      <c r="B286" s="32">
        <f>$E236*Common!C$69</f>
        <v>0</v>
      </c>
      <c r="C286" s="32">
        <f>$E236*Common!D$69</f>
        <v>0</v>
      </c>
      <c r="D286" s="32">
        <f>$E236*Common!E$69</f>
        <v>0</v>
      </c>
      <c r="E286" s="32">
        <f>$E236*Common!F$69</f>
        <v>0</v>
      </c>
      <c r="F286" s="32">
        <f>$E236*Common!G$69</f>
        <v>0</v>
      </c>
      <c r="G286" s="32">
        <f>$E236*Common!H$69</f>
        <v>0</v>
      </c>
      <c r="H286" s="32">
        <f>$E236*Common!I$69</f>
        <v>0</v>
      </c>
      <c r="I286" s="32">
        <f>$E236*Common!J$69</f>
        <v>0</v>
      </c>
      <c r="J286" s="32">
        <f>$E236*Common!K$69</f>
        <v>0</v>
      </c>
      <c r="K286" s="32">
        <f>$E236*Common!L$69</f>
        <v>0</v>
      </c>
      <c r="L286" s="32">
        <f>$E236*Common!M$69</f>
        <v>0</v>
      </c>
      <c r="M286" s="32">
        <f>$E236*Common!N$69</f>
        <v>0</v>
      </c>
      <c r="N286" s="32">
        <f>$E236*Common!O$69</f>
        <v>0</v>
      </c>
      <c r="O286" s="32">
        <f>$E236*Common!P$69</f>
        <v>0</v>
      </c>
      <c r="P286" s="32">
        <f>$E236*Common!Q$69</f>
        <v>0</v>
      </c>
      <c r="Q286" s="32">
        <f>$E236*Common!R$69</f>
        <v>0</v>
      </c>
      <c r="R286" s="32">
        <f>$E236*Common!S$69</f>
        <v>0</v>
      </c>
      <c r="S286" s="32">
        <f>$E236*Common!T$69</f>
        <v>0</v>
      </c>
      <c r="T286" s="32">
        <f>$E236*Common!U$69</f>
        <v>0</v>
      </c>
      <c r="U286" s="32">
        <f>$E236*Common!V$69</f>
        <v>0</v>
      </c>
      <c r="V286" s="32">
        <f>$E236*Common!W$69</f>
        <v>0</v>
      </c>
      <c r="W286" s="32">
        <f>$E236*Common!X$69</f>
        <v>0</v>
      </c>
      <c r="X286" s="32">
        <f>$E236*Common!Y$69</f>
        <v>0</v>
      </c>
      <c r="Y286" s="32">
        <f>$E236*Common!Z$69</f>
        <v>0</v>
      </c>
      <c r="Z286" s="32">
        <f>$E236*Common!AA$69</f>
        <v>0</v>
      </c>
      <c r="AA286" s="32">
        <f>$E236*Common!AB$69</f>
        <v>0</v>
      </c>
      <c r="AB286" s="32">
        <f>$E236*Common!AC$69</f>
        <v>0</v>
      </c>
      <c r="AC286" s="32">
        <f>$E236*Common!AD$69</f>
        <v>0</v>
      </c>
      <c r="AD286" s="32">
        <f>$E236*Common!AE$69</f>
        <v>0</v>
      </c>
      <c r="AE286" s="32">
        <f>$E236*Common!AF$69</f>
        <v>0</v>
      </c>
      <c r="AF286" s="32">
        <f>$E236*Common!AG$69</f>
        <v>0</v>
      </c>
      <c r="AG286" s="32">
        <f>$E236*Common!AH$69</f>
        <v>0</v>
      </c>
      <c r="AH286" s="32">
        <f>$E236*Common!AI$69</f>
        <v>0</v>
      </c>
      <c r="AI286" s="32">
        <f>$E236*Common!AJ$69</f>
        <v>0</v>
      </c>
      <c r="AJ286" s="32">
        <f>$E236*Common!AK$69</f>
        <v>0</v>
      </c>
      <c r="AK286" s="32">
        <f>$E236*Common!AL$69</f>
        <v>0</v>
      </c>
      <c r="AL286" s="32">
        <f>$E236*Common!AM$69</f>
        <v>0</v>
      </c>
      <c r="AM286" s="32">
        <f>$E236*Common!AN$69</f>
        <v>0</v>
      </c>
      <c r="AN286" s="32">
        <f>$E236*Common!AO$69</f>
        <v>0</v>
      </c>
      <c r="AO286" s="32">
        <f>$E236*Common!AP$69</f>
        <v>0</v>
      </c>
      <c r="AP286" s="32">
        <f>$E236*Common!AQ$69</f>
        <v>0</v>
      </c>
      <c r="AQ286" s="32">
        <f>$E236*Common!AR$69</f>
        <v>0</v>
      </c>
      <c r="AR286" s="32">
        <f>$E236*Common!AS$69</f>
        <v>0</v>
      </c>
      <c r="AS286" s="32">
        <f>$E236*Common!AT$69</f>
        <v>0</v>
      </c>
      <c r="AT286" s="32">
        <f>$E236*Common!AU$69</f>
        <v>0</v>
      </c>
      <c r="AU286" s="32">
        <f>$E236*Common!AV$69</f>
        <v>0</v>
      </c>
      <c r="AV286" s="32">
        <f>$E236*Common!AW$69</f>
        <v>0</v>
      </c>
      <c r="AW286" s="32">
        <f>$E236*Common!AX$69</f>
        <v>0</v>
      </c>
      <c r="AX286" s="32">
        <f>$E236*Common!AY$69</f>
        <v>0</v>
      </c>
      <c r="AY286" s="32">
        <f>$E236*Common!AZ$69</f>
        <v>0</v>
      </c>
      <c r="AZ286" s="32">
        <f>$E236*Common!BA$69</f>
        <v>0</v>
      </c>
      <c r="BA286" s="32">
        <f>$E236*Common!BB$69</f>
        <v>0</v>
      </c>
      <c r="BB286" s="32">
        <f>$E236*Common!BC$69</f>
        <v>0</v>
      </c>
      <c r="BC286" s="32">
        <f>$E236*Common!BD$69</f>
        <v>0</v>
      </c>
      <c r="BD286" s="32">
        <f>$E236*Common!BE$69</f>
        <v>0</v>
      </c>
      <c r="BE286" s="32">
        <f>$E236*Common!BF$69</f>
        <v>0</v>
      </c>
      <c r="BF286" s="32">
        <f>$E236*Common!BG$69</f>
        <v>0</v>
      </c>
      <c r="BG286" s="32">
        <f>$E236*Common!BH$69</f>
        <v>0</v>
      </c>
      <c r="BH286" s="32">
        <f>$E236*Common!BI$69</f>
        <v>0</v>
      </c>
      <c r="BI286" s="32">
        <f>$E236*Common!BJ$69</f>
        <v>0</v>
      </c>
      <c r="BJ286" s="32">
        <f>$E236*Common!BK$69</f>
        <v>0</v>
      </c>
      <c r="BK286" s="32">
        <f>$E236*Common!BL$69</f>
        <v>0</v>
      </c>
      <c r="BL286" s="32">
        <f>$E236*Common!BM$69</f>
        <v>0</v>
      </c>
      <c r="BM286" s="32">
        <f>$E236*Common!BN$69</f>
        <v>0</v>
      </c>
      <c r="BN286" s="32">
        <f>$E236*Common!BO$69</f>
        <v>0</v>
      </c>
      <c r="BO286" s="32">
        <f>$E236*Common!BP$69</f>
        <v>0</v>
      </c>
      <c r="BP286" s="32">
        <f>$E236*Common!BQ$69</f>
        <v>0</v>
      </c>
      <c r="BQ286" s="32">
        <f>$E236*Common!BR$69</f>
        <v>0</v>
      </c>
      <c r="BR286" s="32">
        <f>$E236*Common!BS$69</f>
        <v>0</v>
      </c>
      <c r="BS286" s="32">
        <f>$E236*Common!BT$69</f>
        <v>0</v>
      </c>
      <c r="BT286" s="32">
        <f>$E236*Common!BU$69</f>
        <v>0</v>
      </c>
      <c r="BU286" s="32">
        <f>$E236*Common!BV$69</f>
        <v>0</v>
      </c>
      <c r="BV286" s="32">
        <f>$E236*Common!BW$69</f>
        <v>0</v>
      </c>
      <c r="BW286" s="32">
        <f>$E236*Common!BX$69</f>
        <v>0</v>
      </c>
      <c r="BX286" s="32">
        <f>$E236*Common!BY$69</f>
        <v>0</v>
      </c>
      <c r="BY286" s="32">
        <f>$E236*Common!BZ$69</f>
        <v>0</v>
      </c>
      <c r="BZ286" s="32">
        <f>$E236*Common!CA$69</f>
        <v>0</v>
      </c>
      <c r="CA286" s="32">
        <f>$E236*Common!CB$69</f>
        <v>0</v>
      </c>
      <c r="CB286" s="32">
        <f>$E236*Common!CC$69</f>
        <v>0</v>
      </c>
      <c r="CC286" s="32">
        <f>$E236*Common!CD$69</f>
        <v>0</v>
      </c>
      <c r="CD286" s="32">
        <f>$E236*Common!CE$69</f>
        <v>0</v>
      </c>
      <c r="CE286" s="32">
        <f>$E236*Common!CF$69</f>
        <v>0</v>
      </c>
      <c r="CF286" s="32">
        <f>$E236*Common!CG$69</f>
        <v>0</v>
      </c>
      <c r="CG286" s="32">
        <f>$E236*Common!CH$69</f>
        <v>0</v>
      </c>
      <c r="CH286" s="32">
        <f>$E236*Common!CI$69</f>
        <v>0</v>
      </c>
      <c r="CI286" s="32">
        <f>$E236*Common!CJ$69</f>
        <v>0</v>
      </c>
      <c r="CR286" s="32">
        <f t="shared" ref="CR286:CS286" si="63">C236</f>
        <v>0.7</v>
      </c>
      <c r="CS286" s="32">
        <f t="shared" si="63"/>
        <v>0</v>
      </c>
      <c r="CV286">
        <f t="shared" si="24"/>
        <v>0</v>
      </c>
      <c r="CW286">
        <f t="shared" si="25"/>
        <v>0</v>
      </c>
      <c r="CX286">
        <f t="shared" si="26"/>
        <v>0</v>
      </c>
      <c r="CY286">
        <f t="shared" si="27"/>
        <v>0</v>
      </c>
      <c r="CZ286">
        <f t="shared" si="28"/>
        <v>0</v>
      </c>
      <c r="DA286">
        <f t="shared" si="29"/>
        <v>0</v>
      </c>
      <c r="DB286">
        <f t="shared" si="30"/>
        <v>0</v>
      </c>
      <c r="DF286" s="32">
        <f t="shared" si="31"/>
        <v>8.5065393792912616</v>
      </c>
      <c r="DI286">
        <f>SUM('SS Material Flow'!C217:J217)/'SS Material Flow'!B126</f>
        <v>0.94089999999999985</v>
      </c>
      <c r="DK286">
        <f>'SS Material Flow'!B217/'SS Material Flow'!B126</f>
        <v>5.9100000000000062E-2</v>
      </c>
    </row>
    <row r="287" spans="1:115" x14ac:dyDescent="0.35">
      <c r="A287" t="str">
        <f t="shared" si="21"/>
        <v>Glass - Green</v>
      </c>
      <c r="B287" s="32">
        <f>$E237*Common!C$69</f>
        <v>0</v>
      </c>
      <c r="C287" s="32">
        <f>$E237*Common!D$69</f>
        <v>0</v>
      </c>
      <c r="D287" s="32">
        <f>$E237*Common!E$69</f>
        <v>0</v>
      </c>
      <c r="E287" s="32">
        <f>$E237*Common!F$69</f>
        <v>0</v>
      </c>
      <c r="F287" s="32">
        <f>$E237*Common!G$69</f>
        <v>0</v>
      </c>
      <c r="G287" s="32">
        <f>$E237*Common!H$69</f>
        <v>0</v>
      </c>
      <c r="H287" s="32">
        <f>$E237*Common!I$69</f>
        <v>0</v>
      </c>
      <c r="I287" s="32">
        <f>$E237*Common!J$69</f>
        <v>0</v>
      </c>
      <c r="J287" s="32">
        <f>$E237*Common!K$69</f>
        <v>0</v>
      </c>
      <c r="K287" s="32">
        <f>$E237*Common!L$69</f>
        <v>0</v>
      </c>
      <c r="L287" s="32">
        <f>$E237*Common!M$69</f>
        <v>0</v>
      </c>
      <c r="M287" s="32">
        <f>$E237*Common!N$69</f>
        <v>0</v>
      </c>
      <c r="N287" s="32">
        <f>$E237*Common!O$69</f>
        <v>0</v>
      </c>
      <c r="O287" s="32">
        <f>$E237*Common!P$69</f>
        <v>0</v>
      </c>
      <c r="P287" s="32">
        <f>$E237*Common!Q$69</f>
        <v>0</v>
      </c>
      <c r="Q287" s="32">
        <f>$E237*Common!R$69</f>
        <v>0</v>
      </c>
      <c r="R287" s="32">
        <f>$E237*Common!S$69</f>
        <v>0</v>
      </c>
      <c r="S287" s="32">
        <f>$E237*Common!T$69</f>
        <v>0</v>
      </c>
      <c r="T287" s="32">
        <f>$E237*Common!U$69</f>
        <v>0</v>
      </c>
      <c r="U287" s="32">
        <f>$E237*Common!V$69</f>
        <v>0</v>
      </c>
      <c r="V287" s="32">
        <f>$E237*Common!W$69</f>
        <v>0</v>
      </c>
      <c r="W287" s="32">
        <f>$E237*Common!X$69</f>
        <v>0</v>
      </c>
      <c r="X287" s="32">
        <f>$E237*Common!Y$69</f>
        <v>0</v>
      </c>
      <c r="Y287" s="32">
        <f>$E237*Common!Z$69</f>
        <v>0</v>
      </c>
      <c r="Z287" s="32">
        <f>$E237*Common!AA$69</f>
        <v>0</v>
      </c>
      <c r="AA287" s="32">
        <f>$E237*Common!AB$69</f>
        <v>0</v>
      </c>
      <c r="AB287" s="32">
        <f>$E237*Common!AC$69</f>
        <v>0</v>
      </c>
      <c r="AC287" s="32">
        <f>$E237*Common!AD$69</f>
        <v>0</v>
      </c>
      <c r="AD287" s="32">
        <f>$E237*Common!AE$69</f>
        <v>0</v>
      </c>
      <c r="AE287" s="32">
        <f>$E237*Common!AF$69</f>
        <v>0</v>
      </c>
      <c r="AF287" s="32">
        <f>$E237*Common!AG$69</f>
        <v>0</v>
      </c>
      <c r="AG287" s="32">
        <f>$E237*Common!AH$69</f>
        <v>0</v>
      </c>
      <c r="AH287" s="32">
        <f>$E237*Common!AI$69</f>
        <v>0</v>
      </c>
      <c r="AI287" s="32">
        <f>$E237*Common!AJ$69</f>
        <v>0</v>
      </c>
      <c r="AJ287" s="32">
        <f>$E237*Common!AK$69</f>
        <v>0</v>
      </c>
      <c r="AK287" s="32">
        <f>$E237*Common!AL$69</f>
        <v>0</v>
      </c>
      <c r="AL287" s="32">
        <f>$E237*Common!AM$69</f>
        <v>0</v>
      </c>
      <c r="AM287" s="32">
        <f>$E237*Common!AN$69</f>
        <v>0</v>
      </c>
      <c r="AN287" s="32">
        <f>$E237*Common!AO$69</f>
        <v>0</v>
      </c>
      <c r="AO287" s="32">
        <f>$E237*Common!AP$69</f>
        <v>0</v>
      </c>
      <c r="AP287" s="32">
        <f>$E237*Common!AQ$69</f>
        <v>0</v>
      </c>
      <c r="AQ287" s="32">
        <f>$E237*Common!AR$69</f>
        <v>0</v>
      </c>
      <c r="AR287" s="32">
        <f>$E237*Common!AS$69</f>
        <v>0</v>
      </c>
      <c r="AS287" s="32">
        <f>$E237*Common!AT$69</f>
        <v>0</v>
      </c>
      <c r="AT287" s="32">
        <f>$E237*Common!AU$69</f>
        <v>0</v>
      </c>
      <c r="AU287" s="32">
        <f>$E237*Common!AV$69</f>
        <v>0</v>
      </c>
      <c r="AV287" s="32">
        <f>$E237*Common!AW$69</f>
        <v>0</v>
      </c>
      <c r="AW287" s="32">
        <f>$E237*Common!AX$69</f>
        <v>0</v>
      </c>
      <c r="AX287" s="32">
        <f>$E237*Common!AY$69</f>
        <v>0</v>
      </c>
      <c r="AY287" s="32">
        <f>$E237*Common!AZ$69</f>
        <v>0</v>
      </c>
      <c r="AZ287" s="32">
        <f>$E237*Common!BA$69</f>
        <v>0</v>
      </c>
      <c r="BA287" s="32">
        <f>$E237*Common!BB$69</f>
        <v>0</v>
      </c>
      <c r="BB287" s="32">
        <f>$E237*Common!BC$69</f>
        <v>0</v>
      </c>
      <c r="BC287" s="32">
        <f>$E237*Common!BD$69</f>
        <v>0</v>
      </c>
      <c r="BD287" s="32">
        <f>$E237*Common!BE$69</f>
        <v>0</v>
      </c>
      <c r="BE287" s="32">
        <f>$E237*Common!BF$69</f>
        <v>0</v>
      </c>
      <c r="BF287" s="32">
        <f>$E237*Common!BG$69</f>
        <v>0</v>
      </c>
      <c r="BG287" s="32">
        <f>$E237*Common!BH$69</f>
        <v>0</v>
      </c>
      <c r="BH287" s="32">
        <f>$E237*Common!BI$69</f>
        <v>0</v>
      </c>
      <c r="BI287" s="32">
        <f>$E237*Common!BJ$69</f>
        <v>0</v>
      </c>
      <c r="BJ287" s="32">
        <f>$E237*Common!BK$69</f>
        <v>0</v>
      </c>
      <c r="BK287" s="32">
        <f>$E237*Common!BL$69</f>
        <v>0</v>
      </c>
      <c r="BL287" s="32">
        <f>$E237*Common!BM$69</f>
        <v>0</v>
      </c>
      <c r="BM287" s="32">
        <f>$E237*Common!BN$69</f>
        <v>0</v>
      </c>
      <c r="BN287" s="32">
        <f>$E237*Common!BO$69</f>
        <v>0</v>
      </c>
      <c r="BO287" s="32">
        <f>$E237*Common!BP$69</f>
        <v>0</v>
      </c>
      <c r="BP287" s="32">
        <f>$E237*Common!BQ$69</f>
        <v>0</v>
      </c>
      <c r="BQ287" s="32">
        <f>$E237*Common!BR$69</f>
        <v>0</v>
      </c>
      <c r="BR287" s="32">
        <f>$E237*Common!BS$69</f>
        <v>0</v>
      </c>
      <c r="BS287" s="32">
        <f>$E237*Common!BT$69</f>
        <v>0</v>
      </c>
      <c r="BT287" s="32">
        <f>$E237*Common!BU$69</f>
        <v>0</v>
      </c>
      <c r="BU287" s="32">
        <f>$E237*Common!BV$69</f>
        <v>0</v>
      </c>
      <c r="BV287" s="32">
        <f>$E237*Common!BW$69</f>
        <v>0</v>
      </c>
      <c r="BW287" s="32">
        <f>$E237*Common!BX$69</f>
        <v>0</v>
      </c>
      <c r="BX287" s="32">
        <f>$E237*Common!BY$69</f>
        <v>0</v>
      </c>
      <c r="BY287" s="32">
        <f>$E237*Common!BZ$69</f>
        <v>0</v>
      </c>
      <c r="BZ287" s="32">
        <f>$E237*Common!CA$69</f>
        <v>0</v>
      </c>
      <c r="CA287" s="32">
        <f>$E237*Common!CB$69</f>
        <v>0</v>
      </c>
      <c r="CB287" s="32">
        <f>$E237*Common!CC$69</f>
        <v>0</v>
      </c>
      <c r="CC287" s="32">
        <f>$E237*Common!CD$69</f>
        <v>0</v>
      </c>
      <c r="CD287" s="32">
        <f>$E237*Common!CE$69</f>
        <v>0</v>
      </c>
      <c r="CE287" s="32">
        <f>$E237*Common!CF$69</f>
        <v>0</v>
      </c>
      <c r="CF287" s="32">
        <f>$E237*Common!CG$69</f>
        <v>0</v>
      </c>
      <c r="CG287" s="32">
        <f>$E237*Common!CH$69</f>
        <v>0</v>
      </c>
      <c r="CH287" s="32">
        <f>$E237*Common!CI$69</f>
        <v>0</v>
      </c>
      <c r="CI287" s="32">
        <f>$E237*Common!CJ$69</f>
        <v>0</v>
      </c>
      <c r="CR287" s="32">
        <f t="shared" ref="CR287:CS287" si="64">C237</f>
        <v>0.7</v>
      </c>
      <c r="CS287" s="32">
        <f t="shared" si="64"/>
        <v>0</v>
      </c>
      <c r="CV287">
        <f t="shared" si="24"/>
        <v>0</v>
      </c>
      <c r="CW287">
        <f t="shared" si="25"/>
        <v>0</v>
      </c>
      <c r="CX287">
        <f t="shared" si="26"/>
        <v>0</v>
      </c>
      <c r="CY287">
        <f t="shared" si="27"/>
        <v>0</v>
      </c>
      <c r="CZ287">
        <f t="shared" si="28"/>
        <v>0</v>
      </c>
      <c r="DA287">
        <f t="shared" si="29"/>
        <v>0</v>
      </c>
      <c r="DB287">
        <f t="shared" si="30"/>
        <v>0</v>
      </c>
      <c r="DF287" s="32">
        <f t="shared" si="31"/>
        <v>8.5065393792912598</v>
      </c>
      <c r="DI287">
        <f>SUM('SS Material Flow'!C218:J218)/'SS Material Flow'!B127</f>
        <v>0.94090000000000007</v>
      </c>
      <c r="DK287">
        <f>'SS Material Flow'!B218/'SS Material Flow'!B127</f>
        <v>5.9100000000000021E-2</v>
      </c>
    </row>
    <row r="288" spans="1:115" x14ac:dyDescent="0.35">
      <c r="A288" t="str">
        <f t="shared" si="21"/>
        <v>Glass - Clear</v>
      </c>
      <c r="B288" s="32">
        <f>$E238*Common!C$69</f>
        <v>0</v>
      </c>
      <c r="C288" s="32">
        <f>$E238*Common!D$69</f>
        <v>0</v>
      </c>
      <c r="D288" s="32">
        <f>$E238*Common!E$69</f>
        <v>0</v>
      </c>
      <c r="E288" s="32">
        <f>$E238*Common!F$69</f>
        <v>0</v>
      </c>
      <c r="F288" s="32">
        <f>$E238*Common!G$69</f>
        <v>0</v>
      </c>
      <c r="G288" s="32">
        <f>$E238*Common!H$69</f>
        <v>0</v>
      </c>
      <c r="H288" s="32">
        <f>$E238*Common!I$69</f>
        <v>0</v>
      </c>
      <c r="I288" s="32">
        <f>$E238*Common!J$69</f>
        <v>0</v>
      </c>
      <c r="J288" s="32">
        <f>$E238*Common!K$69</f>
        <v>0</v>
      </c>
      <c r="K288" s="32">
        <f>$E238*Common!L$69</f>
        <v>0</v>
      </c>
      <c r="L288" s="32">
        <f>$E238*Common!M$69</f>
        <v>0</v>
      </c>
      <c r="M288" s="32">
        <f>$E238*Common!N$69</f>
        <v>0</v>
      </c>
      <c r="N288" s="32">
        <f>$E238*Common!O$69</f>
        <v>0</v>
      </c>
      <c r="O288" s="32">
        <f>$E238*Common!P$69</f>
        <v>0</v>
      </c>
      <c r="P288" s="32">
        <f>$E238*Common!Q$69</f>
        <v>0</v>
      </c>
      <c r="Q288" s="32">
        <f>$E238*Common!R$69</f>
        <v>0</v>
      </c>
      <c r="R288" s="32">
        <f>$E238*Common!S$69</f>
        <v>0</v>
      </c>
      <c r="S288" s="32">
        <f>$E238*Common!T$69</f>
        <v>0</v>
      </c>
      <c r="T288" s="32">
        <f>$E238*Common!U$69</f>
        <v>0</v>
      </c>
      <c r="U288" s="32">
        <f>$E238*Common!V$69</f>
        <v>0</v>
      </c>
      <c r="V288" s="32">
        <f>$E238*Common!W$69</f>
        <v>0</v>
      </c>
      <c r="W288" s="32">
        <f>$E238*Common!X$69</f>
        <v>0</v>
      </c>
      <c r="X288" s="32">
        <f>$E238*Common!Y$69</f>
        <v>0</v>
      </c>
      <c r="Y288" s="32">
        <f>$E238*Common!Z$69</f>
        <v>0</v>
      </c>
      <c r="Z288" s="32">
        <f>$E238*Common!AA$69</f>
        <v>0</v>
      </c>
      <c r="AA288" s="32">
        <f>$E238*Common!AB$69</f>
        <v>0</v>
      </c>
      <c r="AB288" s="32">
        <f>$E238*Common!AC$69</f>
        <v>0</v>
      </c>
      <c r="AC288" s="32">
        <f>$E238*Common!AD$69</f>
        <v>0</v>
      </c>
      <c r="AD288" s="32">
        <f>$E238*Common!AE$69</f>
        <v>0</v>
      </c>
      <c r="AE288" s="32">
        <f>$E238*Common!AF$69</f>
        <v>0</v>
      </c>
      <c r="AF288" s="32">
        <f>$E238*Common!AG$69</f>
        <v>0</v>
      </c>
      <c r="AG288" s="32">
        <f>$E238*Common!AH$69</f>
        <v>0</v>
      </c>
      <c r="AH288" s="32">
        <f>$E238*Common!AI$69</f>
        <v>0</v>
      </c>
      <c r="AI288" s="32">
        <f>$E238*Common!AJ$69</f>
        <v>0</v>
      </c>
      <c r="AJ288" s="32">
        <f>$E238*Common!AK$69</f>
        <v>0</v>
      </c>
      <c r="AK288" s="32">
        <f>$E238*Common!AL$69</f>
        <v>0</v>
      </c>
      <c r="AL288" s="32">
        <f>$E238*Common!AM$69</f>
        <v>0</v>
      </c>
      <c r="AM288" s="32">
        <f>$E238*Common!AN$69</f>
        <v>0</v>
      </c>
      <c r="AN288" s="32">
        <f>$E238*Common!AO$69</f>
        <v>0</v>
      </c>
      <c r="AO288" s="32">
        <f>$E238*Common!AP$69</f>
        <v>0</v>
      </c>
      <c r="AP288" s="32">
        <f>$E238*Common!AQ$69</f>
        <v>0</v>
      </c>
      <c r="AQ288" s="32">
        <f>$E238*Common!AR$69</f>
        <v>0</v>
      </c>
      <c r="AR288" s="32">
        <f>$E238*Common!AS$69</f>
        <v>0</v>
      </c>
      <c r="AS288" s="32">
        <f>$E238*Common!AT$69</f>
        <v>0</v>
      </c>
      <c r="AT288" s="32">
        <f>$E238*Common!AU$69</f>
        <v>0</v>
      </c>
      <c r="AU288" s="32">
        <f>$E238*Common!AV$69</f>
        <v>0</v>
      </c>
      <c r="AV288" s="32">
        <f>$E238*Common!AW$69</f>
        <v>0</v>
      </c>
      <c r="AW288" s="32">
        <f>$E238*Common!AX$69</f>
        <v>0</v>
      </c>
      <c r="AX288" s="32">
        <f>$E238*Common!AY$69</f>
        <v>0</v>
      </c>
      <c r="AY288" s="32">
        <f>$E238*Common!AZ$69</f>
        <v>0</v>
      </c>
      <c r="AZ288" s="32">
        <f>$E238*Common!BA$69</f>
        <v>0</v>
      </c>
      <c r="BA288" s="32">
        <f>$E238*Common!BB$69</f>
        <v>0</v>
      </c>
      <c r="BB288" s="32">
        <f>$E238*Common!BC$69</f>
        <v>0</v>
      </c>
      <c r="BC288" s="32">
        <f>$E238*Common!BD$69</f>
        <v>0</v>
      </c>
      <c r="BD288" s="32">
        <f>$E238*Common!BE$69</f>
        <v>0</v>
      </c>
      <c r="BE288" s="32">
        <f>$E238*Common!BF$69</f>
        <v>0</v>
      </c>
      <c r="BF288" s="32">
        <f>$E238*Common!BG$69</f>
        <v>0</v>
      </c>
      <c r="BG288" s="32">
        <f>$E238*Common!BH$69</f>
        <v>0</v>
      </c>
      <c r="BH288" s="32">
        <f>$E238*Common!BI$69</f>
        <v>0</v>
      </c>
      <c r="BI288" s="32">
        <f>$E238*Common!BJ$69</f>
        <v>0</v>
      </c>
      <c r="BJ288" s="32">
        <f>$E238*Common!BK$69</f>
        <v>0</v>
      </c>
      <c r="BK288" s="32">
        <f>$E238*Common!BL$69</f>
        <v>0</v>
      </c>
      <c r="BL288" s="32">
        <f>$E238*Common!BM$69</f>
        <v>0</v>
      </c>
      <c r="BM288" s="32">
        <f>$E238*Common!BN$69</f>
        <v>0</v>
      </c>
      <c r="BN288" s="32">
        <f>$E238*Common!BO$69</f>
        <v>0</v>
      </c>
      <c r="BO288" s="32">
        <f>$E238*Common!BP$69</f>
        <v>0</v>
      </c>
      <c r="BP288" s="32">
        <f>$E238*Common!BQ$69</f>
        <v>0</v>
      </c>
      <c r="BQ288" s="32">
        <f>$E238*Common!BR$69</f>
        <v>0</v>
      </c>
      <c r="BR288" s="32">
        <f>$E238*Common!BS$69</f>
        <v>0</v>
      </c>
      <c r="BS288" s="32">
        <f>$E238*Common!BT$69</f>
        <v>0</v>
      </c>
      <c r="BT288" s="32">
        <f>$E238*Common!BU$69</f>
        <v>0</v>
      </c>
      <c r="BU288" s="32">
        <f>$E238*Common!BV$69</f>
        <v>0</v>
      </c>
      <c r="BV288" s="32">
        <f>$E238*Common!BW$69</f>
        <v>0</v>
      </c>
      <c r="BW288" s="32">
        <f>$E238*Common!BX$69</f>
        <v>0</v>
      </c>
      <c r="BX288" s="32">
        <f>$E238*Common!BY$69</f>
        <v>0</v>
      </c>
      <c r="BY288" s="32">
        <f>$E238*Common!BZ$69</f>
        <v>0</v>
      </c>
      <c r="BZ288" s="32">
        <f>$E238*Common!CA$69</f>
        <v>0</v>
      </c>
      <c r="CA288" s="32">
        <f>$E238*Common!CB$69</f>
        <v>0</v>
      </c>
      <c r="CB288" s="32">
        <f>$E238*Common!CC$69</f>
        <v>0</v>
      </c>
      <c r="CC288" s="32">
        <f>$E238*Common!CD$69</f>
        <v>0</v>
      </c>
      <c r="CD288" s="32">
        <f>$E238*Common!CE$69</f>
        <v>0</v>
      </c>
      <c r="CE288" s="32">
        <f>$E238*Common!CF$69</f>
        <v>0</v>
      </c>
      <c r="CF288" s="32">
        <f>$E238*Common!CG$69</f>
        <v>0</v>
      </c>
      <c r="CG288" s="32">
        <f>$E238*Common!CH$69</f>
        <v>0</v>
      </c>
      <c r="CH288" s="32">
        <f>$E238*Common!CI$69</f>
        <v>0</v>
      </c>
      <c r="CI288" s="32">
        <f>$E238*Common!CJ$69</f>
        <v>0</v>
      </c>
      <c r="CR288" s="32">
        <f t="shared" ref="CR288:CS288" si="65">C238</f>
        <v>0.7</v>
      </c>
      <c r="CS288" s="32">
        <f t="shared" si="65"/>
        <v>0</v>
      </c>
      <c r="CV288">
        <f t="shared" si="24"/>
        <v>0</v>
      </c>
      <c r="CW288">
        <f t="shared" si="25"/>
        <v>0</v>
      </c>
      <c r="CX288">
        <f t="shared" si="26"/>
        <v>0</v>
      </c>
      <c r="CY288">
        <f t="shared" si="27"/>
        <v>0</v>
      </c>
      <c r="CZ288">
        <f t="shared" si="28"/>
        <v>0</v>
      </c>
      <c r="DA288">
        <f t="shared" si="29"/>
        <v>0</v>
      </c>
      <c r="DB288">
        <f t="shared" si="30"/>
        <v>0</v>
      </c>
      <c r="DF288" s="32">
        <f t="shared" si="31"/>
        <v>8.5065393792912616</v>
      </c>
      <c r="DI288">
        <f>SUM('SS Material Flow'!C219:J219)/'SS Material Flow'!B128</f>
        <v>0.94089999999999996</v>
      </c>
      <c r="DK288">
        <f>'SS Material Flow'!B219/'SS Material Flow'!B128</f>
        <v>5.9100000000000076E-2</v>
      </c>
    </row>
    <row r="289" spans="1:115" x14ac:dyDescent="0.35">
      <c r="A289" t="str">
        <f t="shared" si="21"/>
        <v>Mixed Glass</v>
      </c>
      <c r="B289" s="32">
        <f>$E239*Common!C$69</f>
        <v>0</v>
      </c>
      <c r="C289" s="32">
        <f>$E239*Common!D$69</f>
        <v>0</v>
      </c>
      <c r="D289" s="32">
        <f>$E239*Common!E$69</f>
        <v>0</v>
      </c>
      <c r="E289" s="32">
        <f>$E239*Common!F$69</f>
        <v>0</v>
      </c>
      <c r="F289" s="32">
        <f>$E239*Common!G$69</f>
        <v>0</v>
      </c>
      <c r="G289" s="32">
        <f>$E239*Common!H$69</f>
        <v>0</v>
      </c>
      <c r="H289" s="32">
        <f>$E239*Common!I$69</f>
        <v>0</v>
      </c>
      <c r="I289" s="32">
        <f>$E239*Common!J$69</f>
        <v>0</v>
      </c>
      <c r="J289" s="32">
        <f>$E239*Common!K$69</f>
        <v>0</v>
      </c>
      <c r="K289" s="32">
        <f>$E239*Common!L$69</f>
        <v>0</v>
      </c>
      <c r="L289" s="32">
        <f>$E239*Common!M$69</f>
        <v>0</v>
      </c>
      <c r="M289" s="32">
        <f>$E239*Common!N$69</f>
        <v>0</v>
      </c>
      <c r="N289" s="32">
        <f>$E239*Common!O$69</f>
        <v>0</v>
      </c>
      <c r="O289" s="32">
        <f>$E239*Common!P$69</f>
        <v>0</v>
      </c>
      <c r="P289" s="32">
        <f>$E239*Common!Q$69</f>
        <v>0</v>
      </c>
      <c r="Q289" s="32">
        <f>$E239*Common!R$69</f>
        <v>0</v>
      </c>
      <c r="R289" s="32">
        <f>$E239*Common!S$69</f>
        <v>0</v>
      </c>
      <c r="S289" s="32">
        <f>$E239*Common!T$69</f>
        <v>0</v>
      </c>
      <c r="T289" s="32">
        <f>$E239*Common!U$69</f>
        <v>0</v>
      </c>
      <c r="U289" s="32">
        <f>$E239*Common!V$69</f>
        <v>0</v>
      </c>
      <c r="V289" s="32">
        <f>$E239*Common!W$69</f>
        <v>0</v>
      </c>
      <c r="W289" s="32">
        <f>$E239*Common!X$69</f>
        <v>0</v>
      </c>
      <c r="X289" s="32">
        <f>$E239*Common!Y$69</f>
        <v>0</v>
      </c>
      <c r="Y289" s="32">
        <f>$E239*Common!Z$69</f>
        <v>0</v>
      </c>
      <c r="Z289" s="32">
        <f>$E239*Common!AA$69</f>
        <v>0</v>
      </c>
      <c r="AA289" s="32">
        <f>$E239*Common!AB$69</f>
        <v>0</v>
      </c>
      <c r="AB289" s="32">
        <f>$E239*Common!AC$69</f>
        <v>0</v>
      </c>
      <c r="AC289" s="32">
        <f>$E239*Common!AD$69</f>
        <v>0</v>
      </c>
      <c r="AD289" s="32">
        <f>$E239*Common!AE$69</f>
        <v>0</v>
      </c>
      <c r="AE289" s="32">
        <f>$E239*Common!AF$69</f>
        <v>0</v>
      </c>
      <c r="AF289" s="32">
        <f>$E239*Common!AG$69</f>
        <v>0</v>
      </c>
      <c r="AG289" s="32">
        <f>$E239*Common!AH$69</f>
        <v>0</v>
      </c>
      <c r="AH289" s="32">
        <f>$E239*Common!AI$69</f>
        <v>0</v>
      </c>
      <c r="AI289" s="32">
        <f>$E239*Common!AJ$69</f>
        <v>0</v>
      </c>
      <c r="AJ289" s="32">
        <f>$E239*Common!AK$69</f>
        <v>0</v>
      </c>
      <c r="AK289" s="32">
        <f>$E239*Common!AL$69</f>
        <v>0</v>
      </c>
      <c r="AL289" s="32">
        <f>$E239*Common!AM$69</f>
        <v>0</v>
      </c>
      <c r="AM289" s="32">
        <f>$E239*Common!AN$69</f>
        <v>0</v>
      </c>
      <c r="AN289" s="32">
        <f>$E239*Common!AO$69</f>
        <v>0</v>
      </c>
      <c r="AO289" s="32">
        <f>$E239*Common!AP$69</f>
        <v>0</v>
      </c>
      <c r="AP289" s="32">
        <f>$E239*Common!AQ$69</f>
        <v>0</v>
      </c>
      <c r="AQ289" s="32">
        <f>$E239*Common!AR$69</f>
        <v>0</v>
      </c>
      <c r="AR289" s="32">
        <f>$E239*Common!AS$69</f>
        <v>0</v>
      </c>
      <c r="AS289" s="32">
        <f>$E239*Common!AT$69</f>
        <v>0</v>
      </c>
      <c r="AT289" s="32">
        <f>$E239*Common!AU$69</f>
        <v>0</v>
      </c>
      <c r="AU289" s="32">
        <f>$E239*Common!AV$69</f>
        <v>0</v>
      </c>
      <c r="AV289" s="32">
        <f>$E239*Common!AW$69</f>
        <v>0</v>
      </c>
      <c r="AW289" s="32">
        <f>$E239*Common!AX$69</f>
        <v>0</v>
      </c>
      <c r="AX289" s="32">
        <f>$E239*Common!AY$69</f>
        <v>0</v>
      </c>
      <c r="AY289" s="32">
        <f>$E239*Common!AZ$69</f>
        <v>0</v>
      </c>
      <c r="AZ289" s="32">
        <f>$E239*Common!BA$69</f>
        <v>0</v>
      </c>
      <c r="BA289" s="32">
        <f>$E239*Common!BB$69</f>
        <v>0</v>
      </c>
      <c r="BB289" s="32">
        <f>$E239*Common!BC$69</f>
        <v>0</v>
      </c>
      <c r="BC289" s="32">
        <f>$E239*Common!BD$69</f>
        <v>0</v>
      </c>
      <c r="BD289" s="32">
        <f>$E239*Common!BE$69</f>
        <v>0</v>
      </c>
      <c r="BE289" s="32">
        <f>$E239*Common!BF$69</f>
        <v>0</v>
      </c>
      <c r="BF289" s="32">
        <f>$E239*Common!BG$69</f>
        <v>0</v>
      </c>
      <c r="BG289" s="32">
        <f>$E239*Common!BH$69</f>
        <v>0</v>
      </c>
      <c r="BH289" s="32">
        <f>$E239*Common!BI$69</f>
        <v>0</v>
      </c>
      <c r="BI289" s="32">
        <f>$E239*Common!BJ$69</f>
        <v>0</v>
      </c>
      <c r="BJ289" s="32">
        <f>$E239*Common!BK$69</f>
        <v>0</v>
      </c>
      <c r="BK289" s="32">
        <f>$E239*Common!BL$69</f>
        <v>0</v>
      </c>
      <c r="BL289" s="32">
        <f>$E239*Common!BM$69</f>
        <v>0</v>
      </c>
      <c r="BM289" s="32">
        <f>$E239*Common!BN$69</f>
        <v>0</v>
      </c>
      <c r="BN289" s="32">
        <f>$E239*Common!BO$69</f>
        <v>0</v>
      </c>
      <c r="BO289" s="32">
        <f>$E239*Common!BP$69</f>
        <v>0</v>
      </c>
      <c r="BP289" s="32">
        <f>$E239*Common!BQ$69</f>
        <v>0</v>
      </c>
      <c r="BQ289" s="32">
        <f>$E239*Common!BR$69</f>
        <v>0</v>
      </c>
      <c r="BR289" s="32">
        <f>$E239*Common!BS$69</f>
        <v>0</v>
      </c>
      <c r="BS289" s="32">
        <f>$E239*Common!BT$69</f>
        <v>0</v>
      </c>
      <c r="BT289" s="32">
        <f>$E239*Common!BU$69</f>
        <v>0</v>
      </c>
      <c r="BU289" s="32">
        <f>$E239*Common!BV$69</f>
        <v>0</v>
      </c>
      <c r="BV289" s="32">
        <f>$E239*Common!BW$69</f>
        <v>0</v>
      </c>
      <c r="BW289" s="32">
        <f>$E239*Common!BX$69</f>
        <v>0</v>
      </c>
      <c r="BX289" s="32">
        <f>$E239*Common!BY$69</f>
        <v>0</v>
      </c>
      <c r="BY289" s="32">
        <f>$E239*Common!BZ$69</f>
        <v>0</v>
      </c>
      <c r="BZ289" s="32">
        <f>$E239*Common!CA$69</f>
        <v>0</v>
      </c>
      <c r="CA289" s="32">
        <f>$E239*Common!CB$69</f>
        <v>0</v>
      </c>
      <c r="CB289" s="32">
        <f>$E239*Common!CC$69</f>
        <v>0</v>
      </c>
      <c r="CC289" s="32">
        <f>$E239*Common!CD$69</f>
        <v>0</v>
      </c>
      <c r="CD289" s="32">
        <f>$E239*Common!CE$69</f>
        <v>0</v>
      </c>
      <c r="CE289" s="32">
        <f>$E239*Common!CF$69</f>
        <v>0</v>
      </c>
      <c r="CF289" s="32">
        <f>$E239*Common!CG$69</f>
        <v>0</v>
      </c>
      <c r="CG289" s="32">
        <f>$E239*Common!CH$69</f>
        <v>0</v>
      </c>
      <c r="CH289" s="32">
        <f>$E239*Common!CI$69</f>
        <v>0</v>
      </c>
      <c r="CI289" s="32">
        <f>$E239*Common!CJ$69</f>
        <v>0</v>
      </c>
      <c r="CR289" s="32">
        <f t="shared" ref="CR289:CS289" si="66">C239</f>
        <v>0.7</v>
      </c>
      <c r="CS289" s="32">
        <f t="shared" si="66"/>
        <v>0</v>
      </c>
      <c r="CV289">
        <f t="shared" si="24"/>
        <v>0</v>
      </c>
      <c r="CW289">
        <f t="shared" si="25"/>
        <v>0</v>
      </c>
      <c r="CX289">
        <f t="shared" si="26"/>
        <v>0</v>
      </c>
      <c r="CY289">
        <f t="shared" si="27"/>
        <v>0</v>
      </c>
      <c r="CZ289">
        <f t="shared" si="28"/>
        <v>0</v>
      </c>
      <c r="DA289">
        <f t="shared" si="29"/>
        <v>0</v>
      </c>
      <c r="DB289">
        <f t="shared" si="30"/>
        <v>0</v>
      </c>
      <c r="DF289" s="32">
        <f t="shared" si="31"/>
        <v>8.5065393792912634</v>
      </c>
      <c r="DI289">
        <f>SUM('SS Material Flow'!C220:J220)/'SS Material Flow'!B129</f>
        <v>0.94090000000000007</v>
      </c>
      <c r="DK289">
        <f>'SS Material Flow'!B220/'SS Material Flow'!B129</f>
        <v>5.909999999999993E-2</v>
      </c>
    </row>
    <row r="290" spans="1:115" x14ac:dyDescent="0.35">
      <c r="A290" t="str">
        <f t="shared" si="21"/>
        <v>Glass - Non-recyclable</v>
      </c>
      <c r="B290" s="32">
        <f>$E240*Common!C$69</f>
        <v>0</v>
      </c>
      <c r="C290" s="32">
        <f>$E240*Common!D$69</f>
        <v>0</v>
      </c>
      <c r="D290" s="32">
        <f>$E240*Common!E$69</f>
        <v>0</v>
      </c>
      <c r="E290" s="32">
        <f>$E240*Common!F$69</f>
        <v>0</v>
      </c>
      <c r="F290" s="32">
        <f>$E240*Common!G$69</f>
        <v>0</v>
      </c>
      <c r="G290" s="32">
        <f>$E240*Common!H$69</f>
        <v>0</v>
      </c>
      <c r="H290" s="32">
        <f>$E240*Common!I$69</f>
        <v>0</v>
      </c>
      <c r="I290" s="32">
        <f>$E240*Common!J$69</f>
        <v>0</v>
      </c>
      <c r="J290" s="32">
        <f>$E240*Common!K$69</f>
        <v>0</v>
      </c>
      <c r="K290" s="32">
        <f>$E240*Common!L$69</f>
        <v>0</v>
      </c>
      <c r="L290" s="32">
        <f>$E240*Common!M$69</f>
        <v>0</v>
      </c>
      <c r="M290" s="32">
        <f>$E240*Common!N$69</f>
        <v>0</v>
      </c>
      <c r="N290" s="32">
        <f>$E240*Common!O$69</f>
        <v>0</v>
      </c>
      <c r="O290" s="32">
        <f>$E240*Common!P$69</f>
        <v>0</v>
      </c>
      <c r="P290" s="32">
        <f>$E240*Common!Q$69</f>
        <v>0</v>
      </c>
      <c r="Q290" s="32">
        <f>$E240*Common!R$69</f>
        <v>0</v>
      </c>
      <c r="R290" s="32">
        <f>$E240*Common!S$69</f>
        <v>0</v>
      </c>
      <c r="S290" s="32">
        <f>$E240*Common!T$69</f>
        <v>0</v>
      </c>
      <c r="T290" s="32">
        <f>$E240*Common!U$69</f>
        <v>0</v>
      </c>
      <c r="U290" s="32">
        <f>$E240*Common!V$69</f>
        <v>0</v>
      </c>
      <c r="V290" s="32">
        <f>$E240*Common!W$69</f>
        <v>0</v>
      </c>
      <c r="W290" s="32">
        <f>$E240*Common!X$69</f>
        <v>0</v>
      </c>
      <c r="X290" s="32">
        <f>$E240*Common!Y$69</f>
        <v>0</v>
      </c>
      <c r="Y290" s="32">
        <f>$E240*Common!Z$69</f>
        <v>0</v>
      </c>
      <c r="Z290" s="32">
        <f>$E240*Common!AA$69</f>
        <v>0</v>
      </c>
      <c r="AA290" s="32">
        <f>$E240*Common!AB$69</f>
        <v>0</v>
      </c>
      <c r="AB290" s="32">
        <f>$E240*Common!AC$69</f>
        <v>0</v>
      </c>
      <c r="AC290" s="32">
        <f>$E240*Common!AD$69</f>
        <v>0</v>
      </c>
      <c r="AD290" s="32">
        <f>$E240*Common!AE$69</f>
        <v>0</v>
      </c>
      <c r="AE290" s="32">
        <f>$E240*Common!AF$69</f>
        <v>0</v>
      </c>
      <c r="AF290" s="32">
        <f>$E240*Common!AG$69</f>
        <v>0</v>
      </c>
      <c r="AG290" s="32">
        <f>$E240*Common!AH$69</f>
        <v>0</v>
      </c>
      <c r="AH290" s="32">
        <f>$E240*Common!AI$69</f>
        <v>0</v>
      </c>
      <c r="AI290" s="32">
        <f>$E240*Common!AJ$69</f>
        <v>0</v>
      </c>
      <c r="AJ290" s="32">
        <f>$E240*Common!AK$69</f>
        <v>0</v>
      </c>
      <c r="AK290" s="32">
        <f>$E240*Common!AL$69</f>
        <v>0</v>
      </c>
      <c r="AL290" s="32">
        <f>$E240*Common!AM$69</f>
        <v>0</v>
      </c>
      <c r="AM290" s="32">
        <f>$E240*Common!AN$69</f>
        <v>0</v>
      </c>
      <c r="AN290" s="32">
        <f>$E240*Common!AO$69</f>
        <v>0</v>
      </c>
      <c r="AO290" s="32">
        <f>$E240*Common!AP$69</f>
        <v>0</v>
      </c>
      <c r="AP290" s="32">
        <f>$E240*Common!AQ$69</f>
        <v>0</v>
      </c>
      <c r="AQ290" s="32">
        <f>$E240*Common!AR$69</f>
        <v>0</v>
      </c>
      <c r="AR290" s="32">
        <f>$E240*Common!AS$69</f>
        <v>0</v>
      </c>
      <c r="AS290" s="32">
        <f>$E240*Common!AT$69</f>
        <v>0</v>
      </c>
      <c r="AT290" s="32">
        <f>$E240*Common!AU$69</f>
        <v>0</v>
      </c>
      <c r="AU290" s="32">
        <f>$E240*Common!AV$69</f>
        <v>0</v>
      </c>
      <c r="AV290" s="32">
        <f>$E240*Common!AW$69</f>
        <v>0</v>
      </c>
      <c r="AW290" s="32">
        <f>$E240*Common!AX$69</f>
        <v>0</v>
      </c>
      <c r="AX290" s="32">
        <f>$E240*Common!AY$69</f>
        <v>0</v>
      </c>
      <c r="AY290" s="32">
        <f>$E240*Common!AZ$69</f>
        <v>0</v>
      </c>
      <c r="AZ290" s="32">
        <f>$E240*Common!BA$69</f>
        <v>0</v>
      </c>
      <c r="BA290" s="32">
        <f>$E240*Common!BB$69</f>
        <v>0</v>
      </c>
      <c r="BB290" s="32">
        <f>$E240*Common!BC$69</f>
        <v>0</v>
      </c>
      <c r="BC290" s="32">
        <f>$E240*Common!BD$69</f>
        <v>0</v>
      </c>
      <c r="BD290" s="32">
        <f>$E240*Common!BE$69</f>
        <v>0</v>
      </c>
      <c r="BE290" s="32">
        <f>$E240*Common!BF$69</f>
        <v>0</v>
      </c>
      <c r="BF290" s="32">
        <f>$E240*Common!BG$69</f>
        <v>0</v>
      </c>
      <c r="BG290" s="32">
        <f>$E240*Common!BH$69</f>
        <v>0</v>
      </c>
      <c r="BH290" s="32">
        <f>$E240*Common!BI$69</f>
        <v>0</v>
      </c>
      <c r="BI290" s="32">
        <f>$E240*Common!BJ$69</f>
        <v>0</v>
      </c>
      <c r="BJ290" s="32">
        <f>$E240*Common!BK$69</f>
        <v>0</v>
      </c>
      <c r="BK290" s="32">
        <f>$E240*Common!BL$69</f>
        <v>0</v>
      </c>
      <c r="BL290" s="32">
        <f>$E240*Common!BM$69</f>
        <v>0</v>
      </c>
      <c r="BM290" s="32">
        <f>$E240*Common!BN$69</f>
        <v>0</v>
      </c>
      <c r="BN290" s="32">
        <f>$E240*Common!BO$69</f>
        <v>0</v>
      </c>
      <c r="BO290" s="32">
        <f>$E240*Common!BP$69</f>
        <v>0</v>
      </c>
      <c r="BP290" s="32">
        <f>$E240*Common!BQ$69</f>
        <v>0</v>
      </c>
      <c r="BQ290" s="32">
        <f>$E240*Common!BR$69</f>
        <v>0</v>
      </c>
      <c r="BR290" s="32">
        <f>$E240*Common!BS$69</f>
        <v>0</v>
      </c>
      <c r="BS290" s="32">
        <f>$E240*Common!BT$69</f>
        <v>0</v>
      </c>
      <c r="BT290" s="32">
        <f>$E240*Common!BU$69</f>
        <v>0</v>
      </c>
      <c r="BU290" s="32">
        <f>$E240*Common!BV$69</f>
        <v>0</v>
      </c>
      <c r="BV290" s="32">
        <f>$E240*Common!BW$69</f>
        <v>0</v>
      </c>
      <c r="BW290" s="32">
        <f>$E240*Common!BX$69</f>
        <v>0</v>
      </c>
      <c r="BX290" s="32">
        <f>$E240*Common!BY$69</f>
        <v>0</v>
      </c>
      <c r="BY290" s="32">
        <f>$E240*Common!BZ$69</f>
        <v>0</v>
      </c>
      <c r="BZ290" s="32">
        <f>$E240*Common!CA$69</f>
        <v>0</v>
      </c>
      <c r="CA290" s="32">
        <f>$E240*Common!CB$69</f>
        <v>0</v>
      </c>
      <c r="CB290" s="32">
        <f>$E240*Common!CC$69</f>
        <v>0</v>
      </c>
      <c r="CC290" s="32">
        <f>$E240*Common!CD$69</f>
        <v>0</v>
      </c>
      <c r="CD290" s="32">
        <f>$E240*Common!CE$69</f>
        <v>0</v>
      </c>
      <c r="CE290" s="32">
        <f>$E240*Common!CF$69</f>
        <v>0</v>
      </c>
      <c r="CF290" s="32">
        <f>$E240*Common!CG$69</f>
        <v>0</v>
      </c>
      <c r="CG290" s="32">
        <f>$E240*Common!CH$69</f>
        <v>0</v>
      </c>
      <c r="CH290" s="32">
        <f>$E240*Common!CI$69</f>
        <v>0</v>
      </c>
      <c r="CI290" s="32">
        <f>$E240*Common!CJ$69</f>
        <v>0</v>
      </c>
      <c r="CR290" s="32">
        <f t="shared" ref="CR290:CS290" si="67">C240</f>
        <v>0.7</v>
      </c>
      <c r="CS290" s="32">
        <f t="shared" si="67"/>
        <v>0</v>
      </c>
      <c r="CV290">
        <f t="shared" si="24"/>
        <v>0</v>
      </c>
      <c r="CW290">
        <f t="shared" si="25"/>
        <v>0</v>
      </c>
      <c r="CX290">
        <f t="shared" si="26"/>
        <v>0</v>
      </c>
      <c r="CY290">
        <f t="shared" si="27"/>
        <v>0</v>
      </c>
      <c r="CZ290">
        <f t="shared" si="28"/>
        <v>0</v>
      </c>
      <c r="DA290">
        <f t="shared" si="29"/>
        <v>0</v>
      </c>
      <c r="DB290">
        <f t="shared" si="30"/>
        <v>0</v>
      </c>
      <c r="DF290" s="32">
        <f t="shared" si="31"/>
        <v>8.5065393792912634</v>
      </c>
      <c r="DI290">
        <f>SUM('SS Material Flow'!C221:J221)/'SS Material Flow'!B130</f>
        <v>0.94090000000000007</v>
      </c>
      <c r="DK290">
        <f>'SS Material Flow'!B221/'SS Material Flow'!B130</f>
        <v>5.909999999999993E-2</v>
      </c>
    </row>
    <row r="291" spans="1:115" x14ac:dyDescent="0.35">
      <c r="A291" t="str">
        <f t="shared" si="21"/>
        <v>Misc. Organic</v>
      </c>
      <c r="B291" s="32">
        <f>$E241*Common!C$69</f>
        <v>0</v>
      </c>
      <c r="C291" s="32">
        <f>$E241*Common!D$69</f>
        <v>0</v>
      </c>
      <c r="D291" s="32">
        <f>$E241*Common!E$69</f>
        <v>0</v>
      </c>
      <c r="E291" s="32">
        <f>$E241*Common!F$69</f>
        <v>0</v>
      </c>
      <c r="F291" s="32">
        <f>$E241*Common!G$69</f>
        <v>0</v>
      </c>
      <c r="G291" s="32">
        <f>$E241*Common!H$69</f>
        <v>0</v>
      </c>
      <c r="H291" s="32">
        <f>$E241*Common!I$69</f>
        <v>0</v>
      </c>
      <c r="I291" s="32">
        <f>$E241*Common!J$69</f>
        <v>0</v>
      </c>
      <c r="J291" s="32">
        <f>$E241*Common!K$69</f>
        <v>0</v>
      </c>
      <c r="K291" s="32">
        <f>$E241*Common!L$69</f>
        <v>0</v>
      </c>
      <c r="L291" s="32">
        <f>$E241*Common!M$69</f>
        <v>0</v>
      </c>
      <c r="M291" s="32">
        <f>$E241*Common!N$69</f>
        <v>0</v>
      </c>
      <c r="N291" s="32">
        <f>$E241*Common!O$69</f>
        <v>0</v>
      </c>
      <c r="O291" s="32">
        <f>$E241*Common!P$69</f>
        <v>0</v>
      </c>
      <c r="P291" s="32">
        <f>$E241*Common!Q$69</f>
        <v>0</v>
      </c>
      <c r="Q291" s="32">
        <f>$E241*Common!R$69</f>
        <v>0</v>
      </c>
      <c r="R291" s="32">
        <f>$E241*Common!S$69</f>
        <v>0</v>
      </c>
      <c r="S291" s="32">
        <f>$E241*Common!T$69</f>
        <v>0</v>
      </c>
      <c r="T291" s="32">
        <f>$E241*Common!U$69</f>
        <v>0</v>
      </c>
      <c r="U291" s="32">
        <f>$E241*Common!V$69</f>
        <v>0</v>
      </c>
      <c r="V291" s="32">
        <f>$E241*Common!W$69</f>
        <v>0</v>
      </c>
      <c r="W291" s="32">
        <f>$E241*Common!X$69</f>
        <v>0</v>
      </c>
      <c r="X291" s="32">
        <f>$E241*Common!Y$69</f>
        <v>0</v>
      </c>
      <c r="Y291" s="32">
        <f>$E241*Common!Z$69</f>
        <v>0</v>
      </c>
      <c r="Z291" s="32">
        <f>$E241*Common!AA$69</f>
        <v>0</v>
      </c>
      <c r="AA291" s="32">
        <f>$E241*Common!AB$69</f>
        <v>0</v>
      </c>
      <c r="AB291" s="32">
        <f>$E241*Common!AC$69</f>
        <v>0</v>
      </c>
      <c r="AC291" s="32">
        <f>$E241*Common!AD$69</f>
        <v>0</v>
      </c>
      <c r="AD291" s="32">
        <f>$E241*Common!AE$69</f>
        <v>0</v>
      </c>
      <c r="AE291" s="32">
        <f>$E241*Common!AF$69</f>
        <v>0</v>
      </c>
      <c r="AF291" s="32">
        <f>$E241*Common!AG$69</f>
        <v>0</v>
      </c>
      <c r="AG291" s="32">
        <f>$E241*Common!AH$69</f>
        <v>0</v>
      </c>
      <c r="AH291" s="32">
        <f>$E241*Common!AI$69</f>
        <v>0</v>
      </c>
      <c r="AI291" s="32">
        <f>$E241*Common!AJ$69</f>
        <v>0</v>
      </c>
      <c r="AJ291" s="32">
        <f>$E241*Common!AK$69</f>
        <v>0</v>
      </c>
      <c r="AK291" s="32">
        <f>$E241*Common!AL$69</f>
        <v>0</v>
      </c>
      <c r="AL291" s="32">
        <f>$E241*Common!AM$69</f>
        <v>0</v>
      </c>
      <c r="AM291" s="32">
        <f>$E241*Common!AN$69</f>
        <v>0</v>
      </c>
      <c r="AN291" s="32">
        <f>$E241*Common!AO$69</f>
        <v>0</v>
      </c>
      <c r="AO291" s="32">
        <f>$E241*Common!AP$69</f>
        <v>0</v>
      </c>
      <c r="AP291" s="32">
        <f>$E241*Common!AQ$69</f>
        <v>0</v>
      </c>
      <c r="AQ291" s="32">
        <f>$E241*Common!AR$69</f>
        <v>0</v>
      </c>
      <c r="AR291" s="32">
        <f>$E241*Common!AS$69</f>
        <v>0</v>
      </c>
      <c r="AS291" s="32">
        <f>$E241*Common!AT$69</f>
        <v>0</v>
      </c>
      <c r="AT291" s="32">
        <f>$E241*Common!AU$69</f>
        <v>0</v>
      </c>
      <c r="AU291" s="32">
        <f>$E241*Common!AV$69</f>
        <v>0</v>
      </c>
      <c r="AV291" s="32">
        <f>$E241*Common!AW$69</f>
        <v>0</v>
      </c>
      <c r="AW291" s="32">
        <f>$E241*Common!AX$69</f>
        <v>0</v>
      </c>
      <c r="AX291" s="32">
        <f>$E241*Common!AY$69</f>
        <v>0</v>
      </c>
      <c r="AY291" s="32">
        <f>$E241*Common!AZ$69</f>
        <v>0</v>
      </c>
      <c r="AZ291" s="32">
        <f>$E241*Common!BA$69</f>
        <v>0</v>
      </c>
      <c r="BA291" s="32">
        <f>$E241*Common!BB$69</f>
        <v>0</v>
      </c>
      <c r="BB291" s="32">
        <f>$E241*Common!BC$69</f>
        <v>0</v>
      </c>
      <c r="BC291" s="32">
        <f>$E241*Common!BD$69</f>
        <v>0</v>
      </c>
      <c r="BD291" s="32">
        <f>$E241*Common!BE$69</f>
        <v>0</v>
      </c>
      <c r="BE291" s="32">
        <f>$E241*Common!BF$69</f>
        <v>0</v>
      </c>
      <c r="BF291" s="32">
        <f>$E241*Common!BG$69</f>
        <v>0</v>
      </c>
      <c r="BG291" s="32">
        <f>$E241*Common!BH$69</f>
        <v>0</v>
      </c>
      <c r="BH291" s="32">
        <f>$E241*Common!BI$69</f>
        <v>0</v>
      </c>
      <c r="BI291" s="32">
        <f>$E241*Common!BJ$69</f>
        <v>0</v>
      </c>
      <c r="BJ291" s="32">
        <f>$E241*Common!BK$69</f>
        <v>0</v>
      </c>
      <c r="BK291" s="32">
        <f>$E241*Common!BL$69</f>
        <v>0</v>
      </c>
      <c r="BL291" s="32">
        <f>$E241*Common!BM$69</f>
        <v>0</v>
      </c>
      <c r="BM291" s="32">
        <f>$E241*Common!BN$69</f>
        <v>0</v>
      </c>
      <c r="BN291" s="32">
        <f>$E241*Common!BO$69</f>
        <v>0</v>
      </c>
      <c r="BO291" s="32">
        <f>$E241*Common!BP$69</f>
        <v>0</v>
      </c>
      <c r="BP291" s="32">
        <f>$E241*Common!BQ$69</f>
        <v>0</v>
      </c>
      <c r="BQ291" s="32">
        <f>$E241*Common!BR$69</f>
        <v>0</v>
      </c>
      <c r="BR291" s="32">
        <f>$E241*Common!BS$69</f>
        <v>0</v>
      </c>
      <c r="BS291" s="32">
        <f>$E241*Common!BT$69</f>
        <v>0</v>
      </c>
      <c r="BT291" s="32">
        <f>$E241*Common!BU$69</f>
        <v>0</v>
      </c>
      <c r="BU291" s="32">
        <f>$E241*Common!BV$69</f>
        <v>0</v>
      </c>
      <c r="BV291" s="32">
        <f>$E241*Common!BW$69</f>
        <v>0</v>
      </c>
      <c r="BW291" s="32">
        <f>$E241*Common!BX$69</f>
        <v>0</v>
      </c>
      <c r="BX291" s="32">
        <f>$E241*Common!BY$69</f>
        <v>0</v>
      </c>
      <c r="BY291" s="32">
        <f>$E241*Common!BZ$69</f>
        <v>0</v>
      </c>
      <c r="BZ291" s="32">
        <f>$E241*Common!CA$69</f>
        <v>0</v>
      </c>
      <c r="CA291" s="32">
        <f>$E241*Common!CB$69</f>
        <v>0</v>
      </c>
      <c r="CB291" s="32">
        <f>$E241*Common!CC$69</f>
        <v>0</v>
      </c>
      <c r="CC291" s="32">
        <f>$E241*Common!CD$69</f>
        <v>0</v>
      </c>
      <c r="CD291" s="32">
        <f>$E241*Common!CE$69</f>
        <v>0</v>
      </c>
      <c r="CE291" s="32">
        <f>$E241*Common!CF$69</f>
        <v>0</v>
      </c>
      <c r="CF291" s="32">
        <f>$E241*Common!CG$69</f>
        <v>0</v>
      </c>
      <c r="CG291" s="32">
        <f>$E241*Common!CH$69</f>
        <v>0</v>
      </c>
      <c r="CH291" s="32">
        <f>$E241*Common!CI$69</f>
        <v>0</v>
      </c>
      <c r="CI291" s="32">
        <f>$E241*Common!CJ$69</f>
        <v>0</v>
      </c>
      <c r="CR291" s="32">
        <f t="shared" ref="CR291:CS291" si="68">C241</f>
        <v>0.7</v>
      </c>
      <c r="CS291" s="32">
        <f t="shared" si="68"/>
        <v>0</v>
      </c>
      <c r="CV291">
        <f t="shared" si="24"/>
        <v>0</v>
      </c>
      <c r="CW291">
        <f t="shared" si="25"/>
        <v>0</v>
      </c>
      <c r="CX291">
        <f t="shared" si="26"/>
        <v>0</v>
      </c>
      <c r="CY291">
        <f t="shared" si="27"/>
        <v>0</v>
      </c>
      <c r="CZ291">
        <f t="shared" si="28"/>
        <v>0</v>
      </c>
      <c r="DA291">
        <f t="shared" si="29"/>
        <v>0</v>
      </c>
      <c r="DB291">
        <f t="shared" si="30"/>
        <v>0</v>
      </c>
      <c r="DF291" s="32">
        <f t="shared" si="31"/>
        <v>3.5917727575846561</v>
      </c>
      <c r="DI291">
        <f>SUM('SS Material Flow'!C222:J222)/'SS Material Flow'!B131</f>
        <v>0</v>
      </c>
      <c r="DK291">
        <f>'SS Material Flow'!B222/'SS Material Flow'!B131</f>
        <v>1</v>
      </c>
    </row>
    <row r="292" spans="1:115" x14ac:dyDescent="0.35">
      <c r="A292" t="str">
        <f t="shared" si="21"/>
        <v>Misc. Inorganic</v>
      </c>
      <c r="B292" s="32">
        <f>$E242*Common!C$69</f>
        <v>0</v>
      </c>
      <c r="C292" s="32">
        <f>$E242*Common!D$69</f>
        <v>0</v>
      </c>
      <c r="D292" s="32">
        <f>$E242*Common!E$69</f>
        <v>0</v>
      </c>
      <c r="E292" s="32">
        <f>$E242*Common!F$69</f>
        <v>0</v>
      </c>
      <c r="F292" s="32">
        <f>$E242*Common!G$69</f>
        <v>0</v>
      </c>
      <c r="G292" s="32">
        <f>$E242*Common!H$69</f>
        <v>0</v>
      </c>
      <c r="H292" s="32">
        <f>$E242*Common!I$69</f>
        <v>0</v>
      </c>
      <c r="I292" s="32">
        <f>$E242*Common!J$69</f>
        <v>0</v>
      </c>
      <c r="J292" s="32">
        <f>$E242*Common!K$69</f>
        <v>0</v>
      </c>
      <c r="K292" s="32">
        <f>$E242*Common!L$69</f>
        <v>0</v>
      </c>
      <c r="L292" s="32">
        <f>$E242*Common!M$69</f>
        <v>0</v>
      </c>
      <c r="M292" s="32">
        <f>$E242*Common!N$69</f>
        <v>0</v>
      </c>
      <c r="N292" s="32">
        <f>$E242*Common!O$69</f>
        <v>0</v>
      </c>
      <c r="O292" s="32">
        <f>$E242*Common!P$69</f>
        <v>0</v>
      </c>
      <c r="P292" s="32">
        <f>$E242*Common!Q$69</f>
        <v>0</v>
      </c>
      <c r="Q292" s="32">
        <f>$E242*Common!R$69</f>
        <v>0</v>
      </c>
      <c r="R292" s="32">
        <f>$E242*Common!S$69</f>
        <v>0</v>
      </c>
      <c r="S292" s="32">
        <f>$E242*Common!T$69</f>
        <v>0</v>
      </c>
      <c r="T292" s="32">
        <f>$E242*Common!U$69</f>
        <v>0</v>
      </c>
      <c r="U292" s="32">
        <f>$E242*Common!V$69</f>
        <v>0</v>
      </c>
      <c r="V292" s="32">
        <f>$E242*Common!W$69</f>
        <v>0</v>
      </c>
      <c r="W292" s="32">
        <f>$E242*Common!X$69</f>
        <v>0</v>
      </c>
      <c r="X292" s="32">
        <f>$E242*Common!Y$69</f>
        <v>0</v>
      </c>
      <c r="Y292" s="32">
        <f>$E242*Common!Z$69</f>
        <v>0</v>
      </c>
      <c r="Z292" s="32">
        <f>$E242*Common!AA$69</f>
        <v>0</v>
      </c>
      <c r="AA292" s="32">
        <f>$E242*Common!AB$69</f>
        <v>0</v>
      </c>
      <c r="AB292" s="32">
        <f>$E242*Common!AC$69</f>
        <v>0</v>
      </c>
      <c r="AC292" s="32">
        <f>$E242*Common!AD$69</f>
        <v>0</v>
      </c>
      <c r="AD292" s="32">
        <f>$E242*Common!AE$69</f>
        <v>0</v>
      </c>
      <c r="AE292" s="32">
        <f>$E242*Common!AF$69</f>
        <v>0</v>
      </c>
      <c r="AF292" s="32">
        <f>$E242*Common!AG$69</f>
        <v>0</v>
      </c>
      <c r="AG292" s="32">
        <f>$E242*Common!AH$69</f>
        <v>0</v>
      </c>
      <c r="AH292" s="32">
        <f>$E242*Common!AI$69</f>
        <v>0</v>
      </c>
      <c r="AI292" s="32">
        <f>$E242*Common!AJ$69</f>
        <v>0</v>
      </c>
      <c r="AJ292" s="32">
        <f>$E242*Common!AK$69</f>
        <v>0</v>
      </c>
      <c r="AK292" s="32">
        <f>$E242*Common!AL$69</f>
        <v>0</v>
      </c>
      <c r="AL292" s="32">
        <f>$E242*Common!AM$69</f>
        <v>0</v>
      </c>
      <c r="AM292" s="32">
        <f>$E242*Common!AN$69</f>
        <v>0</v>
      </c>
      <c r="AN292" s="32">
        <f>$E242*Common!AO$69</f>
        <v>0</v>
      </c>
      <c r="AO292" s="32">
        <f>$E242*Common!AP$69</f>
        <v>0</v>
      </c>
      <c r="AP292" s="32">
        <f>$E242*Common!AQ$69</f>
        <v>0</v>
      </c>
      <c r="AQ292" s="32">
        <f>$E242*Common!AR$69</f>
        <v>0</v>
      </c>
      <c r="AR292" s="32">
        <f>$E242*Common!AS$69</f>
        <v>0</v>
      </c>
      <c r="AS292" s="32">
        <f>$E242*Common!AT$69</f>
        <v>0</v>
      </c>
      <c r="AT292" s="32">
        <f>$E242*Common!AU$69</f>
        <v>0</v>
      </c>
      <c r="AU292" s="32">
        <f>$E242*Common!AV$69</f>
        <v>0</v>
      </c>
      <c r="AV292" s="32">
        <f>$E242*Common!AW$69</f>
        <v>0</v>
      </c>
      <c r="AW292" s="32">
        <f>$E242*Common!AX$69</f>
        <v>0</v>
      </c>
      <c r="AX292" s="32">
        <f>$E242*Common!AY$69</f>
        <v>0</v>
      </c>
      <c r="AY292" s="32">
        <f>$E242*Common!AZ$69</f>
        <v>0</v>
      </c>
      <c r="AZ292" s="32">
        <f>$E242*Common!BA$69</f>
        <v>0</v>
      </c>
      <c r="BA292" s="32">
        <f>$E242*Common!BB$69</f>
        <v>0</v>
      </c>
      <c r="BB292" s="32">
        <f>$E242*Common!BC$69</f>
        <v>0</v>
      </c>
      <c r="BC292" s="32">
        <f>$E242*Common!BD$69</f>
        <v>0</v>
      </c>
      <c r="BD292" s="32">
        <f>$E242*Common!BE$69</f>
        <v>0</v>
      </c>
      <c r="BE292" s="32">
        <f>$E242*Common!BF$69</f>
        <v>0</v>
      </c>
      <c r="BF292" s="32">
        <f>$E242*Common!BG$69</f>
        <v>0</v>
      </c>
      <c r="BG292" s="32">
        <f>$E242*Common!BH$69</f>
        <v>0</v>
      </c>
      <c r="BH292" s="32">
        <f>$E242*Common!BI$69</f>
        <v>0</v>
      </c>
      <c r="BI292" s="32">
        <f>$E242*Common!BJ$69</f>
        <v>0</v>
      </c>
      <c r="BJ292" s="32">
        <f>$E242*Common!BK$69</f>
        <v>0</v>
      </c>
      <c r="BK292" s="32">
        <f>$E242*Common!BL$69</f>
        <v>0</v>
      </c>
      <c r="BL292" s="32">
        <f>$E242*Common!BM$69</f>
        <v>0</v>
      </c>
      <c r="BM292" s="32">
        <f>$E242*Common!BN$69</f>
        <v>0</v>
      </c>
      <c r="BN292" s="32">
        <f>$E242*Common!BO$69</f>
        <v>0</v>
      </c>
      <c r="BO292" s="32">
        <f>$E242*Common!BP$69</f>
        <v>0</v>
      </c>
      <c r="BP292" s="32">
        <f>$E242*Common!BQ$69</f>
        <v>0</v>
      </c>
      <c r="BQ292" s="32">
        <f>$E242*Common!BR$69</f>
        <v>0</v>
      </c>
      <c r="BR292" s="32">
        <f>$E242*Common!BS$69</f>
        <v>0</v>
      </c>
      <c r="BS292" s="32">
        <f>$E242*Common!BT$69</f>
        <v>0</v>
      </c>
      <c r="BT292" s="32">
        <f>$E242*Common!BU$69</f>
        <v>0</v>
      </c>
      <c r="BU292" s="32">
        <f>$E242*Common!BV$69</f>
        <v>0</v>
      </c>
      <c r="BV292" s="32">
        <f>$E242*Common!BW$69</f>
        <v>0</v>
      </c>
      <c r="BW292" s="32">
        <f>$E242*Common!BX$69</f>
        <v>0</v>
      </c>
      <c r="BX292" s="32">
        <f>$E242*Common!BY$69</f>
        <v>0</v>
      </c>
      <c r="BY292" s="32">
        <f>$E242*Common!BZ$69</f>
        <v>0</v>
      </c>
      <c r="BZ292" s="32">
        <f>$E242*Common!CA$69</f>
        <v>0</v>
      </c>
      <c r="CA292" s="32">
        <f>$E242*Common!CB$69</f>
        <v>0</v>
      </c>
      <c r="CB292" s="32">
        <f>$E242*Common!CC$69</f>
        <v>0</v>
      </c>
      <c r="CC292" s="32">
        <f>$E242*Common!CD$69</f>
        <v>0</v>
      </c>
      <c r="CD292" s="32">
        <f>$E242*Common!CE$69</f>
        <v>0</v>
      </c>
      <c r="CE292" s="32">
        <f>$E242*Common!CF$69</f>
        <v>0</v>
      </c>
      <c r="CF292" s="32">
        <f>$E242*Common!CG$69</f>
        <v>0</v>
      </c>
      <c r="CG292" s="32">
        <f>$E242*Common!CH$69</f>
        <v>0</v>
      </c>
      <c r="CH292" s="32">
        <f>$E242*Common!CI$69</f>
        <v>0</v>
      </c>
      <c r="CI292" s="32">
        <f>$E242*Common!CJ$69</f>
        <v>0</v>
      </c>
      <c r="CR292" s="32">
        <f t="shared" ref="CR292:CS292" si="69">C242</f>
        <v>0.7</v>
      </c>
      <c r="CS292" s="32">
        <f t="shared" si="69"/>
        <v>0</v>
      </c>
      <c r="CV292">
        <f t="shared" si="24"/>
        <v>0</v>
      </c>
      <c r="CW292">
        <f t="shared" si="25"/>
        <v>0</v>
      </c>
      <c r="CX292">
        <f t="shared" si="26"/>
        <v>0</v>
      </c>
      <c r="CY292">
        <f t="shared" si="27"/>
        <v>0</v>
      </c>
      <c r="CZ292">
        <f t="shared" si="28"/>
        <v>0</v>
      </c>
      <c r="DA292">
        <f t="shared" si="29"/>
        <v>0</v>
      </c>
      <c r="DB292">
        <f t="shared" si="30"/>
        <v>0</v>
      </c>
      <c r="DF292" s="32">
        <f t="shared" si="31"/>
        <v>3.5917727575846561</v>
      </c>
      <c r="DI292">
        <f>SUM('SS Material Flow'!C223:J223)/'SS Material Flow'!B132</f>
        <v>0</v>
      </c>
      <c r="DK292">
        <f>'SS Material Flow'!B223/'SS Material Flow'!B132</f>
        <v>1</v>
      </c>
    </row>
    <row r="293" spans="1:115" x14ac:dyDescent="0.35">
      <c r="A293" t="str">
        <f t="shared" si="21"/>
        <v>E-waste</v>
      </c>
      <c r="B293" s="32">
        <f>$E243*Common!C$69</f>
        <v>0</v>
      </c>
      <c r="C293" s="32">
        <f>$E243*Common!D$69</f>
        <v>0</v>
      </c>
      <c r="D293" s="32">
        <f>$E243*Common!E$69</f>
        <v>0</v>
      </c>
      <c r="E293" s="32">
        <f>$E243*Common!F$69</f>
        <v>0</v>
      </c>
      <c r="F293" s="32">
        <f>$E243*Common!G$69</f>
        <v>0</v>
      </c>
      <c r="G293" s="32">
        <f>$E243*Common!H$69</f>
        <v>0</v>
      </c>
      <c r="H293" s="32">
        <f>$E243*Common!I$69</f>
        <v>0</v>
      </c>
      <c r="I293" s="32">
        <f>$E243*Common!J$69</f>
        <v>0</v>
      </c>
      <c r="J293" s="32">
        <f>$E243*Common!K$69</f>
        <v>0</v>
      </c>
      <c r="K293" s="32">
        <f>$E243*Common!L$69</f>
        <v>0</v>
      </c>
      <c r="L293" s="32">
        <f>$E243*Common!M$69</f>
        <v>0</v>
      </c>
      <c r="M293" s="32">
        <f>$E243*Common!N$69</f>
        <v>0</v>
      </c>
      <c r="N293" s="32">
        <f>$E243*Common!O$69</f>
        <v>0</v>
      </c>
      <c r="O293" s="32">
        <f>$E243*Common!P$69</f>
        <v>0</v>
      </c>
      <c r="P293" s="32">
        <f>$E243*Common!Q$69</f>
        <v>0</v>
      </c>
      <c r="Q293" s="32">
        <f>$E243*Common!R$69</f>
        <v>0</v>
      </c>
      <c r="R293" s="32">
        <f>$E243*Common!S$69</f>
        <v>0</v>
      </c>
      <c r="S293" s="32">
        <f>$E243*Common!T$69</f>
        <v>0</v>
      </c>
      <c r="T293" s="32">
        <f>$E243*Common!U$69</f>
        <v>0</v>
      </c>
      <c r="U293" s="32">
        <f>$E243*Common!V$69</f>
        <v>0</v>
      </c>
      <c r="V293" s="32">
        <f>$E243*Common!W$69</f>
        <v>0</v>
      </c>
      <c r="W293" s="32">
        <f>$E243*Common!X$69</f>
        <v>0</v>
      </c>
      <c r="X293" s="32">
        <f>$E243*Common!Y$69</f>
        <v>0</v>
      </c>
      <c r="Y293" s="32">
        <f>$E243*Common!Z$69</f>
        <v>0</v>
      </c>
      <c r="Z293" s="32">
        <f>$E243*Common!AA$69</f>
        <v>0</v>
      </c>
      <c r="AA293" s="32">
        <f>$E243*Common!AB$69</f>
        <v>0</v>
      </c>
      <c r="AB293" s="32">
        <f>$E243*Common!AC$69</f>
        <v>0</v>
      </c>
      <c r="AC293" s="32">
        <f>$E243*Common!AD$69</f>
        <v>0</v>
      </c>
      <c r="AD293" s="32">
        <f>$E243*Common!AE$69</f>
        <v>0</v>
      </c>
      <c r="AE293" s="32">
        <f>$E243*Common!AF$69</f>
        <v>0</v>
      </c>
      <c r="AF293" s="32">
        <f>$E243*Common!AG$69</f>
        <v>0</v>
      </c>
      <c r="AG293" s="32">
        <f>$E243*Common!AH$69</f>
        <v>0</v>
      </c>
      <c r="AH293" s="32">
        <f>$E243*Common!AI$69</f>
        <v>0</v>
      </c>
      <c r="AI293" s="32">
        <f>$E243*Common!AJ$69</f>
        <v>0</v>
      </c>
      <c r="AJ293" s="32">
        <f>$E243*Common!AK$69</f>
        <v>0</v>
      </c>
      <c r="AK293" s="32">
        <f>$E243*Common!AL$69</f>
        <v>0</v>
      </c>
      <c r="AL293" s="32">
        <f>$E243*Common!AM$69</f>
        <v>0</v>
      </c>
      <c r="AM293" s="32">
        <f>$E243*Common!AN$69</f>
        <v>0</v>
      </c>
      <c r="AN293" s="32">
        <f>$E243*Common!AO$69</f>
        <v>0</v>
      </c>
      <c r="AO293" s="32">
        <f>$E243*Common!AP$69</f>
        <v>0</v>
      </c>
      <c r="AP293" s="32">
        <f>$E243*Common!AQ$69</f>
        <v>0</v>
      </c>
      <c r="AQ293" s="32">
        <f>$E243*Common!AR$69</f>
        <v>0</v>
      </c>
      <c r="AR293" s="32">
        <f>$E243*Common!AS$69</f>
        <v>0</v>
      </c>
      <c r="AS293" s="32">
        <f>$E243*Common!AT$69</f>
        <v>0</v>
      </c>
      <c r="AT293" s="32">
        <f>$E243*Common!AU$69</f>
        <v>0</v>
      </c>
      <c r="AU293" s="32">
        <f>$E243*Common!AV$69</f>
        <v>0</v>
      </c>
      <c r="AV293" s="32">
        <f>$E243*Common!AW$69</f>
        <v>0</v>
      </c>
      <c r="AW293" s="32">
        <f>$E243*Common!AX$69</f>
        <v>0</v>
      </c>
      <c r="AX293" s="32">
        <f>$E243*Common!AY$69</f>
        <v>0</v>
      </c>
      <c r="AY293" s="32">
        <f>$E243*Common!AZ$69</f>
        <v>0</v>
      </c>
      <c r="AZ293" s="32">
        <f>$E243*Common!BA$69</f>
        <v>0</v>
      </c>
      <c r="BA293" s="32">
        <f>$E243*Common!BB$69</f>
        <v>0</v>
      </c>
      <c r="BB293" s="32">
        <f>$E243*Common!BC$69</f>
        <v>0</v>
      </c>
      <c r="BC293" s="32">
        <f>$E243*Common!BD$69</f>
        <v>0</v>
      </c>
      <c r="BD293" s="32">
        <f>$E243*Common!BE$69</f>
        <v>0</v>
      </c>
      <c r="BE293" s="32">
        <f>$E243*Common!BF$69</f>
        <v>0</v>
      </c>
      <c r="BF293" s="32">
        <f>$E243*Common!BG$69</f>
        <v>0</v>
      </c>
      <c r="BG293" s="32">
        <f>$E243*Common!BH$69</f>
        <v>0</v>
      </c>
      <c r="BH293" s="32">
        <f>$E243*Common!BI$69</f>
        <v>0</v>
      </c>
      <c r="BI293" s="32">
        <f>$E243*Common!BJ$69</f>
        <v>0</v>
      </c>
      <c r="BJ293" s="32">
        <f>$E243*Common!BK$69</f>
        <v>0</v>
      </c>
      <c r="BK293" s="32">
        <f>$E243*Common!BL$69</f>
        <v>0</v>
      </c>
      <c r="BL293" s="32">
        <f>$E243*Common!BM$69</f>
        <v>0</v>
      </c>
      <c r="BM293" s="32">
        <f>$E243*Common!BN$69</f>
        <v>0</v>
      </c>
      <c r="BN293" s="32">
        <f>$E243*Common!BO$69</f>
        <v>0</v>
      </c>
      <c r="BO293" s="32">
        <f>$E243*Common!BP$69</f>
        <v>0</v>
      </c>
      <c r="BP293" s="32">
        <f>$E243*Common!BQ$69</f>
        <v>0</v>
      </c>
      <c r="BQ293" s="32">
        <f>$E243*Common!BR$69</f>
        <v>0</v>
      </c>
      <c r="BR293" s="32">
        <f>$E243*Common!BS$69</f>
        <v>0</v>
      </c>
      <c r="BS293" s="32">
        <f>$E243*Common!BT$69</f>
        <v>0</v>
      </c>
      <c r="BT293" s="32">
        <f>$E243*Common!BU$69</f>
        <v>0</v>
      </c>
      <c r="BU293" s="32">
        <f>$E243*Common!BV$69</f>
        <v>0</v>
      </c>
      <c r="BV293" s="32">
        <f>$E243*Common!BW$69</f>
        <v>0</v>
      </c>
      <c r="BW293" s="32">
        <f>$E243*Common!BX$69</f>
        <v>0</v>
      </c>
      <c r="BX293" s="32">
        <f>$E243*Common!BY$69</f>
        <v>0</v>
      </c>
      <c r="BY293" s="32">
        <f>$E243*Common!BZ$69</f>
        <v>0</v>
      </c>
      <c r="BZ293" s="32">
        <f>$E243*Common!CA$69</f>
        <v>0</v>
      </c>
      <c r="CA293" s="32">
        <f>$E243*Common!CB$69</f>
        <v>0</v>
      </c>
      <c r="CB293" s="32">
        <f>$E243*Common!CC$69</f>
        <v>0</v>
      </c>
      <c r="CC293" s="32">
        <f>$E243*Common!CD$69</f>
        <v>0</v>
      </c>
      <c r="CD293" s="32">
        <f>$E243*Common!CE$69</f>
        <v>0</v>
      </c>
      <c r="CE293" s="32">
        <f>$E243*Common!CF$69</f>
        <v>0</v>
      </c>
      <c r="CF293" s="32">
        <f>$E243*Common!CG$69</f>
        <v>0</v>
      </c>
      <c r="CG293" s="32">
        <f>$E243*Common!CH$69</f>
        <v>0</v>
      </c>
      <c r="CH293" s="32">
        <f>$E243*Common!CI$69</f>
        <v>0</v>
      </c>
      <c r="CI293" s="32">
        <f>$E243*Common!CJ$69</f>
        <v>0</v>
      </c>
      <c r="CR293" s="32">
        <f t="shared" ref="CR293:CS293" si="70">C243</f>
        <v>0.7</v>
      </c>
      <c r="CS293" s="32">
        <f t="shared" si="70"/>
        <v>0</v>
      </c>
      <c r="CV293">
        <f t="shared" si="24"/>
        <v>0</v>
      </c>
      <c r="CW293">
        <f t="shared" si="25"/>
        <v>0</v>
      </c>
      <c r="CX293">
        <f t="shared" si="26"/>
        <v>0</v>
      </c>
      <c r="CY293">
        <f t="shared" si="27"/>
        <v>0</v>
      </c>
      <c r="CZ293">
        <f t="shared" si="28"/>
        <v>0</v>
      </c>
      <c r="DA293">
        <f t="shared" si="29"/>
        <v>0</v>
      </c>
      <c r="DB293">
        <f t="shared" si="30"/>
        <v>0</v>
      </c>
      <c r="DF293" s="32">
        <f t="shared" si="31"/>
        <v>3.5917727575846561</v>
      </c>
      <c r="DI293">
        <f>SUM('SS Material Flow'!C224:J224)/'SS Material Flow'!B133</f>
        <v>0</v>
      </c>
      <c r="DK293">
        <f>'SS Material Flow'!B224/'SS Material Flow'!B133</f>
        <v>1</v>
      </c>
    </row>
    <row r="294" spans="1:115" s="16" customFormat="1" x14ac:dyDescent="0.35">
      <c r="A294" s="24"/>
    </row>
  </sheetData>
  <mergeCells count="1">
    <mergeCell ref="F1:G1"/>
  </mergeCells>
  <dataValidations count="2">
    <dataValidation type="list" allowBlank="1" showInputMessage="1" showErrorMessage="1" sqref="E109:E110 E117:E118 E130:E132 B33:B34 B37:B38 B41:B42 B45:B48 B51:B52 B55:B56 B59:B60" xr:uid="{00000000-0002-0000-0000-000000000000}">
      <formula1>EnergyAllocationOptions</formula1>
    </dataValidation>
    <dataValidation type="list" allowBlank="1" showInputMessage="1" showErrorMessage="1" sqref="B109:B132" xr:uid="{00000000-0002-0000-0000-000001000000}">
      <formula1>YN_Blank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74"/>
  <sheetViews>
    <sheetView topLeftCell="A119" workbookViewId="0">
      <pane xSplit="1" topLeftCell="B1" activePane="topRight" state="frozen"/>
      <selection activeCell="A51" sqref="A51"/>
      <selection pane="topRight" activeCell="B125" sqref="B125"/>
    </sheetView>
  </sheetViews>
  <sheetFormatPr defaultRowHeight="14.5" x14ac:dyDescent="0.35"/>
  <cols>
    <col min="1" max="1" width="33.54296875" bestFit="1" customWidth="1"/>
    <col min="2" max="2" width="13" bestFit="1" customWidth="1"/>
    <col min="3" max="3" width="18.1796875" bestFit="1" customWidth="1"/>
    <col min="4" max="4" width="14.453125" bestFit="1" customWidth="1"/>
    <col min="5" max="5" width="13.81640625" bestFit="1" customWidth="1"/>
    <col min="6" max="6" width="14.453125" bestFit="1" customWidth="1"/>
    <col min="7" max="7" width="16.7265625" bestFit="1" customWidth="1"/>
    <col min="8" max="10" width="15.1796875" bestFit="1" customWidth="1"/>
    <col min="11" max="12" width="20.26953125" bestFit="1" customWidth="1"/>
    <col min="13" max="15" width="18.1796875" bestFit="1" customWidth="1"/>
    <col min="16" max="16" width="18.1796875" style="12" bestFit="1" customWidth="1"/>
    <col min="17" max="17" width="18.1796875" style="12" customWidth="1"/>
    <col min="18" max="18" width="13" bestFit="1" customWidth="1"/>
    <col min="19" max="19" width="17.54296875" customWidth="1"/>
    <col min="20" max="20" width="22" bestFit="1" customWidth="1"/>
    <col min="21" max="21" width="22" customWidth="1"/>
    <col min="22" max="22" width="22" bestFit="1" customWidth="1"/>
    <col min="23" max="23" width="15.1796875" bestFit="1" customWidth="1"/>
    <col min="24" max="24" width="13.54296875" bestFit="1" customWidth="1"/>
    <col min="25" max="25" width="12.26953125" bestFit="1" customWidth="1"/>
    <col min="26" max="26" width="18" bestFit="1" customWidth="1"/>
  </cols>
  <sheetData>
    <row r="1" spans="1:28" x14ac:dyDescent="0.35">
      <c r="A1" s="21" t="s">
        <v>21</v>
      </c>
      <c r="V1" s="9"/>
      <c r="W1" s="9"/>
    </row>
    <row r="2" spans="1:28" s="16" customFormat="1" ht="29" x14ac:dyDescent="0.35">
      <c r="A2" s="99"/>
      <c r="B2" s="30"/>
      <c r="C2" s="45" t="str">
        <f>Single.Stream!B135</f>
        <v>Drum Feeder</v>
      </c>
      <c r="D2" s="45" t="str">
        <f>Single.Stream!C135</f>
        <v>Manual Sort 1 (Negative)</v>
      </c>
      <c r="E2" s="100" t="str">
        <f>Single.Stream!D135</f>
        <v>Vacuum</v>
      </c>
      <c r="F2" s="45" t="str">
        <f>Single.Stream!E135</f>
        <v>Disc Screen 1</v>
      </c>
      <c r="G2" s="45" t="str">
        <f>Single.Stream!F135</f>
        <v>Disc Screen 2</v>
      </c>
      <c r="H2" s="45" t="str">
        <f>Single.Stream!G135</f>
        <v>Disc Screen 3</v>
      </c>
      <c r="I2" s="100" t="str">
        <f>Single.Stream!H135</f>
        <v>Manual Sort 2-DS2 (Negative)</v>
      </c>
      <c r="J2" s="101" t="str">
        <f>Single.Stream!I135</f>
        <v>Manual Sort 2-DS3 (Negative)</v>
      </c>
      <c r="K2" s="102" t="str">
        <f>Single.Stream!J135</f>
        <v>1-Way Baler</v>
      </c>
      <c r="L2" s="45" t="str">
        <f>Single.Stream!K135</f>
        <v>Glass Breaker Screen</v>
      </c>
      <c r="M2" s="101" t="str">
        <f>Single.Stream!L135</f>
        <v>Air Knife</v>
      </c>
      <c r="N2" s="103" t="str">
        <f>Single.Stream!M135</f>
        <v>Optical Glass</v>
      </c>
      <c r="O2" s="102" t="str">
        <f>Single.Stream!N135</f>
        <v>Manual Sort 3-G (Negative)</v>
      </c>
      <c r="P2" s="45" t="str">
        <f>Single.Stream!O135</f>
        <v>Optical PET</v>
      </c>
      <c r="Q2" s="45" t="str">
        <f>Single.Stream!P135</f>
        <v>Manual Sort 4-PET (Negative)</v>
      </c>
      <c r="R2" s="45" t="str">
        <f>Single.Stream!Q135</f>
        <v>Optical HDPE</v>
      </c>
      <c r="S2" s="45" t="str">
        <f>Single.Stream!R135</f>
        <v>Manual Sort 4-HDPE (Negative)</v>
      </c>
      <c r="T2" s="45" t="str">
        <f>Single.Stream!S135</f>
        <v>Magnet</v>
      </c>
      <c r="U2" s="45" t="str">
        <f>Single.Stream!T135</f>
        <v>Manual Sort 4-Fe (Negative)</v>
      </c>
      <c r="V2" s="45" t="str">
        <f>Single.Stream!U135</f>
        <v>Eddy Current Separator</v>
      </c>
      <c r="W2" s="100" t="str">
        <f>Single.Stream!V135</f>
        <v>Manual Sort 4-Al (Negative)</v>
      </c>
      <c r="X2" s="45" t="str">
        <f>Single.Stream!W135</f>
        <v>Manual Sort 5 (Positive)</v>
      </c>
      <c r="Y2" s="45" t="str">
        <f>Single.Stream!X135</f>
        <v>2-Way Baler</v>
      </c>
      <c r="Z2" s="45" t="str">
        <f>Single.Stream!Y135</f>
        <v>Rolling Stock</v>
      </c>
    </row>
    <row r="3" spans="1:28" x14ac:dyDescent="0.35">
      <c r="A3" t="str">
        <f>Common!A73</f>
        <v>Yard Trimmings, Leaves</v>
      </c>
      <c r="B3" s="9"/>
      <c r="C3" s="34">
        <f>IF(Single.Stream!$D$109="Yes",Single.Stream!B136*B93,0)</f>
        <v>0</v>
      </c>
      <c r="D3" s="34">
        <f>IF(Single.Stream!$D$110="Yes",Single.Stream!C136*C48,0)</f>
        <v>0</v>
      </c>
      <c r="E3" s="35">
        <f>IF(Single.Stream!$D$111="Yes",Single.Stream!D136*D3,0)</f>
        <v>0</v>
      </c>
      <c r="F3" s="34">
        <f>IF(Single.Stream!$D$112="Yes",Single.Stream!E136*D48,0)</f>
        <v>0</v>
      </c>
      <c r="G3" s="34">
        <f>IF(Single.Stream!$D$113="Yes",Single.Stream!F136*F48,0)</f>
        <v>0</v>
      </c>
      <c r="H3" s="34">
        <f>IF(Single.Stream!$D$114="Yes",Single.Stream!G136*G48,0)</f>
        <v>0</v>
      </c>
      <c r="I3" s="35">
        <f>IF(Single.Stream!$D$115="Yes",Single.Stream!H136*G3,0)</f>
        <v>0</v>
      </c>
      <c r="J3" s="36">
        <f>IF(Single.Stream!$D$116="Yes",Single.Stream!I136*H3,0)</f>
        <v>0</v>
      </c>
      <c r="K3" s="37">
        <f>IF(Single.Stream!$D$117="Yes",Single.Stream!J136*(I48+J48),0)</f>
        <v>0</v>
      </c>
      <c r="L3" s="34">
        <f>IF(Single.Stream!$D$118="Yes",Single.Stream!K136*H48,0)</f>
        <v>0</v>
      </c>
      <c r="M3" s="36">
        <f>IF(Single.Stream!$D$119="Yes",Single.Stream!L136*(L3),0)</f>
        <v>0</v>
      </c>
      <c r="N3" s="34">
        <f>IF(Single.Stream!$D$120="Yes",Single.Stream!M136*M48,0)</f>
        <v>0</v>
      </c>
      <c r="O3" s="37">
        <f>IF(Single.Stream!$D$121="Yes",IF(Single.Stream!$D$120="Yes",N3,M48)*Single.Stream!N136,0)</f>
        <v>0</v>
      </c>
      <c r="P3" s="38">
        <f>IF(Single.Stream!$D$122="Yes",Single.Stream!O136*(L48+M3),0)</f>
        <v>0</v>
      </c>
      <c r="Q3" s="38">
        <f>IF(Single.Stream!$D$123="Yes",Single.Stream!P136*O48,0)</f>
        <v>0</v>
      </c>
      <c r="R3" s="38">
        <f>IF(Single.Stream!$D$124="Yes",Single.Stream!Q136*P48,0)</f>
        <v>0</v>
      </c>
      <c r="S3" s="38">
        <f>IF(Single.Stream!$D$125="Yes",Single.Stream!R136*Q48,0)</f>
        <v>0</v>
      </c>
      <c r="T3" s="38">
        <f>IF(Single.Stream!$D$126="Yes",Single.Stream!S136*R48,0)</f>
        <v>0</v>
      </c>
      <c r="U3" s="38">
        <f>IF(Single.Stream!$D$127="Yes",Single.Stream!T136*S48,0)</f>
        <v>0</v>
      </c>
      <c r="V3" s="38">
        <f>IF(Single.Stream!$D$128="Yes",Single.Stream!U136*T48,0)</f>
        <v>0</v>
      </c>
      <c r="W3" s="57">
        <f>IF(Single.Stream!$D$129="Yes",Single.Stream!V136*V3,0)</f>
        <v>0</v>
      </c>
      <c r="X3" s="38">
        <f>IF(Single.Stream!$D$130="Yes",Single.Stream!W136*V48,0)</f>
        <v>0</v>
      </c>
      <c r="Y3" s="38">
        <f>IF(Single.Stream!$D$131="Yes",Single.Stream!X136*X48,0)</f>
        <v>0</v>
      </c>
      <c r="Z3" s="38">
        <f>IF(Single.Stream!$D$132="Yes",Single.Stream!Y136*Y48,0)</f>
        <v>0</v>
      </c>
    </row>
    <row r="4" spans="1:28" x14ac:dyDescent="0.35">
      <c r="A4" t="str">
        <f>Common!A74</f>
        <v>Yard Trimmings, Grass</v>
      </c>
      <c r="B4" s="9"/>
      <c r="C4" s="34">
        <f>IF(Single.Stream!$D$109="Yes",Single.Stream!B137*B94,0)</f>
        <v>0</v>
      </c>
      <c r="D4" s="34">
        <f>IF(Single.Stream!$D$110="Yes",Single.Stream!C137*C49,0)</f>
        <v>0</v>
      </c>
      <c r="E4" s="35">
        <f>IF(Single.Stream!$D$111="Yes",Single.Stream!D137*D4,0)</f>
        <v>0</v>
      </c>
      <c r="F4" s="34">
        <f>IF(Single.Stream!$D$112="Yes",Single.Stream!E137*D49,0)</f>
        <v>0</v>
      </c>
      <c r="G4" s="34">
        <f>IF(Single.Stream!$D$113="Yes",Single.Stream!F137*F49,0)</f>
        <v>0</v>
      </c>
      <c r="H4" s="34">
        <f>IF(Single.Stream!$D$114="Yes",Single.Stream!G137*G49,0)</f>
        <v>0</v>
      </c>
      <c r="I4" s="35">
        <f>IF(Single.Stream!$D$115="Yes",Single.Stream!H137*G4,0)</f>
        <v>0</v>
      </c>
      <c r="J4" s="36">
        <f>IF(Single.Stream!$D$116="Yes",Single.Stream!I137*H4,0)</f>
        <v>0</v>
      </c>
      <c r="K4" s="37">
        <f>IF(Single.Stream!$D$117="Yes",Single.Stream!J137*(I49+J49),0)</f>
        <v>0</v>
      </c>
      <c r="L4" s="34">
        <f>IF(Single.Stream!$D$118="Yes",Single.Stream!K137*H49,0)</f>
        <v>0</v>
      </c>
      <c r="M4" s="36">
        <f>IF(Single.Stream!$D$119="Yes",Single.Stream!L137*(L4),0)</f>
        <v>0</v>
      </c>
      <c r="N4" s="34">
        <f>IF(Single.Stream!$D$120="Yes",Single.Stream!M137*M49,0)</f>
        <v>0</v>
      </c>
      <c r="O4" s="37">
        <f>IF(Single.Stream!$D$121="Yes",IF(Single.Stream!$D$120="Yes",N4,M49)*Single.Stream!N137,0)</f>
        <v>0</v>
      </c>
      <c r="P4" s="38">
        <f>IF(Single.Stream!$D$122="Yes",Single.Stream!O137*(L49+M4),0)</f>
        <v>0</v>
      </c>
      <c r="Q4" s="38">
        <f>IF(Single.Stream!$D$123="Yes",Single.Stream!P137*O49,0)</f>
        <v>0</v>
      </c>
      <c r="R4" s="38">
        <f>IF(Single.Stream!$D$124="Yes",Single.Stream!Q137*P49,0)</f>
        <v>0</v>
      </c>
      <c r="S4" s="38">
        <f>IF(Single.Stream!$D$125="Yes",Single.Stream!R137*Q49,0)</f>
        <v>0</v>
      </c>
      <c r="T4" s="38">
        <f>IF(Single.Stream!$D$126="Yes",Single.Stream!S137*R49,0)</f>
        <v>0</v>
      </c>
      <c r="U4" s="38">
        <f>IF(Single.Stream!$D$127="Yes",Single.Stream!T137*S49,0)</f>
        <v>0</v>
      </c>
      <c r="V4" s="38">
        <f>IF(Single.Stream!$D$128="Yes",Single.Stream!U137*T49,0)</f>
        <v>0</v>
      </c>
      <c r="W4" s="57">
        <f>IF(Single.Stream!$D$129="Yes",Single.Stream!V137*V4,0)</f>
        <v>0</v>
      </c>
      <c r="X4" s="38">
        <f>IF(Single.Stream!$D$130="Yes",Single.Stream!W137*V49,0)</f>
        <v>0</v>
      </c>
      <c r="Y4" s="38">
        <f>IF(Single.Stream!$D$131="Yes",Single.Stream!X137*X49,0)</f>
        <v>0</v>
      </c>
      <c r="Z4" s="38">
        <f>IF(Single.Stream!$D$132="Yes",Single.Stream!Y137*Y49,0)</f>
        <v>0</v>
      </c>
    </row>
    <row r="5" spans="1:28" x14ac:dyDescent="0.35">
      <c r="A5" t="str">
        <f>Common!A75</f>
        <v>Yard Trimmings, Branches</v>
      </c>
      <c r="B5" s="9"/>
      <c r="C5" s="34">
        <f>IF(Single.Stream!$D$109="Yes",Single.Stream!B138*B95,0)</f>
        <v>0</v>
      </c>
      <c r="D5" s="34">
        <f>IF(Single.Stream!$D$110="Yes",Single.Stream!C138*C50,0)</f>
        <v>0</v>
      </c>
      <c r="E5" s="35">
        <f>IF(Single.Stream!$D$111="Yes",Single.Stream!D138*D5,0)</f>
        <v>0</v>
      </c>
      <c r="F5" s="34">
        <f>IF(Single.Stream!$D$112="Yes",Single.Stream!E138*D50,0)</f>
        <v>0</v>
      </c>
      <c r="G5" s="34">
        <f>IF(Single.Stream!$D$113="Yes",Single.Stream!F138*F50,0)</f>
        <v>0</v>
      </c>
      <c r="H5" s="34">
        <f>IF(Single.Stream!$D$114="Yes",Single.Stream!G138*G50,0)</f>
        <v>0</v>
      </c>
      <c r="I5" s="35">
        <f>IF(Single.Stream!$D$115="Yes",Single.Stream!H138*G5,0)</f>
        <v>0</v>
      </c>
      <c r="J5" s="36">
        <f>IF(Single.Stream!$D$116="Yes",Single.Stream!I138*H5,0)</f>
        <v>0</v>
      </c>
      <c r="K5" s="37">
        <f>IF(Single.Stream!$D$117="Yes",Single.Stream!J138*(I50+J50),0)</f>
        <v>0</v>
      </c>
      <c r="L5" s="34">
        <f>IF(Single.Stream!$D$118="Yes",Single.Stream!K138*H50,0)</f>
        <v>0</v>
      </c>
      <c r="M5" s="36">
        <f>IF(Single.Stream!$D$119="Yes",Single.Stream!L138*(L5),0)</f>
        <v>0</v>
      </c>
      <c r="N5" s="34">
        <f>IF(Single.Stream!$D$120="Yes",Single.Stream!M138*M50,0)</f>
        <v>0</v>
      </c>
      <c r="O5" s="37">
        <f>IF(Single.Stream!$D$121="Yes",IF(Single.Stream!$D$120="Yes",N5,M50)*Single.Stream!N138,0)</f>
        <v>0</v>
      </c>
      <c r="P5" s="38">
        <f>IF(Single.Stream!$D$122="Yes",Single.Stream!O138*(L50+M5),0)</f>
        <v>0</v>
      </c>
      <c r="Q5" s="38">
        <f>IF(Single.Stream!$D$123="Yes",Single.Stream!P138*O50,0)</f>
        <v>0</v>
      </c>
      <c r="R5" s="38">
        <f>IF(Single.Stream!$D$124="Yes",Single.Stream!Q138*P50,0)</f>
        <v>0</v>
      </c>
      <c r="S5" s="38">
        <f>IF(Single.Stream!$D$125="Yes",Single.Stream!R138*Q50,0)</f>
        <v>0</v>
      </c>
      <c r="T5" s="38">
        <f>IF(Single.Stream!$D$126="Yes",Single.Stream!S138*R50,0)</f>
        <v>0</v>
      </c>
      <c r="U5" s="38">
        <f>IF(Single.Stream!$D$127="Yes",Single.Stream!T138*S50,0)</f>
        <v>0</v>
      </c>
      <c r="V5" s="38">
        <f>IF(Single.Stream!$D$128="Yes",Single.Stream!U138*T50,0)</f>
        <v>0</v>
      </c>
      <c r="W5" s="57">
        <f>IF(Single.Stream!$D$129="Yes",Single.Stream!V138*V5,0)</f>
        <v>0</v>
      </c>
      <c r="X5" s="38">
        <f>IF(Single.Stream!$D$130="Yes",Single.Stream!W138*V50,0)</f>
        <v>0</v>
      </c>
      <c r="Y5" s="38">
        <f>IF(Single.Stream!$D$131="Yes",Single.Stream!X138*X50,0)</f>
        <v>0</v>
      </c>
      <c r="Z5" s="38">
        <f>IF(Single.Stream!$D$132="Yes",Single.Stream!Y138*Y50,0)</f>
        <v>0</v>
      </c>
    </row>
    <row r="6" spans="1:28" x14ac:dyDescent="0.35">
      <c r="A6" t="str">
        <f>Common!A76</f>
        <v>Food Waste - Vegetable</v>
      </c>
      <c r="B6" s="9"/>
      <c r="C6" s="34">
        <f>IF(Single.Stream!$D$109="Yes",Single.Stream!B139*B96,0)</f>
        <v>0</v>
      </c>
      <c r="D6" s="34">
        <f>IF(Single.Stream!$D$110="Yes",Single.Stream!C139*C51,0)</f>
        <v>0</v>
      </c>
      <c r="E6" s="35">
        <f>IF(Single.Stream!$D$111="Yes",Single.Stream!D139*D6,0)</f>
        <v>0</v>
      </c>
      <c r="F6" s="34">
        <f>IF(Single.Stream!$D$112="Yes",Single.Stream!E139*D51,0)</f>
        <v>0</v>
      </c>
      <c r="G6" s="34">
        <f>IF(Single.Stream!$D$113="Yes",Single.Stream!F139*F51,0)</f>
        <v>0</v>
      </c>
      <c r="H6" s="34">
        <f>IF(Single.Stream!$D$114="Yes",Single.Stream!G139*G51,0)</f>
        <v>0</v>
      </c>
      <c r="I6" s="35">
        <f>IF(Single.Stream!$D$115="Yes",Single.Stream!H139*G6,0)</f>
        <v>0</v>
      </c>
      <c r="J6" s="36">
        <f>IF(Single.Stream!$D$116="Yes",Single.Stream!I139*H6,0)</f>
        <v>0</v>
      </c>
      <c r="K6" s="37">
        <f>IF(Single.Stream!$D$117="Yes",Single.Stream!J139*(I51+J51),0)</f>
        <v>0</v>
      </c>
      <c r="L6" s="34">
        <f>IF(Single.Stream!$D$118="Yes",Single.Stream!K139*H51,0)</f>
        <v>0</v>
      </c>
      <c r="M6" s="36">
        <f>IF(Single.Stream!$D$119="Yes",Single.Stream!L139*(L6),0)</f>
        <v>0</v>
      </c>
      <c r="N6" s="34">
        <f>IF(Single.Stream!$D$120="Yes",Single.Stream!M139*M51,0)</f>
        <v>0</v>
      </c>
      <c r="O6" s="37">
        <f>IF(Single.Stream!$D$121="Yes",IF(Single.Stream!$D$120="Yes",N6,M51)*Single.Stream!N139,0)</f>
        <v>0</v>
      </c>
      <c r="P6" s="38">
        <f>IF(Single.Stream!$D$122="Yes",Single.Stream!O139*(L51+M6),0)</f>
        <v>0</v>
      </c>
      <c r="Q6" s="38">
        <f>IF(Single.Stream!$D$123="Yes",Single.Stream!P139*O51,0)</f>
        <v>0</v>
      </c>
      <c r="R6" s="38">
        <f>IF(Single.Stream!$D$124="Yes",Single.Stream!Q139*P51,0)</f>
        <v>0</v>
      </c>
      <c r="S6" s="38">
        <f>IF(Single.Stream!$D$125="Yes",Single.Stream!R139*Q51,0)</f>
        <v>0</v>
      </c>
      <c r="T6" s="38">
        <f>IF(Single.Stream!$D$126="Yes",Single.Stream!S139*R51,0)</f>
        <v>0</v>
      </c>
      <c r="U6" s="38">
        <f>IF(Single.Stream!$D$127="Yes",Single.Stream!T139*S51,0)</f>
        <v>0</v>
      </c>
      <c r="V6" s="38">
        <f>IF(Single.Stream!$D$128="Yes",Single.Stream!U139*T51,0)</f>
        <v>0</v>
      </c>
      <c r="W6" s="57">
        <f>IF(Single.Stream!$D$129="Yes",Single.Stream!V139*V6,0)</f>
        <v>0</v>
      </c>
      <c r="X6" s="38">
        <f>IF(Single.Stream!$D$130="Yes",Single.Stream!W139*V51,0)</f>
        <v>0</v>
      </c>
      <c r="Y6" s="38">
        <f>IF(Single.Stream!$D$131="Yes",Single.Stream!X139*X51,0)</f>
        <v>0</v>
      </c>
      <c r="Z6" s="38">
        <f>IF(Single.Stream!$D$132="Yes",Single.Stream!Y139*Y51,0)</f>
        <v>0</v>
      </c>
    </row>
    <row r="7" spans="1:28" x14ac:dyDescent="0.35">
      <c r="A7" t="str">
        <f>Common!A77</f>
        <v>Food Waste - Non-Vegetable</v>
      </c>
      <c r="B7" s="9"/>
      <c r="C7" s="34">
        <f>IF(Single.Stream!$D$109="Yes",Single.Stream!B140*B97,0)</f>
        <v>0</v>
      </c>
      <c r="D7" s="34">
        <f>IF(Single.Stream!$D$110="Yes",Single.Stream!C140*C52,0)</f>
        <v>0</v>
      </c>
      <c r="E7" s="35">
        <f>IF(Single.Stream!$D$111="Yes",Single.Stream!D140*D7,0)</f>
        <v>0</v>
      </c>
      <c r="F7" s="34">
        <f>IF(Single.Stream!$D$112="Yes",Single.Stream!E140*D52,0)</f>
        <v>0</v>
      </c>
      <c r="G7" s="34">
        <f>IF(Single.Stream!$D$113="Yes",Single.Stream!F140*F52,0)</f>
        <v>0</v>
      </c>
      <c r="H7" s="34">
        <f>IF(Single.Stream!$D$114="Yes",Single.Stream!G140*G52,0)</f>
        <v>0</v>
      </c>
      <c r="I7" s="35">
        <f>IF(Single.Stream!$D$115="Yes",Single.Stream!H140*G7,0)</f>
        <v>0</v>
      </c>
      <c r="J7" s="36">
        <f>IF(Single.Stream!$D$116="Yes",Single.Stream!I140*H7,0)</f>
        <v>0</v>
      </c>
      <c r="K7" s="37">
        <f>IF(Single.Stream!$D$117="Yes",Single.Stream!J140*(I52+J52),0)</f>
        <v>0</v>
      </c>
      <c r="L7" s="34">
        <f>IF(Single.Stream!$D$118="Yes",Single.Stream!K140*H52,0)</f>
        <v>0</v>
      </c>
      <c r="M7" s="36">
        <f>IF(Single.Stream!$D$119="Yes",Single.Stream!L140*(L7),0)</f>
        <v>0</v>
      </c>
      <c r="N7" s="34">
        <f>IF(Single.Stream!$D$120="Yes",Single.Stream!M140*M52,0)</f>
        <v>0</v>
      </c>
      <c r="O7" s="37">
        <f>IF(Single.Stream!$D$121="Yes",IF(Single.Stream!$D$120="Yes",N7,M52)*Single.Stream!N140,0)</f>
        <v>0</v>
      </c>
      <c r="P7" s="38">
        <f>IF(Single.Stream!$D$122="Yes",Single.Stream!O140*(L52+M7),0)</f>
        <v>0</v>
      </c>
      <c r="Q7" s="38">
        <f>IF(Single.Stream!$D$123="Yes",Single.Stream!P140*O52,0)</f>
        <v>0</v>
      </c>
      <c r="R7" s="38">
        <f>IF(Single.Stream!$D$124="Yes",Single.Stream!Q140*P52,0)</f>
        <v>0</v>
      </c>
      <c r="S7" s="38">
        <f>IF(Single.Stream!$D$125="Yes",Single.Stream!R140*Q52,0)</f>
        <v>0</v>
      </c>
      <c r="T7" s="38">
        <f>IF(Single.Stream!$D$126="Yes",Single.Stream!S140*R52,0)</f>
        <v>0</v>
      </c>
      <c r="U7" s="38">
        <f>IF(Single.Stream!$D$127="Yes",Single.Stream!T140*S52,0)</f>
        <v>0</v>
      </c>
      <c r="V7" s="38">
        <f>IF(Single.Stream!$D$128="Yes",Single.Stream!U140*T52,0)</f>
        <v>0</v>
      </c>
      <c r="W7" s="57">
        <f>IF(Single.Stream!$D$129="Yes",Single.Stream!V140*V7,0)</f>
        <v>0</v>
      </c>
      <c r="X7" s="38">
        <f>IF(Single.Stream!$D$130="Yes",Single.Stream!W140*V52,0)</f>
        <v>0</v>
      </c>
      <c r="Y7" s="38">
        <f>IF(Single.Stream!$D$131="Yes",Single.Stream!X140*X52,0)</f>
        <v>0</v>
      </c>
      <c r="Z7" s="38">
        <f>IF(Single.Stream!$D$132="Yes",Single.Stream!Y140*Y52,0)</f>
        <v>0</v>
      </c>
      <c r="AB7" s="124" t="s">
        <v>201</v>
      </c>
    </row>
    <row r="8" spans="1:28" x14ac:dyDescent="0.35">
      <c r="A8" t="str">
        <f>Common!A78</f>
        <v>Wood</v>
      </c>
      <c r="B8" s="9"/>
      <c r="C8" s="34">
        <f>IF(Single.Stream!$D$109="Yes",Single.Stream!B141*B98,0)</f>
        <v>0</v>
      </c>
      <c r="D8" s="34">
        <f>IF(Single.Stream!$D$110="Yes",Single.Stream!C141*C53,0)</f>
        <v>0</v>
      </c>
      <c r="E8" s="35">
        <f>IF(Single.Stream!$D$111="Yes",Single.Stream!D141*D8,0)</f>
        <v>0</v>
      </c>
      <c r="F8" s="34">
        <f>IF(Single.Stream!$D$112="Yes",Single.Stream!E141*D53,0)</f>
        <v>0</v>
      </c>
      <c r="G8" s="34">
        <f>IF(Single.Stream!$D$113="Yes",Single.Stream!F141*F53,0)</f>
        <v>0</v>
      </c>
      <c r="H8" s="34">
        <f>IF(Single.Stream!$D$114="Yes",Single.Stream!G141*G53,0)</f>
        <v>0</v>
      </c>
      <c r="I8" s="35">
        <f>IF(Single.Stream!$D$115="Yes",Single.Stream!H141*G8,0)</f>
        <v>0</v>
      </c>
      <c r="J8" s="36">
        <f>IF(Single.Stream!$D$116="Yes",Single.Stream!I141*H8,0)</f>
        <v>0</v>
      </c>
      <c r="K8" s="37">
        <f>IF(Single.Stream!$D$117="Yes",Single.Stream!J141*(I53+J53),0)</f>
        <v>0</v>
      </c>
      <c r="L8" s="34">
        <f>IF(Single.Stream!$D$118="Yes",Single.Stream!K141*H53,0)</f>
        <v>0</v>
      </c>
      <c r="M8" s="36">
        <f>IF(Single.Stream!$D$119="Yes",Single.Stream!L141*(L8),0)</f>
        <v>0</v>
      </c>
      <c r="N8" s="34">
        <f>IF(Single.Stream!$D$120="Yes",Single.Stream!M141*M53,0)</f>
        <v>0</v>
      </c>
      <c r="O8" s="37">
        <f>IF(Single.Stream!$D$121="Yes",IF(Single.Stream!$D$120="Yes",N8,M53)*Single.Stream!N141,0)</f>
        <v>0</v>
      </c>
      <c r="P8" s="38">
        <f>IF(Single.Stream!$D$122="Yes",Single.Stream!O141*(L53+M8),0)</f>
        <v>0</v>
      </c>
      <c r="Q8" s="38">
        <f>IF(Single.Stream!$D$123="Yes",Single.Stream!P141*O53,0)</f>
        <v>0</v>
      </c>
      <c r="R8" s="38">
        <f>IF(Single.Stream!$D$124="Yes",Single.Stream!Q141*P53,0)</f>
        <v>0</v>
      </c>
      <c r="S8" s="38">
        <f>IF(Single.Stream!$D$125="Yes",Single.Stream!R141*Q53,0)</f>
        <v>0</v>
      </c>
      <c r="T8" s="38">
        <f>IF(Single.Stream!$D$126="Yes",Single.Stream!S141*R53,0)</f>
        <v>0</v>
      </c>
      <c r="U8" s="38">
        <f>IF(Single.Stream!$D$127="Yes",Single.Stream!T141*S53,0)</f>
        <v>0</v>
      </c>
      <c r="V8" s="38">
        <f>IF(Single.Stream!$D$128="Yes",Single.Stream!U141*T53,0)</f>
        <v>0</v>
      </c>
      <c r="W8" s="57">
        <f>IF(Single.Stream!$D$129="Yes",Single.Stream!V141*V8,0)</f>
        <v>0</v>
      </c>
      <c r="X8" s="38">
        <f>IF(Single.Stream!$D$130="Yes",Single.Stream!W141*V53,0)</f>
        <v>0</v>
      </c>
      <c r="Y8" s="38">
        <f>IF(Single.Stream!$D$131="Yes",Single.Stream!X141*X53,0)</f>
        <v>0</v>
      </c>
      <c r="Z8" s="38">
        <f>IF(Single.Stream!$D$132="Yes",Single.Stream!Y141*Y53,0)</f>
        <v>0</v>
      </c>
    </row>
    <row r="9" spans="1:28" x14ac:dyDescent="0.35">
      <c r="A9" t="str">
        <f>Common!A79</f>
        <v>Wood Other</v>
      </c>
      <c r="B9" s="9"/>
      <c r="C9" s="34">
        <f>IF(Single.Stream!$D$109="Yes",Single.Stream!B142*B99,0)</f>
        <v>0</v>
      </c>
      <c r="D9" s="34">
        <f>IF(Single.Stream!$D$110="Yes",Single.Stream!C142*C54,0)</f>
        <v>0</v>
      </c>
      <c r="E9" s="35">
        <f>IF(Single.Stream!$D$111="Yes",Single.Stream!D142*D9,0)</f>
        <v>0</v>
      </c>
      <c r="F9" s="34">
        <f>IF(Single.Stream!$D$112="Yes",Single.Stream!E142*D54,0)</f>
        <v>0</v>
      </c>
      <c r="G9" s="34">
        <f>IF(Single.Stream!$D$113="Yes",Single.Stream!F142*F54,0)</f>
        <v>0</v>
      </c>
      <c r="H9" s="34">
        <f>IF(Single.Stream!$D$114="Yes",Single.Stream!G142*G54,0)</f>
        <v>0</v>
      </c>
      <c r="I9" s="35">
        <f>IF(Single.Stream!$D$115="Yes",Single.Stream!H142*G9,0)</f>
        <v>0</v>
      </c>
      <c r="J9" s="36">
        <f>IF(Single.Stream!$D$116="Yes",Single.Stream!I142*H9,0)</f>
        <v>0</v>
      </c>
      <c r="K9" s="37">
        <f>IF(Single.Stream!$D$117="Yes",Single.Stream!J142*(I54+J54),0)</f>
        <v>0</v>
      </c>
      <c r="L9" s="34">
        <f>IF(Single.Stream!$D$118="Yes",Single.Stream!K142*H54,0)</f>
        <v>0</v>
      </c>
      <c r="M9" s="36">
        <f>IF(Single.Stream!$D$119="Yes",Single.Stream!L142*(L9),0)</f>
        <v>0</v>
      </c>
      <c r="N9" s="34">
        <f>IF(Single.Stream!$D$120="Yes",Single.Stream!M142*M54,0)</f>
        <v>0</v>
      </c>
      <c r="O9" s="37">
        <f>IF(Single.Stream!$D$121="Yes",IF(Single.Stream!$D$120="Yes",N9,M54)*Single.Stream!N142,0)</f>
        <v>0</v>
      </c>
      <c r="P9" s="38">
        <f>IF(Single.Stream!$D$122="Yes",Single.Stream!O142*(L54+M9),0)</f>
        <v>0</v>
      </c>
      <c r="Q9" s="38">
        <f>IF(Single.Stream!$D$123="Yes",Single.Stream!P142*O54,0)</f>
        <v>0</v>
      </c>
      <c r="R9" s="38">
        <f>IF(Single.Stream!$D$124="Yes",Single.Stream!Q142*P54,0)</f>
        <v>0</v>
      </c>
      <c r="S9" s="38">
        <f>IF(Single.Stream!$D$125="Yes",Single.Stream!R142*Q54,0)</f>
        <v>0</v>
      </c>
      <c r="T9" s="38">
        <f>IF(Single.Stream!$D$126="Yes",Single.Stream!S142*R54,0)</f>
        <v>0</v>
      </c>
      <c r="U9" s="38">
        <f>IF(Single.Stream!$D$127="Yes",Single.Stream!T142*S54,0)</f>
        <v>0</v>
      </c>
      <c r="V9" s="38">
        <f>IF(Single.Stream!$D$128="Yes",Single.Stream!U142*T54,0)</f>
        <v>0</v>
      </c>
      <c r="W9" s="57">
        <f>IF(Single.Stream!$D$129="Yes",Single.Stream!V142*V9,0)</f>
        <v>0</v>
      </c>
      <c r="X9" s="38">
        <f>IF(Single.Stream!$D$130="Yes",Single.Stream!W142*V54,0)</f>
        <v>0</v>
      </c>
      <c r="Y9" s="38">
        <f>IF(Single.Stream!$D$131="Yes",Single.Stream!X142*X54,0)</f>
        <v>0</v>
      </c>
      <c r="Z9" s="38">
        <f>IF(Single.Stream!$D$132="Yes",Single.Stream!Y142*Y54,0)</f>
        <v>0</v>
      </c>
    </row>
    <row r="10" spans="1:28" x14ac:dyDescent="0.35">
      <c r="A10" t="str">
        <f>Common!A80</f>
        <v>Textiles</v>
      </c>
      <c r="B10" s="9"/>
      <c r="C10" s="34">
        <f>IF(Single.Stream!$D$109="Yes",Single.Stream!B143*B100,0)</f>
        <v>0</v>
      </c>
      <c r="D10" s="34">
        <f>IF(Single.Stream!$D$110="Yes",Single.Stream!C143*C55,0)</f>
        <v>0</v>
      </c>
      <c r="E10" s="35">
        <f>IF(Single.Stream!$D$111="Yes",Single.Stream!D143*D10,0)</f>
        <v>0</v>
      </c>
      <c r="F10" s="34">
        <f>IF(Single.Stream!$D$112="Yes",Single.Stream!E143*D55,0)</f>
        <v>0</v>
      </c>
      <c r="G10" s="34">
        <f>IF(Single.Stream!$D$113="Yes",Single.Stream!F143*F55,0)</f>
        <v>0</v>
      </c>
      <c r="H10" s="34">
        <f>IF(Single.Stream!$D$114="Yes",Single.Stream!G143*G55,0)</f>
        <v>0</v>
      </c>
      <c r="I10" s="35">
        <f>IF(Single.Stream!$D$115="Yes",Single.Stream!H143*G10,0)</f>
        <v>0</v>
      </c>
      <c r="J10" s="36">
        <f>IF(Single.Stream!$D$116="Yes",Single.Stream!I143*H10,0)</f>
        <v>0</v>
      </c>
      <c r="K10" s="37">
        <f>IF(Single.Stream!$D$117="Yes",Single.Stream!J143*(I55+J55),0)</f>
        <v>0</v>
      </c>
      <c r="L10" s="34">
        <f>IF(Single.Stream!$D$118="Yes",Single.Stream!K143*H55,0)</f>
        <v>0</v>
      </c>
      <c r="M10" s="36">
        <f>IF(Single.Stream!$D$119="Yes",Single.Stream!L143*(L10),0)</f>
        <v>0</v>
      </c>
      <c r="N10" s="34">
        <f>IF(Single.Stream!$D$120="Yes",Single.Stream!M143*M55,0)</f>
        <v>0</v>
      </c>
      <c r="O10" s="37">
        <f>IF(Single.Stream!$D$121="Yes",IF(Single.Stream!$D$120="Yes",N10,M55)*Single.Stream!N143,0)</f>
        <v>0</v>
      </c>
      <c r="P10" s="38">
        <f>IF(Single.Stream!$D$122="Yes",Single.Stream!O143*(L55+M10),0)</f>
        <v>0</v>
      </c>
      <c r="Q10" s="38">
        <f>IF(Single.Stream!$D$123="Yes",Single.Stream!P143*O55,0)</f>
        <v>0</v>
      </c>
      <c r="R10" s="38">
        <f>IF(Single.Stream!$D$124="Yes",Single.Stream!Q143*P55,0)</f>
        <v>0</v>
      </c>
      <c r="S10" s="38">
        <f>IF(Single.Stream!$D$125="Yes",Single.Stream!R143*Q55,0)</f>
        <v>0</v>
      </c>
      <c r="T10" s="38">
        <f>IF(Single.Stream!$D$126="Yes",Single.Stream!S143*R55,0)</f>
        <v>0</v>
      </c>
      <c r="U10" s="38">
        <f>IF(Single.Stream!$D$127="Yes",Single.Stream!T143*S55,0)</f>
        <v>0</v>
      </c>
      <c r="V10" s="38">
        <f>IF(Single.Stream!$D$128="Yes",Single.Stream!U143*T55,0)</f>
        <v>0</v>
      </c>
      <c r="W10" s="57">
        <f>IF(Single.Stream!$D$129="Yes",Single.Stream!V143*V10,0)</f>
        <v>0</v>
      </c>
      <c r="X10" s="38">
        <f>IF(Single.Stream!$D$130="Yes",Single.Stream!W143*V55,0)</f>
        <v>0</v>
      </c>
      <c r="Y10" s="38">
        <f>IF(Single.Stream!$D$131="Yes",Single.Stream!X143*X55,0)</f>
        <v>0</v>
      </c>
      <c r="Z10" s="38">
        <f>IF(Single.Stream!$D$132="Yes",Single.Stream!Y143*Y55,0)</f>
        <v>0</v>
      </c>
    </row>
    <row r="11" spans="1:28" x14ac:dyDescent="0.35">
      <c r="A11" t="str">
        <f>Common!A81</f>
        <v>Rubber/Leather</v>
      </c>
      <c r="B11" s="9"/>
      <c r="C11" s="34">
        <f>IF(Single.Stream!$D$109="Yes",Single.Stream!B144*B101,0)</f>
        <v>0</v>
      </c>
      <c r="D11" s="34">
        <f>IF(Single.Stream!$D$110="Yes",Single.Stream!C144*C56,0)</f>
        <v>0</v>
      </c>
      <c r="E11" s="35">
        <f>IF(Single.Stream!$D$111="Yes",Single.Stream!D144*D11,0)</f>
        <v>0</v>
      </c>
      <c r="F11" s="34">
        <f>IF(Single.Stream!$D$112="Yes",Single.Stream!E144*D56,0)</f>
        <v>0</v>
      </c>
      <c r="G11" s="34">
        <f>IF(Single.Stream!$D$113="Yes",Single.Stream!F144*F56,0)</f>
        <v>0</v>
      </c>
      <c r="H11" s="34">
        <f>IF(Single.Stream!$D$114="Yes",Single.Stream!G144*G56,0)</f>
        <v>0</v>
      </c>
      <c r="I11" s="35">
        <f>IF(Single.Stream!$D$115="Yes",Single.Stream!H144*G11,0)</f>
        <v>0</v>
      </c>
      <c r="J11" s="36">
        <f>IF(Single.Stream!$D$116="Yes",Single.Stream!I144*H11,0)</f>
        <v>0</v>
      </c>
      <c r="K11" s="37">
        <f>IF(Single.Stream!$D$117="Yes",Single.Stream!J144*(I56+J56),0)</f>
        <v>0</v>
      </c>
      <c r="L11" s="34">
        <f>IF(Single.Stream!$D$118="Yes",Single.Stream!K144*H56,0)</f>
        <v>0</v>
      </c>
      <c r="M11" s="36">
        <f>IF(Single.Stream!$D$119="Yes",Single.Stream!L144*(L11),0)</f>
        <v>0</v>
      </c>
      <c r="N11" s="34">
        <f>IF(Single.Stream!$D$120="Yes",Single.Stream!M144*M56,0)</f>
        <v>0</v>
      </c>
      <c r="O11" s="37">
        <f>IF(Single.Stream!$D$121="Yes",IF(Single.Stream!$D$120="Yes",N11,M56)*Single.Stream!N144,0)</f>
        <v>0</v>
      </c>
      <c r="P11" s="38">
        <f>IF(Single.Stream!$D$122="Yes",Single.Stream!O144*(L56+M11),0)</f>
        <v>0</v>
      </c>
      <c r="Q11" s="38">
        <f>IF(Single.Stream!$D$123="Yes",Single.Stream!P144*O56,0)</f>
        <v>0</v>
      </c>
      <c r="R11" s="38">
        <f>IF(Single.Stream!$D$124="Yes",Single.Stream!Q144*P56,0)</f>
        <v>0</v>
      </c>
      <c r="S11" s="38">
        <f>IF(Single.Stream!$D$125="Yes",Single.Stream!R144*Q56,0)</f>
        <v>0</v>
      </c>
      <c r="T11" s="38">
        <f>IF(Single.Stream!$D$126="Yes",Single.Stream!S144*R56,0)</f>
        <v>0</v>
      </c>
      <c r="U11" s="38">
        <f>IF(Single.Stream!$D$127="Yes",Single.Stream!T144*S56,0)</f>
        <v>0</v>
      </c>
      <c r="V11" s="38">
        <f>IF(Single.Stream!$D$128="Yes",Single.Stream!U144*T56,0)</f>
        <v>0</v>
      </c>
      <c r="W11" s="57">
        <f>IF(Single.Stream!$D$129="Yes",Single.Stream!V144*V11,0)</f>
        <v>0</v>
      </c>
      <c r="X11" s="38">
        <f>IF(Single.Stream!$D$130="Yes",Single.Stream!W144*V56,0)</f>
        <v>0</v>
      </c>
      <c r="Y11" s="38">
        <f>IF(Single.Stream!$D$131="Yes",Single.Stream!X144*X56,0)</f>
        <v>0</v>
      </c>
      <c r="Z11" s="38">
        <f>IF(Single.Stream!$D$132="Yes",Single.Stream!Y144*Y56,0)</f>
        <v>0</v>
      </c>
    </row>
    <row r="12" spans="1:28" x14ac:dyDescent="0.35">
      <c r="A12" t="str">
        <f>Common!A82</f>
        <v>Newsprint</v>
      </c>
      <c r="B12" s="9"/>
      <c r="C12" s="34">
        <f>IF(Single.Stream!$D$109="Yes",Single.Stream!B145*B102,0)</f>
        <v>0</v>
      </c>
      <c r="D12" s="34">
        <f>IF(Single.Stream!$D$110="Yes",Single.Stream!C145*C57,0)</f>
        <v>0</v>
      </c>
      <c r="E12" s="35">
        <f>IF(Single.Stream!$D$111="Yes",Single.Stream!D145*D12,0)</f>
        <v>0</v>
      </c>
      <c r="F12" s="34">
        <f>IF(Single.Stream!$D$112="Yes",Single.Stream!E145*D57,0)</f>
        <v>0</v>
      </c>
      <c r="G12" s="34">
        <f>IF(Single.Stream!$D$113="Yes",Single.Stream!F145*F57,0)</f>
        <v>11.475</v>
      </c>
      <c r="H12" s="34">
        <f>IF(Single.Stream!$D$114="Yes",Single.Stream!G145*G57,0)</f>
        <v>1.8427500000000003</v>
      </c>
      <c r="I12" s="35">
        <f>IF(Single.Stream!$D$115="Yes",Single.Stream!H145*G12,0)</f>
        <v>0</v>
      </c>
      <c r="J12" s="36">
        <f>IF(Single.Stream!$D$116="Yes",Single.Stream!I145*H12,0)</f>
        <v>0</v>
      </c>
      <c r="K12" s="37">
        <f>IF(Single.Stream!$D$117="Yes",Single.Stream!J145*(I57+J57),0)</f>
        <v>0</v>
      </c>
      <c r="L12" s="34">
        <f>IF(Single.Stream!$D$118="Yes",Single.Stream!K145*H57,0)</f>
        <v>0</v>
      </c>
      <c r="M12" s="36">
        <f>IF(Single.Stream!$D$119="Yes",Single.Stream!L145*(L12),0)</f>
        <v>0</v>
      </c>
      <c r="N12" s="34">
        <f>IF(Single.Stream!$D$120="Yes",Single.Stream!M145*M57,0)</f>
        <v>0</v>
      </c>
      <c r="O12" s="37">
        <f>IF(Single.Stream!$D$121="Yes",IF(Single.Stream!$D$120="Yes",N12,M57)*Single.Stream!N145,0)</f>
        <v>0</v>
      </c>
      <c r="P12" s="38">
        <f>IF(Single.Stream!$D$122="Yes",Single.Stream!O145*(L57+M12),0)</f>
        <v>0</v>
      </c>
      <c r="Q12" s="38">
        <f>IF(Single.Stream!$D$123="Yes",Single.Stream!P145*O57,0)</f>
        <v>0</v>
      </c>
      <c r="R12" s="38">
        <f>IF(Single.Stream!$D$124="Yes",Single.Stream!Q145*P57,0)</f>
        <v>0</v>
      </c>
      <c r="S12" s="38">
        <f>IF(Single.Stream!$D$125="Yes",Single.Stream!R145*Q57,0)</f>
        <v>0</v>
      </c>
      <c r="T12" s="38">
        <f>IF(Single.Stream!$D$126="Yes",Single.Stream!S145*R57,0)</f>
        <v>0</v>
      </c>
      <c r="U12" s="38">
        <f>IF(Single.Stream!$D$127="Yes",Single.Stream!T145*S57,0)</f>
        <v>0</v>
      </c>
      <c r="V12" s="38">
        <f>IF(Single.Stream!$D$128="Yes",Single.Stream!U145*T57,0)</f>
        <v>0</v>
      </c>
      <c r="W12" s="57">
        <f>IF(Single.Stream!$D$129="Yes",Single.Stream!V145*V12,0)</f>
        <v>0</v>
      </c>
      <c r="X12" s="38">
        <f>IF(Single.Stream!$D$130="Yes",Single.Stream!W145*V57,0)</f>
        <v>0</v>
      </c>
      <c r="Y12" s="38">
        <f>IF(Single.Stream!$D$131="Yes",Single.Stream!X145*X57,0)</f>
        <v>0</v>
      </c>
      <c r="Z12" s="38">
        <f>IF(Single.Stream!$D$132="Yes",Single.Stream!Y145*Y57,0)</f>
        <v>0</v>
      </c>
    </row>
    <row r="13" spans="1:28" x14ac:dyDescent="0.35">
      <c r="A13" t="str">
        <f>Common!A83</f>
        <v>Corr. Cardboard</v>
      </c>
      <c r="B13" s="9"/>
      <c r="C13" s="34">
        <f>IF(Single.Stream!$D$109="Yes",Single.Stream!B146*B103,0)</f>
        <v>0</v>
      </c>
      <c r="D13" s="34">
        <f>IF(Single.Stream!$D$110="Yes",Single.Stream!C146*C58,0)</f>
        <v>0</v>
      </c>
      <c r="E13" s="35">
        <f>IF(Single.Stream!$D$111="Yes",Single.Stream!D146*D13,0)</f>
        <v>0</v>
      </c>
      <c r="F13" s="34">
        <f>IF(Single.Stream!$D$112="Yes",Single.Stream!E146*D58,0)</f>
        <v>27.859999999999996</v>
      </c>
      <c r="G13" s="34">
        <f>IF(Single.Stream!$D$113="Yes",Single.Stream!F146*F58,0)</f>
        <v>10.149000000000001</v>
      </c>
      <c r="H13" s="34">
        <f>IF(Single.Stream!$D$114="Yes",Single.Stream!G146*G58,0)</f>
        <v>1.6298100000000004</v>
      </c>
      <c r="I13" s="35">
        <f>IF(Single.Stream!$D$115="Yes",Single.Stream!H146*G13,0)</f>
        <v>0</v>
      </c>
      <c r="J13" s="36">
        <f>IF(Single.Stream!$D$116="Yes",Single.Stream!I146*H13,0)</f>
        <v>0</v>
      </c>
      <c r="K13" s="37">
        <f>IF(Single.Stream!$D$117="Yes",Single.Stream!J146*(I58+J58),0)</f>
        <v>0</v>
      </c>
      <c r="L13" s="34">
        <f>IF(Single.Stream!$D$118="Yes",Single.Stream!K146*H58,0)</f>
        <v>0</v>
      </c>
      <c r="M13" s="36">
        <f>IF(Single.Stream!$D$119="Yes",Single.Stream!L146*(L13),0)</f>
        <v>0</v>
      </c>
      <c r="N13" s="34">
        <f>IF(Single.Stream!$D$120="Yes",Single.Stream!M146*M58,0)</f>
        <v>0</v>
      </c>
      <c r="O13" s="37">
        <f>IF(Single.Stream!$D$121="Yes",IF(Single.Stream!$D$120="Yes",N13,M58)*Single.Stream!N146,0)</f>
        <v>0</v>
      </c>
      <c r="P13" s="38">
        <f>IF(Single.Stream!$D$122="Yes",Single.Stream!O146*(L58+M13),0)</f>
        <v>0</v>
      </c>
      <c r="Q13" s="38">
        <f>IF(Single.Stream!$D$123="Yes",Single.Stream!P146*O58,0)</f>
        <v>0</v>
      </c>
      <c r="R13" s="38">
        <f>IF(Single.Stream!$D$124="Yes",Single.Stream!Q146*P58,0)</f>
        <v>0</v>
      </c>
      <c r="S13" s="38">
        <f>IF(Single.Stream!$D$125="Yes",Single.Stream!R146*Q58,0)</f>
        <v>0</v>
      </c>
      <c r="T13" s="38">
        <f>IF(Single.Stream!$D$126="Yes",Single.Stream!S146*R58,0)</f>
        <v>0</v>
      </c>
      <c r="U13" s="38">
        <f>IF(Single.Stream!$D$127="Yes",Single.Stream!T146*S58,0)</f>
        <v>0</v>
      </c>
      <c r="V13" s="38">
        <f>IF(Single.Stream!$D$128="Yes",Single.Stream!U146*T58,0)</f>
        <v>0</v>
      </c>
      <c r="W13" s="57">
        <f>IF(Single.Stream!$D$129="Yes",Single.Stream!V146*V13,0)</f>
        <v>0</v>
      </c>
      <c r="X13" s="38">
        <f>IF(Single.Stream!$D$130="Yes",Single.Stream!W146*V58,0)</f>
        <v>0</v>
      </c>
      <c r="Y13" s="38">
        <f>IF(Single.Stream!$D$131="Yes",Single.Stream!X146*X58,0)</f>
        <v>0</v>
      </c>
      <c r="Z13" s="38">
        <f>IF(Single.Stream!$D$132="Yes",Single.Stream!Y146*Y58,0)</f>
        <v>0</v>
      </c>
    </row>
    <row r="14" spans="1:28" s="16" customFormat="1" x14ac:dyDescent="0.35">
      <c r="A14" t="str">
        <f>Common!A84</f>
        <v>Office Paper</v>
      </c>
      <c r="B14" s="9"/>
      <c r="C14" s="34">
        <f>IF(Single.Stream!$D$109="Yes",Single.Stream!B147*B104,0)</f>
        <v>0</v>
      </c>
      <c r="D14" s="34">
        <f>IF(Single.Stream!$D$110="Yes",Single.Stream!C147*C59,0)</f>
        <v>0</v>
      </c>
      <c r="E14" s="35">
        <f>IF(Single.Stream!$D$111="Yes",Single.Stream!D147*D14,0)</f>
        <v>0</v>
      </c>
      <c r="F14" s="34">
        <f>IF(Single.Stream!$D$112="Yes",Single.Stream!E147*D59,0)</f>
        <v>0</v>
      </c>
      <c r="G14" s="34">
        <f>IF(Single.Stream!$D$113="Yes",Single.Stream!F147*F59,0)</f>
        <v>6.12</v>
      </c>
      <c r="H14" s="34">
        <f>IF(Single.Stream!$D$114="Yes",Single.Stream!G147*G59,0)</f>
        <v>0.98280000000000012</v>
      </c>
      <c r="I14" s="35">
        <f>IF(Single.Stream!$D$115="Yes",Single.Stream!H147*G14,0)</f>
        <v>0</v>
      </c>
      <c r="J14" s="36">
        <f>IF(Single.Stream!$D$116="Yes",Single.Stream!I147*H14,0)</f>
        <v>0</v>
      </c>
      <c r="K14" s="37">
        <f>IF(Single.Stream!$D$117="Yes",Single.Stream!J147*(I59+J59),0)</f>
        <v>0</v>
      </c>
      <c r="L14" s="34">
        <f>IF(Single.Stream!$D$118="Yes",Single.Stream!K147*H59,0)</f>
        <v>0</v>
      </c>
      <c r="M14" s="36">
        <f>IF(Single.Stream!$D$119="Yes",Single.Stream!L147*(L14),0)</f>
        <v>0</v>
      </c>
      <c r="N14" s="34">
        <f>IF(Single.Stream!$D$120="Yes",Single.Stream!M147*M59,0)</f>
        <v>0</v>
      </c>
      <c r="O14" s="37">
        <f>IF(Single.Stream!$D$121="Yes",IF(Single.Stream!$D$120="Yes",N14,M59)*Single.Stream!N147,0)</f>
        <v>0</v>
      </c>
      <c r="P14" s="38">
        <f>IF(Single.Stream!$D$122="Yes",Single.Stream!O147*(L59+M14),0)</f>
        <v>0</v>
      </c>
      <c r="Q14" s="38">
        <f>IF(Single.Stream!$D$123="Yes",Single.Stream!P147*O59,0)</f>
        <v>0</v>
      </c>
      <c r="R14" s="38">
        <f>IF(Single.Stream!$D$124="Yes",Single.Stream!Q147*P59,0)</f>
        <v>0</v>
      </c>
      <c r="S14" s="38">
        <f>IF(Single.Stream!$D$125="Yes",Single.Stream!R147*Q59,0)</f>
        <v>0</v>
      </c>
      <c r="T14" s="38">
        <f>IF(Single.Stream!$D$126="Yes",Single.Stream!S147*R59,0)</f>
        <v>0</v>
      </c>
      <c r="U14" s="38">
        <f>IF(Single.Stream!$D$127="Yes",Single.Stream!T147*S59,0)</f>
        <v>0</v>
      </c>
      <c r="V14" s="38">
        <f>IF(Single.Stream!$D$128="Yes",Single.Stream!U147*T59,0)</f>
        <v>0</v>
      </c>
      <c r="W14" s="57">
        <f>IF(Single.Stream!$D$129="Yes",Single.Stream!V147*V14,0)</f>
        <v>0</v>
      </c>
      <c r="X14" s="38">
        <f>IF(Single.Stream!$D$130="Yes",Single.Stream!W147*V59,0)</f>
        <v>0</v>
      </c>
      <c r="Y14" s="38">
        <f>IF(Single.Stream!$D$131="Yes",Single.Stream!X147*X59,0)</f>
        <v>0</v>
      </c>
      <c r="Z14" s="38">
        <f>IF(Single.Stream!$D$132="Yes",Single.Stream!Y147*Y59,0)</f>
        <v>0</v>
      </c>
    </row>
    <row r="15" spans="1:28" x14ac:dyDescent="0.35">
      <c r="A15" t="str">
        <f>Common!A85</f>
        <v xml:space="preserve">Magazines </v>
      </c>
      <c r="B15" s="9"/>
      <c r="C15" s="34">
        <f>IF(Single.Stream!$D$109="Yes",Single.Stream!B148*B105,0)</f>
        <v>0</v>
      </c>
      <c r="D15" s="34">
        <f>IF(Single.Stream!$D$110="Yes",Single.Stream!C148*C60,0)</f>
        <v>0</v>
      </c>
      <c r="E15" s="35">
        <f>IF(Single.Stream!$D$111="Yes",Single.Stream!D148*D15,0)</f>
        <v>0</v>
      </c>
      <c r="F15" s="34">
        <f>IF(Single.Stream!$D$112="Yes",Single.Stream!E148*D60,0)</f>
        <v>0</v>
      </c>
      <c r="G15" s="34">
        <f>IF(Single.Stream!$D$113="Yes",Single.Stream!F148*F60,0)</f>
        <v>1.87</v>
      </c>
      <c r="H15" s="34">
        <f>IF(Single.Stream!$D$114="Yes",Single.Stream!G148*G60,0)</f>
        <v>0.30030000000000007</v>
      </c>
      <c r="I15" s="35">
        <f>IF(Single.Stream!$D$115="Yes",Single.Stream!H148*G15,0)</f>
        <v>0</v>
      </c>
      <c r="J15" s="36">
        <f>IF(Single.Stream!$D$116="Yes",Single.Stream!I148*H15,0)</f>
        <v>0</v>
      </c>
      <c r="K15" s="37">
        <f>IF(Single.Stream!$D$117="Yes",Single.Stream!J148*(I60+J60),0)</f>
        <v>0</v>
      </c>
      <c r="L15" s="34">
        <f>IF(Single.Stream!$D$118="Yes",Single.Stream!K148*H60,0)</f>
        <v>0</v>
      </c>
      <c r="M15" s="36">
        <f>IF(Single.Stream!$D$119="Yes",Single.Stream!L148*(L15),0)</f>
        <v>0</v>
      </c>
      <c r="N15" s="34">
        <f>IF(Single.Stream!$D$120="Yes",Single.Stream!M148*M60,0)</f>
        <v>0</v>
      </c>
      <c r="O15" s="37">
        <f>IF(Single.Stream!$D$121="Yes",IF(Single.Stream!$D$120="Yes",N15,M60)*Single.Stream!N148,0)</f>
        <v>0</v>
      </c>
      <c r="P15" s="38">
        <f>IF(Single.Stream!$D$122="Yes",Single.Stream!O148*(L60+M15),0)</f>
        <v>0</v>
      </c>
      <c r="Q15" s="38">
        <f>IF(Single.Stream!$D$123="Yes",Single.Stream!P148*O60,0)</f>
        <v>0</v>
      </c>
      <c r="R15" s="38">
        <f>IF(Single.Stream!$D$124="Yes",Single.Stream!Q148*P60,0)</f>
        <v>0</v>
      </c>
      <c r="S15" s="38">
        <f>IF(Single.Stream!$D$125="Yes",Single.Stream!R148*Q60,0)</f>
        <v>0</v>
      </c>
      <c r="T15" s="38">
        <f>IF(Single.Stream!$D$126="Yes",Single.Stream!S148*R60,0)</f>
        <v>0</v>
      </c>
      <c r="U15" s="38">
        <f>IF(Single.Stream!$D$127="Yes",Single.Stream!T148*S60,0)</f>
        <v>0</v>
      </c>
      <c r="V15" s="38">
        <f>IF(Single.Stream!$D$128="Yes",Single.Stream!U148*T60,0)</f>
        <v>0</v>
      </c>
      <c r="W15" s="57">
        <f>IF(Single.Stream!$D$129="Yes",Single.Stream!V148*V15,0)</f>
        <v>0</v>
      </c>
      <c r="X15" s="38">
        <f>IF(Single.Stream!$D$130="Yes",Single.Stream!W148*V60,0)</f>
        <v>0</v>
      </c>
      <c r="Y15" s="38">
        <f>IF(Single.Stream!$D$131="Yes",Single.Stream!X148*X60,0)</f>
        <v>0</v>
      </c>
      <c r="Z15" s="38">
        <f>IF(Single.Stream!$D$132="Yes",Single.Stream!Y148*Y60,0)</f>
        <v>0</v>
      </c>
    </row>
    <row r="16" spans="1:28" x14ac:dyDescent="0.35">
      <c r="A16" t="str">
        <f>Common!A86</f>
        <v>3rd Class Mail</v>
      </c>
      <c r="B16" s="9"/>
      <c r="C16" s="34">
        <f>IF(Single.Stream!$D$109="Yes",Single.Stream!B149*B106,0)</f>
        <v>0</v>
      </c>
      <c r="D16" s="34">
        <f>IF(Single.Stream!$D$110="Yes",Single.Stream!C149*C61,0)</f>
        <v>0</v>
      </c>
      <c r="E16" s="35">
        <f>IF(Single.Stream!$D$111="Yes",Single.Stream!D149*D16,0)</f>
        <v>0</v>
      </c>
      <c r="F16" s="34">
        <f>IF(Single.Stream!$D$112="Yes",Single.Stream!E149*D61,0)</f>
        <v>0</v>
      </c>
      <c r="G16" s="34">
        <f>IF(Single.Stream!$D$113="Yes",Single.Stream!F147*F61,0)</f>
        <v>5.0150000000000006</v>
      </c>
      <c r="H16" s="34">
        <f>IF(Single.Stream!$D$114="Yes",Single.Stream!G149*G61,0)</f>
        <v>0.80534999999999979</v>
      </c>
      <c r="I16" s="35">
        <f>IF(Single.Stream!$D$115="Yes",Single.Stream!H149*G16,0)</f>
        <v>0</v>
      </c>
      <c r="J16" s="36">
        <f>IF(Single.Stream!$D$116="Yes",Single.Stream!I149*H16,0)</f>
        <v>0</v>
      </c>
      <c r="K16" s="37">
        <f>IF(Single.Stream!$D$117="Yes",Single.Stream!J149*(I61+J61),0)</f>
        <v>0</v>
      </c>
      <c r="L16" s="34">
        <f>IF(Single.Stream!$D$118="Yes",Single.Stream!K149*H61,0)</f>
        <v>0</v>
      </c>
      <c r="M16" s="36">
        <f>IF(Single.Stream!$D$119="Yes",Single.Stream!L149*(L16),0)</f>
        <v>0</v>
      </c>
      <c r="N16" s="34">
        <f>IF(Single.Stream!$D$120="Yes",Single.Stream!M149*M61,0)</f>
        <v>0</v>
      </c>
      <c r="O16" s="37">
        <f>IF(Single.Stream!$D$121="Yes",IF(Single.Stream!$D$120="Yes",N16,M61)*Single.Stream!N149,0)</f>
        <v>0</v>
      </c>
      <c r="P16" s="38">
        <f>IF(Single.Stream!$D$122="Yes",Single.Stream!O149*(L61+M16),0)</f>
        <v>0</v>
      </c>
      <c r="Q16" s="38">
        <f>IF(Single.Stream!$D$123="Yes",Single.Stream!P149*O61,0)</f>
        <v>0</v>
      </c>
      <c r="R16" s="38">
        <f>IF(Single.Stream!$D$124="Yes",Single.Stream!Q149*P61,0)</f>
        <v>0</v>
      </c>
      <c r="S16" s="38">
        <f>IF(Single.Stream!$D$125="Yes",Single.Stream!R149*Q61,0)</f>
        <v>0</v>
      </c>
      <c r="T16" s="38">
        <f>IF(Single.Stream!$D$126="Yes",Single.Stream!S149*R61,0)</f>
        <v>0</v>
      </c>
      <c r="U16" s="38">
        <f>IF(Single.Stream!$D$127="Yes",Single.Stream!T149*S61,0)</f>
        <v>0</v>
      </c>
      <c r="V16" s="38">
        <f>IF(Single.Stream!$D$128="Yes",Single.Stream!U149*T61,0)</f>
        <v>0</v>
      </c>
      <c r="W16" s="57">
        <f>IF(Single.Stream!$D$129="Yes",Single.Stream!V149*V16,0)</f>
        <v>0</v>
      </c>
      <c r="X16" s="38">
        <f>IF(Single.Stream!$D$130="Yes",Single.Stream!W149*V61,0)</f>
        <v>0</v>
      </c>
      <c r="Y16" s="38">
        <f>IF(Single.Stream!$D$131="Yes",Single.Stream!X149*X61,0)</f>
        <v>0</v>
      </c>
      <c r="Z16" s="38">
        <f>IF(Single.Stream!$D$132="Yes",Single.Stream!Y149*Y61,0)</f>
        <v>0</v>
      </c>
    </row>
    <row r="17" spans="1:28" x14ac:dyDescent="0.35">
      <c r="A17" t="str">
        <f>Common!A87</f>
        <v>Folding Containers</v>
      </c>
      <c r="B17" s="9"/>
      <c r="C17" s="34">
        <f>IF(Single.Stream!$D$109="Yes",Single.Stream!B150*B107,0)</f>
        <v>0</v>
      </c>
      <c r="D17" s="34">
        <f>IF(Single.Stream!$D$110="Yes",Single.Stream!C150*C62,0)</f>
        <v>0</v>
      </c>
      <c r="E17" s="35">
        <f>IF(Single.Stream!$D$111="Yes",Single.Stream!D150*D17,0)</f>
        <v>0</v>
      </c>
      <c r="F17" s="34">
        <f>IF(Single.Stream!$D$112="Yes",Single.Stream!E150*D62,0)</f>
        <v>0</v>
      </c>
      <c r="G17" s="34">
        <f>IF(Single.Stream!$D$113="Yes",Single.Stream!F150*F62,0)</f>
        <v>8.4999999999999991E-7</v>
      </c>
      <c r="H17" s="34">
        <f>IF(Single.Stream!$D$114="Yes",Single.Stream!G150*G62,0)</f>
        <v>1.3650000000000004E-7</v>
      </c>
      <c r="I17" s="35">
        <f>IF(Single.Stream!$D$115="Yes",Single.Stream!H150*G17,0)</f>
        <v>0</v>
      </c>
      <c r="J17" s="36">
        <f>IF(Single.Stream!$D$116="Yes",Single.Stream!I150*H17,0)</f>
        <v>0</v>
      </c>
      <c r="K17" s="37">
        <f>IF(Single.Stream!$D$117="Yes",Single.Stream!J150*(I62+J62),0)</f>
        <v>0</v>
      </c>
      <c r="L17" s="34">
        <f>IF(Single.Stream!$D$118="Yes",Single.Stream!K150*H62,0)</f>
        <v>0</v>
      </c>
      <c r="M17" s="36">
        <f>IF(Single.Stream!$D$119="Yes",Single.Stream!L150*(L17),0)</f>
        <v>0</v>
      </c>
      <c r="N17" s="34">
        <f>IF(Single.Stream!$D$120="Yes",Single.Stream!M150*M62,0)</f>
        <v>0</v>
      </c>
      <c r="O17" s="37">
        <f>IF(Single.Stream!$D$121="Yes",IF(Single.Stream!$D$120="Yes",N17,M62)*Single.Stream!N150,0)</f>
        <v>0</v>
      </c>
      <c r="P17" s="38">
        <f>IF(Single.Stream!$D$122="Yes",Single.Stream!O150*(L62+M17),0)</f>
        <v>0</v>
      </c>
      <c r="Q17" s="38">
        <f>IF(Single.Stream!$D$123="Yes",Single.Stream!P150*O62,0)</f>
        <v>0</v>
      </c>
      <c r="R17" s="38">
        <f>IF(Single.Stream!$D$124="Yes",Single.Stream!Q150*P62,0)</f>
        <v>0</v>
      </c>
      <c r="S17" s="38">
        <f>IF(Single.Stream!$D$125="Yes",Single.Stream!R150*Q62,0)</f>
        <v>0</v>
      </c>
      <c r="T17" s="38">
        <f>IF(Single.Stream!$D$126="Yes",Single.Stream!S150*R62,0)</f>
        <v>0</v>
      </c>
      <c r="U17" s="38">
        <f>IF(Single.Stream!$D$127="Yes",Single.Stream!T150*S62,0)</f>
        <v>0</v>
      </c>
      <c r="V17" s="38">
        <f>IF(Single.Stream!$D$128="Yes",Single.Stream!U150*T62,0)</f>
        <v>0</v>
      </c>
      <c r="W17" s="57">
        <f>IF(Single.Stream!$D$129="Yes",Single.Stream!V150*V17,0)</f>
        <v>0</v>
      </c>
      <c r="X17" s="38">
        <f>IF(Single.Stream!$D$130="Yes",Single.Stream!W150*V62,0)</f>
        <v>0</v>
      </c>
      <c r="Y17" s="38">
        <f>IF(Single.Stream!$D$131="Yes",Single.Stream!X150*X62,0)</f>
        <v>0</v>
      </c>
      <c r="Z17" s="38">
        <f>IF(Single.Stream!$D$132="Yes",Single.Stream!Y150*Y62,0)</f>
        <v>0</v>
      </c>
    </row>
    <row r="18" spans="1:28" x14ac:dyDescent="0.35">
      <c r="A18" t="str">
        <f>Common!A88</f>
        <v xml:space="preserve">Paper Bags </v>
      </c>
      <c r="B18" s="9"/>
      <c r="C18" s="34">
        <f>IF(Single.Stream!$D$109="Yes",Single.Stream!B151*B108,0)</f>
        <v>0</v>
      </c>
      <c r="D18" s="34">
        <f>IF(Single.Stream!$D$110="Yes",Single.Stream!C151*C63,0)</f>
        <v>0</v>
      </c>
      <c r="E18" s="35">
        <f>IF(Single.Stream!$D$111="Yes",Single.Stream!D151*D18,0)</f>
        <v>0</v>
      </c>
      <c r="F18" s="34">
        <f>IF(Single.Stream!$D$112="Yes",Single.Stream!E151*D63,0)</f>
        <v>0</v>
      </c>
      <c r="G18" s="34">
        <f>IF(Single.Stream!$D$113="Yes",Single.Stream!F151*F63,0)</f>
        <v>8.4999999999999991E-7</v>
      </c>
      <c r="H18" s="34">
        <f>IF(Single.Stream!$D$114="Yes",Single.Stream!G151*G63,0)</f>
        <v>1.3650000000000004E-7</v>
      </c>
      <c r="I18" s="35">
        <f>IF(Single.Stream!$D$115="Yes",Single.Stream!H151*G18,0)</f>
        <v>0</v>
      </c>
      <c r="J18" s="36">
        <f>IF(Single.Stream!$D$116="Yes",Single.Stream!I151*H18,0)</f>
        <v>0</v>
      </c>
      <c r="K18" s="37">
        <f>IF(Single.Stream!$D$117="Yes",Single.Stream!J151*(I63+J63),0)</f>
        <v>0</v>
      </c>
      <c r="L18" s="34">
        <f>IF(Single.Stream!$D$118="Yes",Single.Stream!K151*H63,0)</f>
        <v>0</v>
      </c>
      <c r="M18" s="36">
        <f>IF(Single.Stream!$D$119="Yes",Single.Stream!L151*(L18),0)</f>
        <v>0</v>
      </c>
      <c r="N18" s="34">
        <f>IF(Single.Stream!$D$120="Yes",Single.Stream!M151*M63,0)</f>
        <v>0</v>
      </c>
      <c r="O18" s="37">
        <f>IF(Single.Stream!$D$121="Yes",IF(Single.Stream!$D$120="Yes",N18,M63)*Single.Stream!N151,0)</f>
        <v>0</v>
      </c>
      <c r="P18" s="38">
        <f>IF(Single.Stream!$D$122="Yes",Single.Stream!O151*(L63+M18),0)</f>
        <v>0</v>
      </c>
      <c r="Q18" s="38">
        <f>IF(Single.Stream!$D$123="Yes",Single.Stream!P151*O63,0)</f>
        <v>0</v>
      </c>
      <c r="R18" s="38">
        <f>IF(Single.Stream!$D$124="Yes",Single.Stream!Q151*P63,0)</f>
        <v>0</v>
      </c>
      <c r="S18" s="38">
        <f>IF(Single.Stream!$D$125="Yes",Single.Stream!R151*Q63,0)</f>
        <v>0</v>
      </c>
      <c r="T18" s="38">
        <f>IF(Single.Stream!$D$126="Yes",Single.Stream!S151*R63,0)</f>
        <v>0</v>
      </c>
      <c r="U18" s="38">
        <f>IF(Single.Stream!$D$127="Yes",Single.Stream!T151*S63,0)</f>
        <v>0</v>
      </c>
      <c r="V18" s="38">
        <f>IF(Single.Stream!$D$128="Yes",Single.Stream!U151*T63,0)</f>
        <v>0</v>
      </c>
      <c r="W18" s="57">
        <f>IF(Single.Stream!$D$129="Yes",Single.Stream!V151*V18,0)</f>
        <v>0</v>
      </c>
      <c r="X18" s="38">
        <f>IF(Single.Stream!$D$130="Yes",Single.Stream!W151*V63,0)</f>
        <v>0</v>
      </c>
      <c r="Y18" s="38">
        <f>IF(Single.Stream!$D$131="Yes",Single.Stream!X151*X63,0)</f>
        <v>0</v>
      </c>
      <c r="Z18" s="38">
        <f>IF(Single.Stream!$D$132="Yes",Single.Stream!Y151*Y63,0)</f>
        <v>0</v>
      </c>
    </row>
    <row r="19" spans="1:28" x14ac:dyDescent="0.35">
      <c r="A19" t="str">
        <f>Common!A89</f>
        <v>Mixed Paper</v>
      </c>
      <c r="B19" s="9"/>
      <c r="C19" s="34">
        <f>IF(Single.Stream!$D$109="Yes",Single.Stream!B152*B109,0)</f>
        <v>0</v>
      </c>
      <c r="D19" s="34">
        <f>IF(Single.Stream!$D$110="Yes",Single.Stream!C152*C64,0)</f>
        <v>0</v>
      </c>
      <c r="E19" s="35">
        <f>IF(Single.Stream!$D$111="Yes",Single.Stream!D152*D19,0)</f>
        <v>0</v>
      </c>
      <c r="F19" s="34">
        <f>IF(Single.Stream!$D$112="Yes",Single.Stream!E152*D64,0)</f>
        <v>0</v>
      </c>
      <c r="G19" s="34">
        <f>IF(Single.Stream!$D$113="Yes",Single.Stream!F152*F64,0)</f>
        <v>8.4999999999999991E-7</v>
      </c>
      <c r="H19" s="34">
        <f>IF(Single.Stream!$D$114="Yes",Single.Stream!G152*G64,0)</f>
        <v>1.3650000000000004E-7</v>
      </c>
      <c r="I19" s="35">
        <f>IF(Single.Stream!$D$115="Yes",Single.Stream!H152*G19,0)</f>
        <v>0</v>
      </c>
      <c r="J19" s="36">
        <f>IF(Single.Stream!$D$116="Yes",Single.Stream!I152*H19,0)</f>
        <v>0</v>
      </c>
      <c r="K19" s="37">
        <f>IF(Single.Stream!$D$117="Yes",Single.Stream!J152*(I64+J64),0)</f>
        <v>0</v>
      </c>
      <c r="L19" s="34">
        <f>IF(Single.Stream!$D$118="Yes",Single.Stream!K152*H64,0)</f>
        <v>0</v>
      </c>
      <c r="M19" s="36">
        <f>IF(Single.Stream!$D$119="Yes",Single.Stream!L152*(L19),0)</f>
        <v>0</v>
      </c>
      <c r="N19" s="34">
        <f>IF(Single.Stream!$D$120="Yes",Single.Stream!M152*M64,0)</f>
        <v>0</v>
      </c>
      <c r="O19" s="37">
        <f>IF(Single.Stream!$D$121="Yes",IF(Single.Stream!$D$120="Yes",N19,M64)*Single.Stream!N152,0)</f>
        <v>0</v>
      </c>
      <c r="P19" s="38">
        <f>IF(Single.Stream!$D$122="Yes",Single.Stream!O152*(L64+M19),0)</f>
        <v>0</v>
      </c>
      <c r="Q19" s="38">
        <f>IF(Single.Stream!$D$123="Yes",Single.Stream!P152*O64,0)</f>
        <v>0</v>
      </c>
      <c r="R19" s="38">
        <f>IF(Single.Stream!$D$124="Yes",Single.Stream!Q152*P64,0)</f>
        <v>0</v>
      </c>
      <c r="S19" s="38">
        <f>IF(Single.Stream!$D$125="Yes",Single.Stream!R152*Q64,0)</f>
        <v>0</v>
      </c>
      <c r="T19" s="38">
        <f>IF(Single.Stream!$D$126="Yes",Single.Stream!S152*R64,0)</f>
        <v>0</v>
      </c>
      <c r="U19" s="38">
        <f>IF(Single.Stream!$D$127="Yes",Single.Stream!T152*S64,0)</f>
        <v>0</v>
      </c>
      <c r="V19" s="38">
        <f>IF(Single.Stream!$D$128="Yes",Single.Stream!U152*T64,0)</f>
        <v>0</v>
      </c>
      <c r="W19" s="57">
        <f>IF(Single.Stream!$D$129="Yes",Single.Stream!V152*V19,0)</f>
        <v>0</v>
      </c>
      <c r="X19" s="38">
        <f>IF(Single.Stream!$D$130="Yes",Single.Stream!W152*V64,0)</f>
        <v>0</v>
      </c>
      <c r="Y19" s="38">
        <f>IF(Single.Stream!$D$131="Yes",Single.Stream!X152*X64,0)</f>
        <v>0</v>
      </c>
      <c r="Z19" s="38">
        <f>IF(Single.Stream!$D$132="Yes",Single.Stream!Y152*Y64,0)</f>
        <v>0</v>
      </c>
    </row>
    <row r="20" spans="1:28" x14ac:dyDescent="0.35">
      <c r="A20" t="str">
        <f>Common!A90</f>
        <v>Paper - Non-recyclable</v>
      </c>
      <c r="C20" s="34">
        <f>IF(Single.Stream!$D$109="Yes",Single.Stream!B153*B110,0)</f>
        <v>0</v>
      </c>
      <c r="D20" s="34">
        <f>IF(Single.Stream!$D$110="Yes",Single.Stream!C153*C65,0)</f>
        <v>0</v>
      </c>
      <c r="E20" s="35">
        <f>IF(Single.Stream!$D$111="Yes",Single.Stream!D153*D20,0)</f>
        <v>0</v>
      </c>
      <c r="F20" s="34">
        <f>IF(Single.Stream!$D$112="Yes",Single.Stream!E153*D65,0)</f>
        <v>0</v>
      </c>
      <c r="G20" s="34">
        <f>IF(Single.Stream!$D$113="Yes",Single.Stream!F153*F65,0)</f>
        <v>0</v>
      </c>
      <c r="H20" s="34">
        <f>IF(Single.Stream!$D$114="Yes",Single.Stream!G153*G65,0)</f>
        <v>0</v>
      </c>
      <c r="I20" s="35">
        <f>IF(Single.Stream!$D$115="Yes",Single.Stream!H153*G20,0)</f>
        <v>0</v>
      </c>
      <c r="J20" s="36">
        <f>IF(Single.Stream!$D$116="Yes",Single.Stream!I153*H20,0)</f>
        <v>0</v>
      </c>
      <c r="K20" s="37">
        <f>IF(Single.Stream!$D$117="Yes",Single.Stream!J153*(I65+J65),0)</f>
        <v>0</v>
      </c>
      <c r="L20" s="34">
        <f>IF(Single.Stream!$D$118="Yes",Single.Stream!K153*H65,0)</f>
        <v>0</v>
      </c>
      <c r="M20" s="36">
        <f>IF(Single.Stream!$D$119="Yes",Single.Stream!L153*(L20),0)</f>
        <v>0</v>
      </c>
      <c r="N20" s="34">
        <f>IF(Single.Stream!$D$120="Yes",Single.Stream!M153*M65,0)</f>
        <v>0</v>
      </c>
      <c r="O20" s="37">
        <f>IF(Single.Stream!$D$121="Yes",IF(Single.Stream!$D$120="Yes",N20,M65)*Single.Stream!N153,0)</f>
        <v>0</v>
      </c>
      <c r="P20" s="38">
        <f>IF(Single.Stream!$D$122="Yes",Single.Stream!O153*(L65+M20),0)</f>
        <v>0</v>
      </c>
      <c r="Q20" s="38">
        <f>IF(Single.Stream!$D$123="Yes",Single.Stream!P153*O65,0)</f>
        <v>0</v>
      </c>
      <c r="R20" s="38">
        <f>IF(Single.Stream!$D$124="Yes",Single.Stream!Q153*P65,0)</f>
        <v>0</v>
      </c>
      <c r="S20" s="38">
        <f>IF(Single.Stream!$D$125="Yes",Single.Stream!R153*Q65,0)</f>
        <v>0</v>
      </c>
      <c r="T20" s="38">
        <f>IF(Single.Stream!$D$126="Yes",Single.Stream!S153*R65,0)</f>
        <v>0</v>
      </c>
      <c r="U20" s="38">
        <f>IF(Single.Stream!$D$127="Yes",Single.Stream!T153*S65,0)</f>
        <v>0</v>
      </c>
      <c r="V20" s="38">
        <f>IF(Single.Stream!$D$128="Yes",Single.Stream!U153*T65,0)</f>
        <v>0</v>
      </c>
      <c r="W20" s="57">
        <f>IF(Single.Stream!$D$129="Yes",Single.Stream!V153*V20,0)</f>
        <v>0</v>
      </c>
      <c r="X20" s="38">
        <f>IF(Single.Stream!$D$130="Yes",Single.Stream!W153*V65,0)</f>
        <v>0</v>
      </c>
      <c r="Y20" s="38">
        <f>IF(Single.Stream!$D$131="Yes",Single.Stream!X153*X65,0)</f>
        <v>0</v>
      </c>
      <c r="Z20" s="38">
        <f>IF(Single.Stream!$D$132="Yes",Single.Stream!Y153*Y65,0)</f>
        <v>0</v>
      </c>
    </row>
    <row r="21" spans="1:28" x14ac:dyDescent="0.35">
      <c r="A21" t="str">
        <f>Common!A91</f>
        <v>HDPE - Translucent Containers</v>
      </c>
      <c r="C21" s="34">
        <f>IF(Single.Stream!$D$109="Yes",Single.Stream!B154*B111,0)</f>
        <v>0</v>
      </c>
      <c r="D21" s="34">
        <f>IF(Single.Stream!$D$110="Yes",Single.Stream!C154*C66,0)</f>
        <v>0</v>
      </c>
      <c r="E21" s="35">
        <f>IF(Single.Stream!$D$111="Yes",Single.Stream!D154*D21,0)</f>
        <v>0</v>
      </c>
      <c r="F21" s="34">
        <f>IF(Single.Stream!$D$112="Yes",Single.Stream!E154*D66,0)</f>
        <v>0</v>
      </c>
      <c r="G21" s="34">
        <f>IF(Single.Stream!$D$113="Yes",Single.Stream!F154*F66,0)</f>
        <v>0</v>
      </c>
      <c r="H21" s="34">
        <f>IF(Single.Stream!$D$114="Yes",Single.Stream!G154*G66,0)</f>
        <v>0</v>
      </c>
      <c r="I21" s="35">
        <f>IF(Single.Stream!$D$115="Yes",Single.Stream!H154*G21,0)</f>
        <v>0</v>
      </c>
      <c r="J21" s="36">
        <f>IF(Single.Stream!$D$116="Yes",Single.Stream!I154*H21,0)</f>
        <v>0</v>
      </c>
      <c r="K21" s="37">
        <f>IF(Single.Stream!$D$117="Yes",Single.Stream!J154*(I66+J66),0)</f>
        <v>0</v>
      </c>
      <c r="L21" s="34">
        <f>IF(Single.Stream!$D$118="Yes",Single.Stream!K154*H66,0)</f>
        <v>5.5000000000000007E-2</v>
      </c>
      <c r="M21" s="36">
        <f>IF(Single.Stream!$D$119="Yes",Single.Stream!L154*(L21),0)</f>
        <v>5.3350000000000009E-2</v>
      </c>
      <c r="N21" s="34">
        <f>IF(Single.Stream!$D$120="Yes",Single.Stream!M154*M66,0)</f>
        <v>0</v>
      </c>
      <c r="O21" s="37">
        <f>IF(Single.Stream!$D$121="Yes",IF(Single.Stream!$D$120="Yes",N21,M66)*Single.Stream!N154,0)</f>
        <v>0</v>
      </c>
      <c r="P21" s="38">
        <f>IF(Single.Stream!$D$122="Yes",Single.Stream!O154*(L66+M21),0)</f>
        <v>0</v>
      </c>
      <c r="Q21" s="38">
        <f>IF(Single.Stream!$D$123="Yes",Single.Stream!P154*O66,0)</f>
        <v>0</v>
      </c>
      <c r="R21" s="38">
        <f>IF(Single.Stream!$D$124="Yes",Single.Stream!Q154*P66,0)</f>
        <v>1.0763830000000001</v>
      </c>
      <c r="S21" s="38">
        <f>IF(Single.Stream!$D$125="Yes",Single.Stream!R154*Q66,0)</f>
        <v>0</v>
      </c>
      <c r="T21" s="38">
        <f>IF(Single.Stream!$D$126="Yes",Single.Stream!S154*R66,0)</f>
        <v>0</v>
      </c>
      <c r="U21" s="38">
        <f>IF(Single.Stream!$D$127="Yes",Single.Stream!T154*S66,0)</f>
        <v>0</v>
      </c>
      <c r="V21" s="38">
        <f>IF(Single.Stream!$D$128="Yes",Single.Stream!U154*T66,0)</f>
        <v>0</v>
      </c>
      <c r="W21" s="57">
        <f>IF(Single.Stream!$D$129="Yes",Single.Stream!V154*V21,0)</f>
        <v>0</v>
      </c>
      <c r="X21" s="38">
        <f>IF(Single.Stream!$D$130="Yes",Single.Stream!W154*V66,0)</f>
        <v>0</v>
      </c>
      <c r="Y21" s="38">
        <f>IF(Single.Stream!$D$131="Yes",Single.Stream!X154*X66,0)</f>
        <v>0</v>
      </c>
      <c r="Z21" s="38">
        <f>IF(Single.Stream!$D$132="Yes",Single.Stream!Y154*Y66,0)</f>
        <v>0</v>
      </c>
    </row>
    <row r="22" spans="1:28" x14ac:dyDescent="0.35">
      <c r="A22" t="str">
        <f>Common!A92</f>
        <v>HDPE - Pigmented Containers</v>
      </c>
      <c r="C22" s="34">
        <f>IF(Single.Stream!$D$109="Yes",Single.Stream!B155*B112,0)</f>
        <v>0</v>
      </c>
      <c r="D22" s="34">
        <f>IF(Single.Stream!$D$110="Yes",Single.Stream!C155*C67,0)</f>
        <v>0</v>
      </c>
      <c r="E22" s="35">
        <f>IF(Single.Stream!$D$111="Yes",Single.Stream!D155*D22,0)</f>
        <v>0</v>
      </c>
      <c r="F22" s="34">
        <f>IF(Single.Stream!$D$112="Yes",Single.Stream!E155*D67,0)</f>
        <v>0</v>
      </c>
      <c r="G22" s="34">
        <f>IF(Single.Stream!$D$113="Yes",Single.Stream!F155*F67,0)</f>
        <v>0</v>
      </c>
      <c r="H22" s="34">
        <f>IF(Single.Stream!$D$114="Yes",Single.Stream!G155*G67,0)</f>
        <v>0</v>
      </c>
      <c r="I22" s="35">
        <f>IF(Single.Stream!$D$115="Yes",Single.Stream!H155*G22,0)</f>
        <v>0</v>
      </c>
      <c r="J22" s="36">
        <f>IF(Single.Stream!$D$116="Yes",Single.Stream!I155*H22,0)</f>
        <v>0</v>
      </c>
      <c r="K22" s="37">
        <f>IF(Single.Stream!$D$117="Yes",Single.Stream!J155*(I67+J67),0)</f>
        <v>0</v>
      </c>
      <c r="L22" s="34">
        <f>IF(Single.Stream!$D$118="Yes",Single.Stream!K155*H67,0)</f>
        <v>0.1</v>
      </c>
      <c r="M22" s="36">
        <f>IF(Single.Stream!$D$119="Yes",Single.Stream!L155*(L22),0)</f>
        <v>9.7000000000000003E-2</v>
      </c>
      <c r="N22" s="34">
        <f>IF(Single.Stream!$D$120="Yes",Single.Stream!M155*M67,0)</f>
        <v>0</v>
      </c>
      <c r="O22" s="37">
        <f>IF(Single.Stream!$D$121="Yes",IF(Single.Stream!$D$120="Yes",N22,M67)*Single.Stream!N155,0)</f>
        <v>0</v>
      </c>
      <c r="P22" s="38">
        <f>IF(Single.Stream!$D$122="Yes",Single.Stream!O155*(L67+M22),0)</f>
        <v>0</v>
      </c>
      <c r="Q22" s="38">
        <f>IF(Single.Stream!$D$123="Yes",Single.Stream!P155*O67,0)</f>
        <v>0</v>
      </c>
      <c r="R22" s="38">
        <f>IF(Single.Stream!$D$124="Yes",Single.Stream!Q155*P67,0)</f>
        <v>1.9570599999999998</v>
      </c>
      <c r="S22" s="38">
        <f>IF(Single.Stream!$D$125="Yes",Single.Stream!R155*Q67,0)</f>
        <v>0</v>
      </c>
      <c r="T22" s="38">
        <f>IF(Single.Stream!$D$126="Yes",Single.Stream!S155*R67,0)</f>
        <v>0</v>
      </c>
      <c r="U22" s="38">
        <f>IF(Single.Stream!$D$127="Yes",Single.Stream!T155*S67,0)</f>
        <v>0</v>
      </c>
      <c r="V22" s="38">
        <f>IF(Single.Stream!$D$128="Yes",Single.Stream!U155*T67,0)</f>
        <v>0</v>
      </c>
      <c r="W22" s="57">
        <f>IF(Single.Stream!$D$129="Yes",Single.Stream!V155*V22,0)</f>
        <v>0</v>
      </c>
      <c r="X22" s="38">
        <f>IF(Single.Stream!$D$130="Yes",Single.Stream!W155*V67,0)</f>
        <v>0</v>
      </c>
      <c r="Y22" s="38">
        <f>IF(Single.Stream!$D$131="Yes",Single.Stream!X155*X67,0)</f>
        <v>0</v>
      </c>
      <c r="Z22" s="38">
        <f>IF(Single.Stream!$D$132="Yes",Single.Stream!Y155*Y67,0)</f>
        <v>0</v>
      </c>
    </row>
    <row r="23" spans="1:28" x14ac:dyDescent="0.35">
      <c r="A23" t="str">
        <f>Common!A93</f>
        <v>PET - Containers</v>
      </c>
      <c r="C23" s="34">
        <f>IF(Single.Stream!$D$109="Yes",Single.Stream!B156*B113,0)</f>
        <v>0</v>
      </c>
      <c r="D23" s="34">
        <f>IF(Single.Stream!$D$110="Yes",Single.Stream!C156*C68,0)</f>
        <v>0</v>
      </c>
      <c r="E23" s="35">
        <f>IF(Single.Stream!$D$111="Yes",Single.Stream!D156*D23,0)</f>
        <v>0</v>
      </c>
      <c r="F23" s="34">
        <f>IF(Single.Stream!$D$112="Yes",Single.Stream!E156*D68,0)</f>
        <v>0</v>
      </c>
      <c r="G23" s="34">
        <f>IF(Single.Stream!$D$113="Yes",Single.Stream!F156*F68,0)</f>
        <v>0</v>
      </c>
      <c r="H23" s="34">
        <f>IF(Single.Stream!$D$114="Yes",Single.Stream!G156*G68,0)</f>
        <v>0</v>
      </c>
      <c r="I23" s="35">
        <f>IF(Single.Stream!$D$115="Yes",Single.Stream!H156*G23,0)</f>
        <v>0</v>
      </c>
      <c r="J23" s="36">
        <f>IF(Single.Stream!$D$116="Yes",Single.Stream!I156*H23,0)</f>
        <v>0</v>
      </c>
      <c r="K23" s="37">
        <f>IF(Single.Stream!$D$117="Yes",Single.Stream!J156*(I68+J68),0)</f>
        <v>0</v>
      </c>
      <c r="L23" s="34">
        <f>IF(Single.Stream!$D$118="Yes",Single.Stream!K156*H68,0)</f>
        <v>0.18500000000000003</v>
      </c>
      <c r="M23" s="36">
        <f>IF(Single.Stream!$D$119="Yes",Single.Stream!L156*(L23),0)</f>
        <v>0.17945000000000003</v>
      </c>
      <c r="N23" s="34">
        <f>IF(Single.Stream!$D$120="Yes",Single.Stream!M156*M68,0)</f>
        <v>0</v>
      </c>
      <c r="O23" s="37">
        <f>IF(Single.Stream!$D$121="Yes",IF(Single.Stream!$D$120="Yes",N23,M68)*Single.Stream!N156,0)</f>
        <v>0</v>
      </c>
      <c r="P23" s="38">
        <f>IF(Single.Stream!$D$122="Yes",Single.Stream!O156*(L68+M23),0)</f>
        <v>3.6205610000000004</v>
      </c>
      <c r="Q23" s="38">
        <f>IF(Single.Stream!$D$123="Yes",Single.Stream!P156*O68,0)</f>
        <v>0</v>
      </c>
      <c r="R23" s="38">
        <f>IF(Single.Stream!$D$124="Yes",Single.Stream!Q156*P68,0)</f>
        <v>0</v>
      </c>
      <c r="S23" s="38">
        <f>IF(Single.Stream!$D$125="Yes",Single.Stream!R156*Q68,0)</f>
        <v>0</v>
      </c>
      <c r="T23" s="38">
        <f>IF(Single.Stream!$D$126="Yes",Single.Stream!S156*R68,0)</f>
        <v>0</v>
      </c>
      <c r="U23" s="38">
        <f>IF(Single.Stream!$D$127="Yes",Single.Stream!T156*S68,0)</f>
        <v>0</v>
      </c>
      <c r="V23" s="38">
        <f>IF(Single.Stream!$D$128="Yes",Single.Stream!U156*T68,0)</f>
        <v>0</v>
      </c>
      <c r="W23" s="57">
        <f>IF(Single.Stream!$D$129="Yes",Single.Stream!V156*V23,0)</f>
        <v>0</v>
      </c>
      <c r="X23" s="38">
        <f>IF(Single.Stream!$D$130="Yes",Single.Stream!W156*V68,0)</f>
        <v>0</v>
      </c>
      <c r="Y23" s="38">
        <f>IF(Single.Stream!$D$131="Yes",Single.Stream!X156*X68,0)</f>
        <v>0</v>
      </c>
      <c r="Z23" s="38">
        <f>IF(Single.Stream!$D$132="Yes",Single.Stream!Y156*Y68,0)</f>
        <v>0</v>
      </c>
    </row>
    <row r="24" spans="1:28" x14ac:dyDescent="0.35">
      <c r="A24" t="str">
        <f>Common!A94</f>
        <v>Plastic - Other # 1, Polypropylene</v>
      </c>
      <c r="C24" s="34">
        <f>IF(Single.Stream!$D$109="Yes",Single.Stream!B157*B114,0)</f>
        <v>0</v>
      </c>
      <c r="D24" s="34">
        <f>IF(Single.Stream!$D$110="Yes",Single.Stream!C157*C69,0)</f>
        <v>0</v>
      </c>
      <c r="E24" s="35">
        <f>IF(Single.Stream!$D$111="Yes",Single.Stream!D157*D24,0)</f>
        <v>0</v>
      </c>
      <c r="F24" s="34">
        <f>IF(Single.Stream!$D$112="Yes",Single.Stream!E157*D69,0)</f>
        <v>0</v>
      </c>
      <c r="G24" s="34">
        <f>IF(Single.Stream!$D$113="Yes",Single.Stream!F157*F69,0)</f>
        <v>0</v>
      </c>
      <c r="H24" s="34">
        <f>IF(Single.Stream!$D$114="Yes",Single.Stream!G157*G69,0)</f>
        <v>0</v>
      </c>
      <c r="I24" s="35">
        <f>IF(Single.Stream!$D$115="Yes",Single.Stream!H157*G24,0)</f>
        <v>0</v>
      </c>
      <c r="J24" s="36">
        <f>IF(Single.Stream!$D$116="Yes",Single.Stream!I157*H24,0)</f>
        <v>0</v>
      </c>
      <c r="K24" s="37">
        <f>IF(Single.Stream!$D$117="Yes",Single.Stream!J157*(I69+J69),0)</f>
        <v>0</v>
      </c>
      <c r="L24" s="34">
        <f>IF(Single.Stream!$D$118="Yes",Single.Stream!K157*H69,0)</f>
        <v>4.9999999999999998E-8</v>
      </c>
      <c r="M24" s="36">
        <f>IF(Single.Stream!$D$119="Yes",Single.Stream!L157*(L24),0)</f>
        <v>4.8499999999999998E-8</v>
      </c>
      <c r="N24" s="34">
        <f>IF(Single.Stream!$D$120="Yes",Single.Stream!M157*M69,0)</f>
        <v>0</v>
      </c>
      <c r="O24" s="37">
        <f>IF(Single.Stream!$D$121="Yes",IF(Single.Stream!$D$120="Yes",N24,M69)*Single.Stream!N157,0)</f>
        <v>0</v>
      </c>
      <c r="P24" s="38">
        <f>IF(Single.Stream!$D$122="Yes",Single.Stream!O157*(L69+M24),0)</f>
        <v>0</v>
      </c>
      <c r="Q24" s="38">
        <f>IF(Single.Stream!$D$123="Yes",Single.Stream!P157*O69,0)</f>
        <v>0</v>
      </c>
      <c r="R24" s="38">
        <f>IF(Single.Stream!$D$124="Yes",Single.Stream!Q157*P69,0)</f>
        <v>0</v>
      </c>
      <c r="S24" s="38">
        <f>IF(Single.Stream!$D$125="Yes",Single.Stream!R157*Q69,0)</f>
        <v>0</v>
      </c>
      <c r="T24" s="38">
        <f>IF(Single.Stream!$D$126="Yes",Single.Stream!S157*R69,0)</f>
        <v>0</v>
      </c>
      <c r="U24" s="38">
        <f>IF(Single.Stream!$D$127="Yes",Single.Stream!T157*S69,0)</f>
        <v>0</v>
      </c>
      <c r="V24" s="38">
        <f>IF(Single.Stream!$D$128="Yes",Single.Stream!U157*T69,0)</f>
        <v>0</v>
      </c>
      <c r="W24" s="57">
        <f>IF(Single.Stream!$D$129="Yes",Single.Stream!V157*V24,0)</f>
        <v>0</v>
      </c>
      <c r="X24" s="38">
        <f>IF(Single.Stream!$D$130="Yes",Single.Stream!W157*V69,0)</f>
        <v>0</v>
      </c>
      <c r="Y24" s="38">
        <f>IF(Single.Stream!$D$131="Yes",Single.Stream!X157*X69,0)</f>
        <v>0</v>
      </c>
      <c r="Z24" s="38">
        <f>IF(Single.Stream!$D$132="Yes",Single.Stream!Y157*Y69,0)</f>
        <v>0</v>
      </c>
    </row>
    <row r="25" spans="1:28" x14ac:dyDescent="0.35">
      <c r="A25" t="str">
        <f>Common!A95</f>
        <v>Plastic - Other # 2</v>
      </c>
      <c r="C25" s="34">
        <f>IF(Single.Stream!$D$109="Yes",Single.Stream!B158*B115,0)</f>
        <v>0</v>
      </c>
      <c r="D25" s="34">
        <f>IF(Single.Stream!$D$110="Yes",Single.Stream!C158*C70,0)</f>
        <v>0</v>
      </c>
      <c r="E25" s="35">
        <f>IF(Single.Stream!$D$111="Yes",Single.Stream!D158*D25,0)</f>
        <v>0</v>
      </c>
      <c r="F25" s="34">
        <f>IF(Single.Stream!$D$112="Yes",Single.Stream!E158*D70,0)</f>
        <v>0</v>
      </c>
      <c r="G25" s="34">
        <f>IF(Single.Stream!$D$113="Yes",Single.Stream!F158*F70,0)</f>
        <v>0</v>
      </c>
      <c r="H25" s="34">
        <f>IF(Single.Stream!$D$114="Yes",Single.Stream!G158*G70,0)</f>
        <v>0</v>
      </c>
      <c r="I25" s="35">
        <f>IF(Single.Stream!$D$115="Yes",Single.Stream!H158*G25,0)</f>
        <v>0</v>
      </c>
      <c r="J25" s="36">
        <f>IF(Single.Stream!$D$116="Yes",Single.Stream!I158*H25,0)</f>
        <v>0</v>
      </c>
      <c r="K25" s="37">
        <f>IF(Single.Stream!$D$117="Yes",Single.Stream!J158*(I70+J70),0)</f>
        <v>0</v>
      </c>
      <c r="L25" s="34">
        <f>IF(Single.Stream!$D$118="Yes",Single.Stream!K158*H70,0)</f>
        <v>4.9999999999999998E-8</v>
      </c>
      <c r="M25" s="36">
        <f>IF(Single.Stream!$D$119="Yes",Single.Stream!L158*(L25),0)</f>
        <v>4.8499999999999998E-8</v>
      </c>
      <c r="N25" s="34">
        <f>IF(Single.Stream!$D$120="Yes",Single.Stream!M158*M70,0)</f>
        <v>0</v>
      </c>
      <c r="O25" s="37">
        <f>IF(Single.Stream!$D$121="Yes",IF(Single.Stream!$D$120="Yes",N25,M70)*Single.Stream!N158,0)</f>
        <v>0</v>
      </c>
      <c r="P25" s="38">
        <f>IF(Single.Stream!$D$122="Yes",Single.Stream!O158*(L70+M25),0)</f>
        <v>0</v>
      </c>
      <c r="Q25" s="38">
        <f>IF(Single.Stream!$D$123="Yes",Single.Stream!P158*O70,0)</f>
        <v>0</v>
      </c>
      <c r="R25" s="38">
        <f>IF(Single.Stream!$D$124="Yes",Single.Stream!Q158*P70,0)</f>
        <v>0</v>
      </c>
      <c r="S25" s="38">
        <f>IF(Single.Stream!$D$125="Yes",Single.Stream!R158*Q70,0)</f>
        <v>0</v>
      </c>
      <c r="T25" s="38">
        <f>IF(Single.Stream!$D$126="Yes",Single.Stream!S158*R70,0)</f>
        <v>0</v>
      </c>
      <c r="U25" s="38">
        <f>IF(Single.Stream!$D$127="Yes",Single.Stream!T158*S70,0)</f>
        <v>0</v>
      </c>
      <c r="V25" s="38">
        <f>IF(Single.Stream!$D$128="Yes",Single.Stream!U158*T70,0)</f>
        <v>0</v>
      </c>
      <c r="W25" s="57">
        <f>IF(Single.Stream!$D$129="Yes",Single.Stream!V158*V25,0)</f>
        <v>0</v>
      </c>
      <c r="X25" s="38">
        <f>IF(Single.Stream!$D$130="Yes",Single.Stream!W158*V70,0)</f>
        <v>0</v>
      </c>
      <c r="Y25" s="38">
        <f>IF(Single.Stream!$D$131="Yes",Single.Stream!X158*X70,0)</f>
        <v>0</v>
      </c>
      <c r="Z25" s="38">
        <f>IF(Single.Stream!$D$132="Yes",Single.Stream!Y158*Y70,0)</f>
        <v>0</v>
      </c>
    </row>
    <row r="26" spans="1:28" x14ac:dyDescent="0.35">
      <c r="A26" t="str">
        <f>Common!A96</f>
        <v>Mixed Plastic</v>
      </c>
      <c r="C26" s="34">
        <f>IF(Single.Stream!$D$109="Yes",Single.Stream!B159*B116,0)</f>
        <v>0</v>
      </c>
      <c r="D26" s="34">
        <f>IF(Single.Stream!$D$110="Yes",Single.Stream!C159*C71,0)</f>
        <v>0</v>
      </c>
      <c r="E26" s="35">
        <f>IF(Single.Stream!$D$111="Yes",Single.Stream!D159*D26,0)</f>
        <v>0</v>
      </c>
      <c r="F26" s="34">
        <f>IF(Single.Stream!$D$112="Yes",Single.Stream!E159*D71,0)</f>
        <v>0</v>
      </c>
      <c r="G26" s="34">
        <f>IF(Single.Stream!$D$113="Yes",Single.Stream!F159*F71,0)</f>
        <v>0</v>
      </c>
      <c r="H26" s="34">
        <f>IF(Single.Stream!$D$114="Yes",Single.Stream!G159*G71,0)</f>
        <v>0</v>
      </c>
      <c r="I26" s="35">
        <f>IF(Single.Stream!$D$115="Yes",Single.Stream!H159*G26,0)</f>
        <v>0</v>
      </c>
      <c r="J26" s="36">
        <f>IF(Single.Stream!$D$116="Yes",Single.Stream!I159*H26,0)</f>
        <v>0</v>
      </c>
      <c r="K26" s="37">
        <f>IF(Single.Stream!$D$117="Yes",Single.Stream!J159*(I71+J71),0)</f>
        <v>0</v>
      </c>
      <c r="L26" s="34">
        <f>IF(Single.Stream!$D$118="Yes",Single.Stream!K159*H71,0)</f>
        <v>4.9999999999999998E-8</v>
      </c>
      <c r="M26" s="36">
        <f>IF(Single.Stream!$D$119="Yes",Single.Stream!L159*(L26),0)</f>
        <v>4.8499999999999998E-8</v>
      </c>
      <c r="N26" s="34">
        <f>IF(Single.Stream!$D$120="Yes",Single.Stream!M159*M71,0)</f>
        <v>0</v>
      </c>
      <c r="O26" s="37">
        <f>IF(Single.Stream!$D$121="Yes",IF(Single.Stream!$D$120="Yes",N26,M71)*Single.Stream!N159,0)</f>
        <v>0</v>
      </c>
      <c r="P26" s="38">
        <f>IF(Single.Stream!$D$122="Yes",Single.Stream!O159*(L71+M26),0)</f>
        <v>0</v>
      </c>
      <c r="Q26" s="38">
        <f>IF(Single.Stream!$D$123="Yes",Single.Stream!P159*O71,0)</f>
        <v>0</v>
      </c>
      <c r="R26" s="38">
        <f>IF(Single.Stream!$D$124="Yes",Single.Stream!Q159*P71,0)</f>
        <v>0</v>
      </c>
      <c r="S26" s="38">
        <f>IF(Single.Stream!$D$125="Yes",Single.Stream!R159*Q71,0)</f>
        <v>0</v>
      </c>
      <c r="T26" s="38">
        <f>IF(Single.Stream!$D$126="Yes",Single.Stream!S159*R71,0)</f>
        <v>0</v>
      </c>
      <c r="U26" s="38">
        <f>IF(Single.Stream!$D$127="Yes",Single.Stream!T159*S71,0)</f>
        <v>0</v>
      </c>
      <c r="V26" s="38">
        <f>IF(Single.Stream!$D$128="Yes",Single.Stream!U159*T71,0)</f>
        <v>0</v>
      </c>
      <c r="W26" s="57">
        <f>IF(Single.Stream!$D$129="Yes",Single.Stream!V159*V26,0)</f>
        <v>0</v>
      </c>
      <c r="X26" s="38">
        <f>IF(Single.Stream!$D$130="Yes",Single.Stream!W159*V71,0)</f>
        <v>0</v>
      </c>
      <c r="Y26" s="38">
        <f>IF(Single.Stream!$D$131="Yes",Single.Stream!X159*X71,0)</f>
        <v>0</v>
      </c>
      <c r="Z26" s="38">
        <f>IF(Single.Stream!$D$132="Yes",Single.Stream!Y159*Y71,0)</f>
        <v>0</v>
      </c>
    </row>
    <row r="27" spans="1:28" x14ac:dyDescent="0.35">
      <c r="A27" t="str">
        <f>Common!A97</f>
        <v>Plastic Film</v>
      </c>
      <c r="C27" s="34">
        <f>IF(Single.Stream!$D$109="Yes",Single.Stream!B160*B117,0)</f>
        <v>0</v>
      </c>
      <c r="D27" s="34">
        <f>IF(Single.Stream!$D$110="Yes",Single.Stream!C160*C72,0)</f>
        <v>4.8600000000000003</v>
      </c>
      <c r="E27" s="35">
        <f>IF(Single.Stream!$D$111="Yes",Single.Stream!D160*D27,0)</f>
        <v>4.8600000000000003</v>
      </c>
      <c r="F27" s="34">
        <f>IF(Single.Stream!$D$112="Yes",Single.Stream!E160*D72,0)</f>
        <v>0</v>
      </c>
      <c r="G27" s="34">
        <f>IF(Single.Stream!$D$113="Yes",Single.Stream!F160*F72,0)</f>
        <v>0</v>
      </c>
      <c r="H27" s="34">
        <f>IF(Single.Stream!$D$114="Yes",Single.Stream!G160*G72,0)</f>
        <v>0</v>
      </c>
      <c r="I27" s="35">
        <f>IF(Single.Stream!$D$115="Yes",Single.Stream!H160*G27,0)</f>
        <v>0</v>
      </c>
      <c r="J27" s="36">
        <f>IF(Single.Stream!$D$116="Yes",Single.Stream!I160*H27,0)</f>
        <v>0</v>
      </c>
      <c r="K27" s="37">
        <f>IF(Single.Stream!$D$117="Yes",Single.Stream!J160*(I72+J72),0)</f>
        <v>0</v>
      </c>
      <c r="L27" s="34">
        <f>IF(Single.Stream!$D$118="Yes",Single.Stream!K160*H72,0)</f>
        <v>0</v>
      </c>
      <c r="M27" s="36">
        <f>IF(Single.Stream!$D$119="Yes",Single.Stream!L160*(L27),0)</f>
        <v>0</v>
      </c>
      <c r="N27" s="34">
        <f>IF(Single.Stream!$D$120="Yes",Single.Stream!M160*M72,0)</f>
        <v>0</v>
      </c>
      <c r="O27" s="37">
        <f>IF(Single.Stream!$D$121="Yes",IF(Single.Stream!$D$120="Yes",N27,M72)*Single.Stream!N160,0)</f>
        <v>0</v>
      </c>
      <c r="P27" s="38">
        <f>IF(Single.Stream!$D$122="Yes",Single.Stream!O160*(L72+M27),0)</f>
        <v>0</v>
      </c>
      <c r="Q27" s="38">
        <f>IF(Single.Stream!$D$123="Yes",Single.Stream!P160*O72,0)</f>
        <v>0</v>
      </c>
      <c r="R27" s="38">
        <f>IF(Single.Stream!$D$124="Yes",Single.Stream!Q160*P72,0)</f>
        <v>0</v>
      </c>
      <c r="S27" s="38">
        <f>IF(Single.Stream!$D$125="Yes",Single.Stream!R160*Q72,0)</f>
        <v>0</v>
      </c>
      <c r="T27" s="38">
        <f>IF(Single.Stream!$D$126="Yes",Single.Stream!S160*R72,0)</f>
        <v>0</v>
      </c>
      <c r="U27" s="38">
        <f>IF(Single.Stream!$D$127="Yes",Single.Stream!T160*S72,0)</f>
        <v>0</v>
      </c>
      <c r="V27" s="38">
        <f>IF(Single.Stream!$D$128="Yes",Single.Stream!U160*T72,0)</f>
        <v>0</v>
      </c>
      <c r="W27" s="57">
        <f>IF(Single.Stream!$D$129="Yes",Single.Stream!V160*V27,0)</f>
        <v>0</v>
      </c>
      <c r="X27" s="38">
        <f>IF(Single.Stream!$D$130="Yes",Single.Stream!W160*V72,0)</f>
        <v>0</v>
      </c>
      <c r="Y27" s="38">
        <f>IF(Single.Stream!$D$131="Yes",Single.Stream!X160*X72,0)</f>
        <v>0</v>
      </c>
      <c r="Z27" s="38">
        <f>IF(Single.Stream!$D$132="Yes",Single.Stream!Y160*Y72,0)</f>
        <v>0</v>
      </c>
    </row>
    <row r="28" spans="1:28" x14ac:dyDescent="0.35">
      <c r="A28" t="str">
        <f>Common!A98</f>
        <v xml:space="preserve">Plastic - Non-Recyclable </v>
      </c>
      <c r="C28" s="34">
        <f>IF(Single.Stream!$D$109="Yes",Single.Stream!B161*B118,0)</f>
        <v>0</v>
      </c>
      <c r="D28" s="34">
        <f>IF(Single.Stream!$D$110="Yes",Single.Stream!C161*C73,0)</f>
        <v>0</v>
      </c>
      <c r="E28" s="35">
        <f>IF(Single.Stream!$D$111="Yes",Single.Stream!D161*D28,0)</f>
        <v>0</v>
      </c>
      <c r="F28" s="34">
        <f>IF(Single.Stream!$D$112="Yes",Single.Stream!E161*D73,0)</f>
        <v>0</v>
      </c>
      <c r="G28" s="34">
        <f>IF(Single.Stream!$D$113="Yes",Single.Stream!F161*F73,0)</f>
        <v>0</v>
      </c>
      <c r="H28" s="34">
        <f>IF(Single.Stream!$D$114="Yes",Single.Stream!G161*G73,0)</f>
        <v>0</v>
      </c>
      <c r="I28" s="35">
        <f>IF(Single.Stream!$D$115="Yes",Single.Stream!H161*G28,0)</f>
        <v>0</v>
      </c>
      <c r="J28" s="36">
        <f>IF(Single.Stream!$D$116="Yes",Single.Stream!I161*H28,0)</f>
        <v>0</v>
      </c>
      <c r="K28" s="37">
        <f>IF(Single.Stream!$D$117="Yes",Single.Stream!J161*(I73+J73),0)</f>
        <v>0</v>
      </c>
      <c r="L28" s="34">
        <f>IF(Single.Stream!$D$118="Yes",Single.Stream!K161*H73,0)</f>
        <v>0</v>
      </c>
      <c r="M28" s="36">
        <f>IF(Single.Stream!$D$119="Yes",Single.Stream!L161*(L28),0)</f>
        <v>0</v>
      </c>
      <c r="N28" s="34">
        <f>IF(Single.Stream!$D$120="Yes",Single.Stream!M161*M73,0)</f>
        <v>0</v>
      </c>
      <c r="O28" s="37">
        <f>IF(Single.Stream!$D$121="Yes",IF(Single.Stream!$D$120="Yes",N28,M73)*Single.Stream!N161,0)</f>
        <v>0</v>
      </c>
      <c r="P28" s="38">
        <f>IF(Single.Stream!$D$122="Yes",Single.Stream!O161*(L73+M28),0)</f>
        <v>0</v>
      </c>
      <c r="Q28" s="38">
        <f>IF(Single.Stream!$D$123="Yes",Single.Stream!P161*O73,0)</f>
        <v>0</v>
      </c>
      <c r="R28" s="38">
        <f>IF(Single.Stream!$D$124="Yes",Single.Stream!Q161*P73,0)</f>
        <v>0</v>
      </c>
      <c r="S28" s="38">
        <f>IF(Single.Stream!$D$125="Yes",Single.Stream!R161*Q73,0)</f>
        <v>0</v>
      </c>
      <c r="T28" s="38">
        <f>IF(Single.Stream!$D$126="Yes",Single.Stream!S161*R73,0)</f>
        <v>0</v>
      </c>
      <c r="U28" s="38">
        <f>IF(Single.Stream!$D$127="Yes",Single.Stream!T161*S73,0)</f>
        <v>0</v>
      </c>
      <c r="V28" s="38">
        <f>IF(Single.Stream!$D$128="Yes",Single.Stream!U161*T73,0)</f>
        <v>0</v>
      </c>
      <c r="W28" s="57">
        <f>IF(Single.Stream!$D$129="Yes",Single.Stream!V161*V28,0)</f>
        <v>0</v>
      </c>
      <c r="X28" s="38">
        <f>IF(Single.Stream!$D$130="Yes",Single.Stream!W161*V73,0)</f>
        <v>0</v>
      </c>
      <c r="Y28" s="38">
        <f>IF(Single.Stream!$D$131="Yes",Single.Stream!X161*X73,0)</f>
        <v>0</v>
      </c>
      <c r="Z28" s="38">
        <f>IF(Single.Stream!$D$132="Yes",Single.Stream!Y161*Y73,0)</f>
        <v>0</v>
      </c>
    </row>
    <row r="29" spans="1:28" x14ac:dyDescent="0.35">
      <c r="A29" t="str">
        <f>Common!A99</f>
        <v>Ferrous Cans</v>
      </c>
      <c r="C29" s="34">
        <f>IF(Single.Stream!$D$109="Yes",Single.Stream!B162*B119,0)</f>
        <v>0</v>
      </c>
      <c r="D29" s="34">
        <f>IF(Single.Stream!$D$110="Yes",Single.Stream!C162*C74,0)</f>
        <v>0</v>
      </c>
      <c r="E29" s="35">
        <f>IF(Single.Stream!$D$111="Yes",Single.Stream!D162*D29,0)</f>
        <v>0</v>
      </c>
      <c r="F29" s="34">
        <f>IF(Single.Stream!$D$112="Yes",Single.Stream!E162*D74,0)</f>
        <v>0</v>
      </c>
      <c r="G29" s="34">
        <f>IF(Single.Stream!$D$113="Yes",Single.Stream!F162*F74,0)</f>
        <v>0</v>
      </c>
      <c r="H29" s="34">
        <f>IF(Single.Stream!$D$114="Yes",Single.Stream!G162*G74,0)</f>
        <v>0</v>
      </c>
      <c r="I29" s="35">
        <f>IF(Single.Stream!$D$115="Yes",Single.Stream!H162*G29,0)</f>
        <v>0</v>
      </c>
      <c r="J29" s="36">
        <f>IF(Single.Stream!$D$116="Yes",Single.Stream!I162*H29,0)</f>
        <v>0</v>
      </c>
      <c r="K29" s="37">
        <f>IF(Single.Stream!$D$117="Yes",Single.Stream!J162*(I74+J74),0)</f>
        <v>0</v>
      </c>
      <c r="L29" s="34">
        <f>IF(Single.Stream!$D$118="Yes",Single.Stream!K162*H74,0)</f>
        <v>0</v>
      </c>
      <c r="M29" s="36">
        <f>IF(Single.Stream!$D$119="Yes",Single.Stream!L162*(L29),0)</f>
        <v>0</v>
      </c>
      <c r="N29" s="34">
        <f>IF(Single.Stream!$D$120="Yes",Single.Stream!M162*M74,0)</f>
        <v>0</v>
      </c>
      <c r="O29" s="37">
        <f>IF(Single.Stream!$D$121="Yes",IF(Single.Stream!$D$120="Yes",N29,M74)*Single.Stream!N162,0)</f>
        <v>0</v>
      </c>
      <c r="P29" s="38">
        <f>IF(Single.Stream!$D$122="Yes",Single.Stream!O162*(L74+M29),0)</f>
        <v>0</v>
      </c>
      <c r="Q29" s="38">
        <f>IF(Single.Stream!$D$123="Yes",Single.Stream!P162*O74,0)</f>
        <v>0</v>
      </c>
      <c r="R29" s="38">
        <f>IF(Single.Stream!$D$124="Yes",Single.Stream!Q162*P74,0)</f>
        <v>0</v>
      </c>
      <c r="S29" s="38">
        <f>IF(Single.Stream!$D$125="Yes",Single.Stream!R162*Q74,0)</f>
        <v>0</v>
      </c>
      <c r="T29" s="38">
        <f>IF(Single.Stream!$D$126="Yes",Single.Stream!S162*R74,0)</f>
        <v>3.1360000000000001</v>
      </c>
      <c r="U29" s="38">
        <f>IF(Single.Stream!$D$127="Yes",Single.Stream!T162*S74,0)</f>
        <v>0</v>
      </c>
      <c r="V29" s="38">
        <f>IF(Single.Stream!$D$128="Yes",Single.Stream!U162*T74,0)</f>
        <v>0</v>
      </c>
      <c r="W29" s="57">
        <f>IF(Single.Stream!$D$129="Yes",Single.Stream!V162*V29,0)</f>
        <v>0</v>
      </c>
      <c r="X29" s="38">
        <f>IF(Single.Stream!$D$130="Yes",Single.Stream!W162*V74,0)</f>
        <v>0</v>
      </c>
      <c r="Y29" s="38">
        <f>IF(Single.Stream!$D$131="Yes",Single.Stream!X162*X74,0)</f>
        <v>0</v>
      </c>
      <c r="Z29" s="38">
        <f>IF(Single.Stream!$D$132="Yes",Single.Stream!Y162*Y74,0)</f>
        <v>0</v>
      </c>
    </row>
    <row r="30" spans="1:28" x14ac:dyDescent="0.35">
      <c r="A30" t="str">
        <f>Common!A100</f>
        <v>Ferrous Metal - Other</v>
      </c>
      <c r="C30" s="34">
        <f>IF(Single.Stream!$D$109="Yes",Single.Stream!B163*B120,0)</f>
        <v>0</v>
      </c>
      <c r="D30" s="34">
        <f>IF(Single.Stream!$D$110="Yes",Single.Stream!C163*C75,0)</f>
        <v>0</v>
      </c>
      <c r="E30" s="35">
        <f>IF(Single.Stream!$D$111="Yes",Single.Stream!D163*D30,0)</f>
        <v>0</v>
      </c>
      <c r="F30" s="34">
        <f>IF(Single.Stream!$D$112="Yes",Single.Stream!E163*D75,0)</f>
        <v>0</v>
      </c>
      <c r="G30" s="34">
        <f>IF(Single.Stream!$D$113="Yes",Single.Stream!F163*F75,0)</f>
        <v>0</v>
      </c>
      <c r="H30" s="34">
        <f>IF(Single.Stream!$D$114="Yes",Single.Stream!G163*G75,0)</f>
        <v>0</v>
      </c>
      <c r="I30" s="35">
        <f>IF(Single.Stream!$D$115="Yes",Single.Stream!H163*G30,0)</f>
        <v>0</v>
      </c>
      <c r="J30" s="36">
        <f>IF(Single.Stream!$D$116="Yes",Single.Stream!I163*H30,0)</f>
        <v>0</v>
      </c>
      <c r="K30" s="37">
        <f>IF(Single.Stream!$D$117="Yes",Single.Stream!J163*(I75+J75),0)</f>
        <v>0</v>
      </c>
      <c r="L30" s="34">
        <f>IF(Single.Stream!$D$118="Yes",Single.Stream!K163*H75,0)</f>
        <v>0</v>
      </c>
      <c r="M30" s="36">
        <f>IF(Single.Stream!$D$119="Yes",Single.Stream!L163*(L30),0)</f>
        <v>0</v>
      </c>
      <c r="N30" s="34">
        <f>IF(Single.Stream!$D$120="Yes",Single.Stream!M163*M75,0)</f>
        <v>0</v>
      </c>
      <c r="O30" s="37">
        <f>IF(Single.Stream!$D$121="Yes",IF(Single.Stream!$D$120="Yes",N30,M75)*Single.Stream!N163,0)</f>
        <v>0</v>
      </c>
      <c r="P30" s="38">
        <f>IF(Single.Stream!$D$122="Yes",Single.Stream!O163*(L75+M30),0)</f>
        <v>0</v>
      </c>
      <c r="Q30" s="38">
        <f>IF(Single.Stream!$D$123="Yes",Single.Stream!P163*O75,0)</f>
        <v>0</v>
      </c>
      <c r="R30" s="38">
        <f>IF(Single.Stream!$D$124="Yes",Single.Stream!Q163*P75,0)</f>
        <v>0</v>
      </c>
      <c r="S30" s="38">
        <f>IF(Single.Stream!$D$125="Yes",Single.Stream!R163*Q75,0)</f>
        <v>0</v>
      </c>
      <c r="T30" s="38">
        <f>IF(Single.Stream!$D$126="Yes",Single.Stream!S163*R75,0)</f>
        <v>0.58799999999999997</v>
      </c>
      <c r="U30" s="38">
        <f>IF(Single.Stream!$D$127="Yes",Single.Stream!T163*S75,0)</f>
        <v>0</v>
      </c>
      <c r="V30" s="38">
        <f>IF(Single.Stream!$D$128="Yes",Single.Stream!U163*T75,0)</f>
        <v>0</v>
      </c>
      <c r="W30" s="57">
        <f>IF(Single.Stream!$D$129="Yes",Single.Stream!V163*V30,0)</f>
        <v>0</v>
      </c>
      <c r="X30" s="38">
        <f>IF(Single.Stream!$D$130="Yes",Single.Stream!W163*V75,0)</f>
        <v>0</v>
      </c>
      <c r="Y30" s="38">
        <f>IF(Single.Stream!$D$131="Yes",Single.Stream!X163*X75,0)</f>
        <v>0</v>
      </c>
      <c r="Z30" s="38">
        <f>IF(Single.Stream!$D$132="Yes",Single.Stream!Y163*Y75,0)</f>
        <v>0</v>
      </c>
    </row>
    <row r="31" spans="1:28" x14ac:dyDescent="0.35">
      <c r="A31" t="str">
        <f>Common!A101</f>
        <v>Aluminum Cans</v>
      </c>
      <c r="C31" s="34">
        <f>IF(Single.Stream!$D$109="Yes",Single.Stream!B164*B121,0)</f>
        <v>0</v>
      </c>
      <c r="D31" s="34">
        <f>IF(Single.Stream!$D$110="Yes",Single.Stream!C164*C76,0)</f>
        <v>0</v>
      </c>
      <c r="E31" s="35">
        <f>IF(Single.Stream!$D$111="Yes",Single.Stream!D164*D31,0)</f>
        <v>0</v>
      </c>
      <c r="F31" s="34">
        <f>IF(Single.Stream!$D$112="Yes",Single.Stream!E164*D76,0)</f>
        <v>0</v>
      </c>
      <c r="G31" s="34">
        <f>IF(Single.Stream!$D$113="Yes",Single.Stream!F164*F76,0)</f>
        <v>0</v>
      </c>
      <c r="H31" s="34">
        <f>IF(Single.Stream!$D$114="Yes",Single.Stream!G164*G76,0)</f>
        <v>0</v>
      </c>
      <c r="I31" s="35">
        <f>IF(Single.Stream!$D$115="Yes",Single.Stream!H164*G31,0)</f>
        <v>0</v>
      </c>
      <c r="J31" s="36">
        <f>IF(Single.Stream!$D$116="Yes",Single.Stream!I164*H31,0)</f>
        <v>0</v>
      </c>
      <c r="K31" s="37">
        <f>IF(Single.Stream!$D$117="Yes",Single.Stream!J164*(I76+J76),0)</f>
        <v>0</v>
      </c>
      <c r="L31" s="34">
        <f>IF(Single.Stream!$D$118="Yes",Single.Stream!K164*H76,0)</f>
        <v>0</v>
      </c>
      <c r="M31" s="36">
        <f>IF(Single.Stream!$D$119="Yes",Single.Stream!L164*(L31),0)</f>
        <v>0</v>
      </c>
      <c r="N31" s="34">
        <f>IF(Single.Stream!$D$120="Yes",Single.Stream!M164*M76,0)</f>
        <v>0</v>
      </c>
      <c r="O31" s="37">
        <f>IF(Single.Stream!$D$121="Yes",IF(Single.Stream!$D$120="Yes",N31,M76)*Single.Stream!N164,0)</f>
        <v>0</v>
      </c>
      <c r="P31" s="38">
        <f>IF(Single.Stream!$D$122="Yes",Single.Stream!O164*(L76+M31),0)</f>
        <v>0</v>
      </c>
      <c r="Q31" s="38">
        <f>IF(Single.Stream!$D$123="Yes",Single.Stream!P164*O76,0)</f>
        <v>0</v>
      </c>
      <c r="R31" s="38">
        <f>IF(Single.Stream!$D$124="Yes",Single.Stream!Q164*P76,0)</f>
        <v>0</v>
      </c>
      <c r="S31" s="38">
        <f>IF(Single.Stream!$D$125="Yes",Single.Stream!R164*Q76,0)</f>
        <v>0</v>
      </c>
      <c r="T31" s="38">
        <f>IF(Single.Stream!$D$126="Yes",Single.Stream!S164*R76,0)</f>
        <v>0</v>
      </c>
      <c r="U31" s="38">
        <f>IF(Single.Stream!$D$127="Yes",Single.Stream!T164*S76,0)</f>
        <v>0</v>
      </c>
      <c r="V31" s="38">
        <f>IF(Single.Stream!$D$128="Yes",Single.Stream!U164*T76,0)</f>
        <v>1.94</v>
      </c>
      <c r="W31" s="57">
        <f>IF(Single.Stream!$D$129="Yes",Single.Stream!V164*V31,0)</f>
        <v>0</v>
      </c>
      <c r="X31" s="38">
        <f>IF(Single.Stream!$D$130="Yes",Single.Stream!W164*V76,0)</f>
        <v>0</v>
      </c>
      <c r="Y31" s="38">
        <f>IF(Single.Stream!$D$131="Yes",Single.Stream!X164*X76,0)</f>
        <v>0</v>
      </c>
      <c r="Z31" s="38">
        <f>IF(Single.Stream!$D$132="Yes",Single.Stream!Y164*Y76,0)</f>
        <v>0</v>
      </c>
      <c r="AA31" s="13"/>
      <c r="AB31" s="13"/>
    </row>
    <row r="32" spans="1:28" x14ac:dyDescent="0.35">
      <c r="A32" t="str">
        <f>Common!A102</f>
        <v>Aluminum - Foil</v>
      </c>
      <c r="C32" s="34">
        <f>IF(Single.Stream!$D$109="Yes",Single.Stream!B165*B122,0)</f>
        <v>0</v>
      </c>
      <c r="D32" s="34">
        <f>IF(Single.Stream!$D$110="Yes",Single.Stream!C165*C77,0)</f>
        <v>0</v>
      </c>
      <c r="E32" s="35">
        <f>IF(Single.Stream!$D$111="Yes",Single.Stream!D165*D32,0)</f>
        <v>0</v>
      </c>
      <c r="F32" s="34">
        <f>IF(Single.Stream!$D$112="Yes",Single.Stream!E165*D77,0)</f>
        <v>0</v>
      </c>
      <c r="G32" s="34">
        <f>IF(Single.Stream!$D$113="Yes",Single.Stream!F165*F77,0)</f>
        <v>0</v>
      </c>
      <c r="H32" s="34">
        <f>IF(Single.Stream!$D$114="Yes",Single.Stream!G165*G77,0)</f>
        <v>0</v>
      </c>
      <c r="I32" s="35">
        <f>IF(Single.Stream!$D$115="Yes",Single.Stream!H165*G32,0)</f>
        <v>0</v>
      </c>
      <c r="J32" s="36">
        <f>IF(Single.Stream!$D$116="Yes",Single.Stream!I165*H32,0)</f>
        <v>0</v>
      </c>
      <c r="K32" s="37">
        <f>IF(Single.Stream!$D$117="Yes",Single.Stream!J165*(I77+J77),0)</f>
        <v>0</v>
      </c>
      <c r="L32" s="34">
        <f>IF(Single.Stream!$D$118="Yes",Single.Stream!K165*H77,0)</f>
        <v>0</v>
      </c>
      <c r="M32" s="36">
        <f>IF(Single.Stream!$D$119="Yes",Single.Stream!L165*(L32),0)</f>
        <v>0</v>
      </c>
      <c r="N32" s="34">
        <f>IF(Single.Stream!$D$120="Yes",Single.Stream!M165*M77,0)</f>
        <v>0</v>
      </c>
      <c r="O32" s="37">
        <f>IF(Single.Stream!$D$121="Yes",IF(Single.Stream!$D$120="Yes",N32,M77)*Single.Stream!N165,0)</f>
        <v>0</v>
      </c>
      <c r="P32" s="38">
        <f>IF(Single.Stream!$D$122="Yes",Single.Stream!O165*(L77+M32),0)</f>
        <v>0</v>
      </c>
      <c r="Q32" s="38">
        <f>IF(Single.Stream!$D$123="Yes",Single.Stream!P165*O77,0)</f>
        <v>0</v>
      </c>
      <c r="R32" s="38">
        <f>IF(Single.Stream!$D$124="Yes",Single.Stream!Q165*P77,0)</f>
        <v>0</v>
      </c>
      <c r="S32" s="38">
        <f>IF(Single.Stream!$D$125="Yes",Single.Stream!R165*Q77,0)</f>
        <v>0</v>
      </c>
      <c r="T32" s="38">
        <f>IF(Single.Stream!$D$126="Yes",Single.Stream!S165*R77,0)</f>
        <v>0</v>
      </c>
      <c r="U32" s="38">
        <f>IF(Single.Stream!$D$127="Yes",Single.Stream!T165*S77,0)</f>
        <v>0</v>
      </c>
      <c r="V32" s="38">
        <f>IF(Single.Stream!$D$128="Yes",Single.Stream!U165*T77,0)</f>
        <v>0.58199999999999996</v>
      </c>
      <c r="W32" s="57">
        <f>IF(Single.Stream!$D$129="Yes",Single.Stream!V165*V32,0)</f>
        <v>0</v>
      </c>
      <c r="X32" s="38">
        <f>IF(Single.Stream!$D$130="Yes",Single.Stream!W165*V77,0)</f>
        <v>0</v>
      </c>
      <c r="Y32" s="38">
        <f>IF(Single.Stream!$D$131="Yes",Single.Stream!X165*X77,0)</f>
        <v>0</v>
      </c>
      <c r="Z32" s="38">
        <f>IF(Single.Stream!$D$132="Yes",Single.Stream!Y165*Y77,0)</f>
        <v>0</v>
      </c>
      <c r="AA32" s="13"/>
      <c r="AB32" s="13"/>
    </row>
    <row r="33" spans="1:28" x14ac:dyDescent="0.35">
      <c r="A33" t="str">
        <f>Common!A103</f>
        <v>Aluminum - Other</v>
      </c>
      <c r="C33" s="34">
        <f>IF(Single.Stream!$D$109="Yes",Single.Stream!B166*B123,0)</f>
        <v>0</v>
      </c>
      <c r="D33" s="34">
        <f>IF(Single.Stream!$D$110="Yes",Single.Stream!C166*C78,0)</f>
        <v>0</v>
      </c>
      <c r="E33" s="35">
        <f>IF(Single.Stream!$D$111="Yes",Single.Stream!D166*D33,0)</f>
        <v>0</v>
      </c>
      <c r="F33" s="34">
        <f>IF(Single.Stream!$D$112="Yes",Single.Stream!E166*D78,0)</f>
        <v>0</v>
      </c>
      <c r="G33" s="34">
        <f>IF(Single.Stream!$D$113="Yes",Single.Stream!F166*F78,0)</f>
        <v>0</v>
      </c>
      <c r="H33" s="34">
        <f>IF(Single.Stream!$D$114="Yes",Single.Stream!G166*G78,0)</f>
        <v>0</v>
      </c>
      <c r="I33" s="35">
        <f>IF(Single.Stream!$D$115="Yes",Single.Stream!H166*G33,0)</f>
        <v>0</v>
      </c>
      <c r="J33" s="36">
        <f>IF(Single.Stream!$D$116="Yes",Single.Stream!I166*H33,0)</f>
        <v>0</v>
      </c>
      <c r="K33" s="37">
        <f>IF(Single.Stream!$D$117="Yes",Single.Stream!J166*(I78+J78),0)</f>
        <v>0</v>
      </c>
      <c r="L33" s="34">
        <f>IF(Single.Stream!$D$118="Yes",Single.Stream!K166*H78,0)</f>
        <v>0</v>
      </c>
      <c r="M33" s="36">
        <f>IF(Single.Stream!$D$119="Yes",Single.Stream!L166*(L33),0)</f>
        <v>0</v>
      </c>
      <c r="N33" s="34">
        <f>IF(Single.Stream!$D$120="Yes",Single.Stream!M166*M78,0)</f>
        <v>0</v>
      </c>
      <c r="O33" s="37">
        <f>IF(Single.Stream!$D$121="Yes",IF(Single.Stream!$D$120="Yes",N33,M78)*Single.Stream!N166,0)</f>
        <v>0</v>
      </c>
      <c r="P33" s="38">
        <f>IF(Single.Stream!$D$122="Yes",Single.Stream!O166*(L78+M33),0)</f>
        <v>0</v>
      </c>
      <c r="Q33" s="38">
        <f>IF(Single.Stream!$D$123="Yes",Single.Stream!P166*O78,0)</f>
        <v>0</v>
      </c>
      <c r="R33" s="38">
        <f>IF(Single.Stream!$D$124="Yes",Single.Stream!Q166*P78,0)</f>
        <v>0</v>
      </c>
      <c r="S33" s="38">
        <f>IF(Single.Stream!$D$125="Yes",Single.Stream!R166*Q78,0)</f>
        <v>0</v>
      </c>
      <c r="T33" s="38">
        <f>IF(Single.Stream!$D$126="Yes",Single.Stream!S166*R78,0)</f>
        <v>0</v>
      </c>
      <c r="U33" s="38">
        <f>IF(Single.Stream!$D$127="Yes",Single.Stream!T166*S78,0)</f>
        <v>0</v>
      </c>
      <c r="V33" s="38">
        <f>IF(Single.Stream!$D$128="Yes",Single.Stream!U166*T78,0)</f>
        <v>9.7000000000000003E-7</v>
      </c>
      <c r="W33" s="57">
        <f>IF(Single.Stream!$D$129="Yes",Single.Stream!V166*V33,0)</f>
        <v>0</v>
      </c>
      <c r="X33" s="38">
        <f>IF(Single.Stream!$D$130="Yes",Single.Stream!W166*V78,0)</f>
        <v>0</v>
      </c>
      <c r="Y33" s="38">
        <f>IF(Single.Stream!$D$131="Yes",Single.Stream!X166*X78,0)</f>
        <v>0</v>
      </c>
      <c r="Z33" s="38">
        <f>IF(Single.Stream!$D$132="Yes",Single.Stream!Y166*Y78,0)</f>
        <v>0</v>
      </c>
      <c r="AA33" s="13"/>
      <c r="AB33" s="13"/>
    </row>
    <row r="34" spans="1:28" x14ac:dyDescent="0.35">
      <c r="A34" t="str">
        <f>Common!A104</f>
        <v xml:space="preserve">Ferrous - Non-recyclable </v>
      </c>
      <c r="C34" s="34">
        <f>IF(Single.Stream!$D$109="Yes",Single.Stream!B167*B124,0)</f>
        <v>0</v>
      </c>
      <c r="D34" s="34">
        <f>IF(Single.Stream!$D$110="Yes",Single.Stream!C167*C79,0)</f>
        <v>0</v>
      </c>
      <c r="E34" s="35">
        <f>IF(Single.Stream!$D$111="Yes",Single.Stream!D167*D34,0)</f>
        <v>0</v>
      </c>
      <c r="F34" s="34">
        <f>IF(Single.Stream!$D$112="Yes",Single.Stream!E167*D79,0)</f>
        <v>0</v>
      </c>
      <c r="G34" s="34">
        <f>IF(Single.Stream!$D$113="Yes",Single.Stream!F167*F79,0)</f>
        <v>0</v>
      </c>
      <c r="H34" s="34">
        <f>IF(Single.Stream!$D$114="Yes",Single.Stream!G167*G79,0)</f>
        <v>0</v>
      </c>
      <c r="I34" s="35">
        <f>IF(Single.Stream!$D$115="Yes",Single.Stream!H167*G34,0)</f>
        <v>0</v>
      </c>
      <c r="J34" s="36">
        <f>IF(Single.Stream!$D$116="Yes",Single.Stream!I167*H34,0)</f>
        <v>0</v>
      </c>
      <c r="K34" s="37">
        <f>IF(Single.Stream!$D$117="Yes",Single.Stream!J167*(I79+J79),0)</f>
        <v>0</v>
      </c>
      <c r="L34" s="34">
        <f>IF(Single.Stream!$D$118="Yes",Single.Stream!K167*H79,0)</f>
        <v>0</v>
      </c>
      <c r="M34" s="36">
        <f>IF(Single.Stream!$D$119="Yes",Single.Stream!L167*(L34),0)</f>
        <v>0</v>
      </c>
      <c r="N34" s="34">
        <f>IF(Single.Stream!$D$120="Yes",Single.Stream!M167*M79,0)</f>
        <v>0</v>
      </c>
      <c r="O34" s="37">
        <f>IF(Single.Stream!$D$121="Yes",IF(Single.Stream!$D$120="Yes",N34,M79)*Single.Stream!N167,0)</f>
        <v>0</v>
      </c>
      <c r="P34" s="38">
        <f>IF(Single.Stream!$D$122="Yes",Single.Stream!O167*(L79+M34),0)</f>
        <v>0</v>
      </c>
      <c r="Q34" s="38">
        <f>IF(Single.Stream!$D$123="Yes",Single.Stream!P167*O79,0)</f>
        <v>0</v>
      </c>
      <c r="R34" s="38">
        <f>IF(Single.Stream!$D$124="Yes",Single.Stream!Q167*P79,0)</f>
        <v>0</v>
      </c>
      <c r="S34" s="38">
        <f>IF(Single.Stream!$D$125="Yes",Single.Stream!R167*Q79,0)</f>
        <v>0</v>
      </c>
      <c r="T34" s="38">
        <f>IF(Single.Stream!$D$126="Yes",Single.Stream!S167*R79,0)</f>
        <v>9.7999999999999993E-7</v>
      </c>
      <c r="U34" s="38">
        <f>IF(Single.Stream!$D$127="Yes",Single.Stream!T167*S79,0)</f>
        <v>0</v>
      </c>
      <c r="V34" s="38">
        <f>IF(Single.Stream!$D$128="Yes",Single.Stream!U167*T79,0)</f>
        <v>0</v>
      </c>
      <c r="W34" s="57">
        <f>IF(Single.Stream!$D$129="Yes",Single.Stream!V167*V34,0)</f>
        <v>0</v>
      </c>
      <c r="X34" s="38">
        <f>IF(Single.Stream!$D$130="Yes",Single.Stream!W167*V79,0)</f>
        <v>0</v>
      </c>
      <c r="Y34" s="38">
        <f>IF(Single.Stream!$D$131="Yes",Single.Stream!X167*X79,0)</f>
        <v>0</v>
      </c>
      <c r="Z34" s="38">
        <f>IF(Single.Stream!$D$132="Yes",Single.Stream!Y167*Y79,0)</f>
        <v>0</v>
      </c>
      <c r="AA34" s="13"/>
      <c r="AB34" s="13"/>
    </row>
    <row r="35" spans="1:28" x14ac:dyDescent="0.35">
      <c r="A35" t="str">
        <f>Common!A105</f>
        <v xml:space="preserve">Al - Non-recyclable </v>
      </c>
      <c r="C35" s="34">
        <f>IF(Single.Stream!$D$109="Yes",Single.Stream!B168*B125,0)</f>
        <v>0</v>
      </c>
      <c r="D35" s="34">
        <f>IF(Single.Stream!$D$110="Yes",Single.Stream!C168*C80,0)</f>
        <v>0</v>
      </c>
      <c r="E35" s="35">
        <f>IF(Single.Stream!$D$111="Yes",Single.Stream!D168*D35,0)</f>
        <v>0</v>
      </c>
      <c r="F35" s="34">
        <f>IF(Single.Stream!$D$112="Yes",Single.Stream!E168*D80,0)</f>
        <v>0</v>
      </c>
      <c r="G35" s="34">
        <f>IF(Single.Stream!$D$113="Yes",Single.Stream!F168*F80,0)</f>
        <v>0</v>
      </c>
      <c r="H35" s="34">
        <f>IF(Single.Stream!$D$114="Yes",Single.Stream!G168*G80,0)</f>
        <v>0</v>
      </c>
      <c r="I35" s="35">
        <f>IF(Single.Stream!$D$115="Yes",Single.Stream!H168*G35,0)</f>
        <v>0</v>
      </c>
      <c r="J35" s="36">
        <f>IF(Single.Stream!$D$116="Yes",Single.Stream!I168*H35,0)</f>
        <v>0</v>
      </c>
      <c r="K35" s="37">
        <f>IF(Single.Stream!$D$117="Yes",Single.Stream!J168*(I80+J80),0)</f>
        <v>0</v>
      </c>
      <c r="L35" s="34">
        <f>IF(Single.Stream!$D$118="Yes",Single.Stream!K168*H80,0)</f>
        <v>0</v>
      </c>
      <c r="M35" s="36">
        <f>IF(Single.Stream!$D$119="Yes",Single.Stream!L168*(L35),0)</f>
        <v>0</v>
      </c>
      <c r="N35" s="34">
        <f>IF(Single.Stream!$D$120="Yes",Single.Stream!M168*M80,0)</f>
        <v>0</v>
      </c>
      <c r="O35" s="37">
        <f>IF(Single.Stream!$D$121="Yes",IF(Single.Stream!$D$120="Yes",N35,M80)*Single.Stream!N168,0)</f>
        <v>0</v>
      </c>
      <c r="P35" s="38">
        <f>IF(Single.Stream!$D$122="Yes",Single.Stream!O168*(L80+M35),0)</f>
        <v>0</v>
      </c>
      <c r="Q35" s="38">
        <f>IF(Single.Stream!$D$123="Yes",Single.Stream!P168*O80,0)</f>
        <v>0</v>
      </c>
      <c r="R35" s="38">
        <f>IF(Single.Stream!$D$124="Yes",Single.Stream!Q168*P80,0)</f>
        <v>0</v>
      </c>
      <c r="S35" s="38">
        <f>IF(Single.Stream!$D$125="Yes",Single.Stream!R168*Q80,0)</f>
        <v>0</v>
      </c>
      <c r="T35" s="38">
        <f>IF(Single.Stream!$D$126="Yes",Single.Stream!S168*R80,0)</f>
        <v>0</v>
      </c>
      <c r="U35" s="38">
        <f>IF(Single.Stream!$D$127="Yes",Single.Stream!T168*S80,0)</f>
        <v>0</v>
      </c>
      <c r="V35" s="38">
        <f>IF(Single.Stream!$D$128="Yes",Single.Stream!U168*T80,0)</f>
        <v>9.7000000000000003E-7</v>
      </c>
      <c r="W35" s="57">
        <f>IF(Single.Stream!$D$129="Yes",Single.Stream!V168*V35,0)</f>
        <v>0</v>
      </c>
      <c r="X35" s="38">
        <f>IF(Single.Stream!$D$130="Yes",Single.Stream!W168*V80,0)</f>
        <v>0</v>
      </c>
      <c r="Y35" s="38">
        <f>IF(Single.Stream!$D$131="Yes",Single.Stream!X168*X80,0)</f>
        <v>0</v>
      </c>
      <c r="Z35" s="38">
        <f>IF(Single.Stream!$D$132="Yes",Single.Stream!Y168*Y80,0)</f>
        <v>0</v>
      </c>
      <c r="AA35" s="13"/>
      <c r="AB35" s="13"/>
    </row>
    <row r="36" spans="1:28" x14ac:dyDescent="0.35">
      <c r="A36" t="str">
        <f>Common!A106</f>
        <v>Glass - Brown</v>
      </c>
      <c r="B36" s="9"/>
      <c r="C36" s="34">
        <f>IF(Single.Stream!$D$109="Yes",Single.Stream!B169*B126,0)</f>
        <v>0</v>
      </c>
      <c r="D36" s="34">
        <f>IF(Single.Stream!$D$110="Yes",Single.Stream!C169*C81,0)</f>
        <v>0</v>
      </c>
      <c r="E36" s="35">
        <f>IF(Single.Stream!$D$111="Yes",Single.Stream!D169*D36,0)</f>
        <v>0</v>
      </c>
      <c r="F36" s="34">
        <f>IF(Single.Stream!$D$112="Yes",Single.Stream!E169*D81,0)</f>
        <v>0</v>
      </c>
      <c r="G36" s="34">
        <f>IF(Single.Stream!$D$113="Yes",Single.Stream!F169*F81,0)</f>
        <v>0</v>
      </c>
      <c r="H36" s="34">
        <f>IF(Single.Stream!$D$114="Yes",Single.Stream!G169*G81,0)</f>
        <v>0</v>
      </c>
      <c r="I36" s="35">
        <f>IF(Single.Stream!$D$115="Yes",Single.Stream!H169*G36,0)</f>
        <v>0</v>
      </c>
      <c r="J36" s="36">
        <f>IF(Single.Stream!$D$116="Yes",Single.Stream!I169*H36,0)</f>
        <v>0</v>
      </c>
      <c r="K36" s="37">
        <f>IF(Single.Stream!$D$117="Yes",Single.Stream!J169*(I81+J81),0)</f>
        <v>0</v>
      </c>
      <c r="L36" s="34">
        <f>IF(Single.Stream!$D$118="Yes",Single.Stream!K169*H81,0)</f>
        <v>7.2749999999999995</v>
      </c>
      <c r="M36" s="36">
        <f>IF(Single.Stream!$D$119="Yes",Single.Stream!L169*(L36),0)</f>
        <v>0.21824999999999997</v>
      </c>
      <c r="N36" s="34">
        <f>IF(Single.Stream!$D$120="Yes",Single.Stream!M169*M81,0)</f>
        <v>0</v>
      </c>
      <c r="O36" s="37">
        <f>IF(Single.Stream!$D$121="Yes",IF(Single.Stream!$D$120="Yes",N36,M81)*Single.Stream!N169,0)</f>
        <v>0</v>
      </c>
      <c r="P36" s="38">
        <f>IF(Single.Stream!$D$122="Yes",Single.Stream!O169*(L81+M36),0)</f>
        <v>0</v>
      </c>
      <c r="Q36" s="38">
        <f>IF(Single.Stream!$D$123="Yes",Single.Stream!P169*O81,0)</f>
        <v>0</v>
      </c>
      <c r="R36" s="38">
        <f>IF(Single.Stream!$D$124="Yes",Single.Stream!Q169*P81,0)</f>
        <v>0</v>
      </c>
      <c r="S36" s="38">
        <f>IF(Single.Stream!$D$125="Yes",Single.Stream!R169*Q81,0)</f>
        <v>0</v>
      </c>
      <c r="T36" s="38">
        <f>IF(Single.Stream!$D$126="Yes",Single.Stream!S169*R81,0)</f>
        <v>0</v>
      </c>
      <c r="U36" s="38">
        <f>IF(Single.Stream!$D$127="Yes",Single.Stream!T169*S81,0)</f>
        <v>0</v>
      </c>
      <c r="V36" s="38">
        <f>IF(Single.Stream!$D$128="Yes",Single.Stream!U169*T81,0)</f>
        <v>0</v>
      </c>
      <c r="W36" s="57">
        <f>IF(Single.Stream!$D$129="Yes",Single.Stream!V169*V36,0)</f>
        <v>0</v>
      </c>
      <c r="X36" s="38">
        <f>IF(Single.Stream!$D$130="Yes",Single.Stream!W169*V81,0)</f>
        <v>0</v>
      </c>
      <c r="Y36" s="38">
        <f>IF(Single.Stream!$D$131="Yes",Single.Stream!X169*X81,0)</f>
        <v>0</v>
      </c>
      <c r="Z36" s="38">
        <f>IF(Single.Stream!$D$132="Yes",Single.Stream!Y169*Y81,0)</f>
        <v>0</v>
      </c>
      <c r="AA36" s="13"/>
      <c r="AB36" s="13"/>
    </row>
    <row r="37" spans="1:28" x14ac:dyDescent="0.35">
      <c r="A37" t="str">
        <f>Common!A107</f>
        <v>Glass - Green</v>
      </c>
      <c r="C37" s="34">
        <f>IF(Single.Stream!$D$109="Yes",Single.Stream!B170*B127,0)</f>
        <v>0</v>
      </c>
      <c r="D37" s="34">
        <f>IF(Single.Stream!$D$110="Yes",Single.Stream!C170*C82,0)</f>
        <v>0</v>
      </c>
      <c r="E37" s="35">
        <f>IF(Single.Stream!$D$111="Yes",Single.Stream!D170*D37,0)</f>
        <v>0</v>
      </c>
      <c r="F37" s="34">
        <f>IF(Single.Stream!$D$112="Yes",Single.Stream!E170*D82,0)</f>
        <v>0</v>
      </c>
      <c r="G37" s="34">
        <f>IF(Single.Stream!$D$113="Yes",Single.Stream!F170*F82,0)</f>
        <v>0</v>
      </c>
      <c r="H37" s="34">
        <f>IF(Single.Stream!$D$114="Yes",Single.Stream!G170*G82,0)</f>
        <v>0</v>
      </c>
      <c r="I37" s="35">
        <f>IF(Single.Stream!$D$115="Yes",Single.Stream!H170*G37,0)</f>
        <v>0</v>
      </c>
      <c r="J37" s="36">
        <f>IF(Single.Stream!$D$116="Yes",Single.Stream!I170*H37,0)</f>
        <v>0</v>
      </c>
      <c r="K37" s="37">
        <f>IF(Single.Stream!$D$117="Yes",Single.Stream!J170*(I82+J82),0)</f>
        <v>0</v>
      </c>
      <c r="L37" s="34">
        <f>IF(Single.Stream!$D$118="Yes",Single.Stream!K170*H82,0)</f>
        <v>3.1040000000000001</v>
      </c>
      <c r="M37" s="36">
        <f>IF(Single.Stream!$D$119="Yes",Single.Stream!L170*(L37),0)</f>
        <v>9.3119999999999994E-2</v>
      </c>
      <c r="N37" s="34">
        <f>IF(Single.Stream!$D$120="Yes",Single.Stream!M170*M82,0)</f>
        <v>0</v>
      </c>
      <c r="O37" s="37">
        <f>IF(Single.Stream!$D$121="Yes",IF(Single.Stream!$D$120="Yes",N37,M82)*Single.Stream!N170,0)</f>
        <v>0</v>
      </c>
      <c r="P37" s="38">
        <f>IF(Single.Stream!$D$122="Yes",Single.Stream!O170*(L82+M37),0)</f>
        <v>0</v>
      </c>
      <c r="Q37" s="38">
        <f>IF(Single.Stream!$D$123="Yes",Single.Stream!P170*O82,0)</f>
        <v>0</v>
      </c>
      <c r="R37" s="38">
        <f>IF(Single.Stream!$D$124="Yes",Single.Stream!Q170*P82,0)</f>
        <v>0</v>
      </c>
      <c r="S37" s="38">
        <f>IF(Single.Stream!$D$125="Yes",Single.Stream!R170*Q82,0)</f>
        <v>0</v>
      </c>
      <c r="T37" s="38">
        <f>IF(Single.Stream!$D$126="Yes",Single.Stream!S170*R82,0)</f>
        <v>0</v>
      </c>
      <c r="U37" s="38">
        <f>IF(Single.Stream!$D$127="Yes",Single.Stream!T170*S82,0)</f>
        <v>0</v>
      </c>
      <c r="V37" s="38">
        <f>IF(Single.Stream!$D$128="Yes",Single.Stream!U170*T82,0)</f>
        <v>0</v>
      </c>
      <c r="W37" s="57">
        <f>IF(Single.Stream!$D$129="Yes",Single.Stream!V170*V37,0)</f>
        <v>0</v>
      </c>
      <c r="X37" s="38">
        <f>IF(Single.Stream!$D$130="Yes",Single.Stream!W170*V82,0)</f>
        <v>0</v>
      </c>
      <c r="Y37" s="38">
        <f>IF(Single.Stream!$D$131="Yes",Single.Stream!X170*X82,0)</f>
        <v>0</v>
      </c>
      <c r="Z37" s="38">
        <f>IF(Single.Stream!$D$132="Yes",Single.Stream!Y170*Y82,0)</f>
        <v>0</v>
      </c>
      <c r="AA37" s="13"/>
      <c r="AB37" s="13"/>
    </row>
    <row r="38" spans="1:28" x14ac:dyDescent="0.35">
      <c r="A38" t="str">
        <f>Common!A108</f>
        <v>Glass - Clear</v>
      </c>
      <c r="C38" s="34">
        <f>IF(Single.Stream!$D$109="Yes",Single.Stream!B171*B128,0)</f>
        <v>0</v>
      </c>
      <c r="D38" s="34">
        <f>IF(Single.Stream!$D$110="Yes",Single.Stream!C171*C83,0)</f>
        <v>0</v>
      </c>
      <c r="E38" s="35">
        <f>IF(Single.Stream!$D$111="Yes",Single.Stream!D171*D38,0)</f>
        <v>0</v>
      </c>
      <c r="F38" s="34">
        <f>IF(Single.Stream!$D$112="Yes",Single.Stream!E171*D83,0)</f>
        <v>0</v>
      </c>
      <c r="G38" s="34">
        <f>IF(Single.Stream!$D$113="Yes",Single.Stream!F171*F83,0)</f>
        <v>0</v>
      </c>
      <c r="H38" s="34">
        <f>IF(Single.Stream!$D$114="Yes",Single.Stream!G171*G83,0)</f>
        <v>0</v>
      </c>
      <c r="I38" s="35">
        <f>IF(Single.Stream!$D$115="Yes",Single.Stream!H171*G38,0)</f>
        <v>0</v>
      </c>
      <c r="J38" s="36">
        <f>IF(Single.Stream!$D$116="Yes",Single.Stream!I171*H38,0)</f>
        <v>0</v>
      </c>
      <c r="K38" s="37">
        <f>IF(Single.Stream!$D$117="Yes",Single.Stream!J171*(I83+J83),0)</f>
        <v>0</v>
      </c>
      <c r="L38" s="34">
        <f>IF(Single.Stream!$D$118="Yes",Single.Stream!K171*H83,0)</f>
        <v>2.0369999999999999</v>
      </c>
      <c r="M38" s="36">
        <f>IF(Single.Stream!$D$119="Yes",Single.Stream!L171*(L38),0)</f>
        <v>6.1109999999999998E-2</v>
      </c>
      <c r="N38" s="34">
        <f>IF(Single.Stream!$D$120="Yes",Single.Stream!M171*M83,0)</f>
        <v>0</v>
      </c>
      <c r="O38" s="37">
        <f>IF(Single.Stream!$D$121="Yes",IF(Single.Stream!$D$120="Yes",N38,M83)*Single.Stream!N171,0)</f>
        <v>0</v>
      </c>
      <c r="P38" s="38">
        <f>IF(Single.Stream!$D$122="Yes",Single.Stream!O171*(L83+M38),0)</f>
        <v>0</v>
      </c>
      <c r="Q38" s="38">
        <f>IF(Single.Stream!$D$123="Yes",Single.Stream!P171*O83,0)</f>
        <v>0</v>
      </c>
      <c r="R38" s="38">
        <f>IF(Single.Stream!$D$124="Yes",Single.Stream!Q171*P83,0)</f>
        <v>0</v>
      </c>
      <c r="S38" s="38">
        <f>IF(Single.Stream!$D$125="Yes",Single.Stream!R171*Q83,0)</f>
        <v>0</v>
      </c>
      <c r="T38" s="38">
        <f>IF(Single.Stream!$D$126="Yes",Single.Stream!S171*R83,0)</f>
        <v>0</v>
      </c>
      <c r="U38" s="38">
        <f>IF(Single.Stream!$D$127="Yes",Single.Stream!T171*S83,0)</f>
        <v>0</v>
      </c>
      <c r="V38" s="38">
        <f>IF(Single.Stream!$D$128="Yes",Single.Stream!U171*T83,0)</f>
        <v>0</v>
      </c>
      <c r="W38" s="57">
        <f>IF(Single.Stream!$D$129="Yes",Single.Stream!V171*V38,0)</f>
        <v>0</v>
      </c>
      <c r="X38" s="38">
        <f>IF(Single.Stream!$D$130="Yes",Single.Stream!W171*V83,0)</f>
        <v>0</v>
      </c>
      <c r="Y38" s="38">
        <f>IF(Single.Stream!$D$131="Yes",Single.Stream!X171*X83,0)</f>
        <v>0</v>
      </c>
      <c r="Z38" s="38">
        <f>IF(Single.Stream!$D$132="Yes",Single.Stream!Y171*Y83,0)</f>
        <v>0</v>
      </c>
      <c r="AA38" s="13"/>
      <c r="AB38" s="13"/>
    </row>
    <row r="39" spans="1:28" x14ac:dyDescent="0.35">
      <c r="A39" t="str">
        <f>Common!A109</f>
        <v>Mixed Glass</v>
      </c>
      <c r="C39" s="34">
        <f>IF(Single.Stream!$D$109="Yes",Single.Stream!B172*B129,0)</f>
        <v>0</v>
      </c>
      <c r="D39" s="34">
        <f>IF(Single.Stream!$D$110="Yes",Single.Stream!C172*C84,0)</f>
        <v>0</v>
      </c>
      <c r="E39" s="35">
        <f>IF(Single.Stream!$D$111="Yes",Single.Stream!D172*D39,0)</f>
        <v>0</v>
      </c>
      <c r="F39" s="34">
        <f>IF(Single.Stream!$D$112="Yes",Single.Stream!E172*D84,0)</f>
        <v>0</v>
      </c>
      <c r="G39" s="34">
        <f>IF(Single.Stream!$D$113="Yes",Single.Stream!F172*F84,0)</f>
        <v>0</v>
      </c>
      <c r="H39" s="34">
        <f>IF(Single.Stream!$D$114="Yes",Single.Stream!G172*G84,0)</f>
        <v>0</v>
      </c>
      <c r="I39" s="35">
        <f>IF(Single.Stream!$D$115="Yes",Single.Stream!H172*G39,0)</f>
        <v>0</v>
      </c>
      <c r="J39" s="36">
        <f>IF(Single.Stream!$D$116="Yes",Single.Stream!I172*H39,0)</f>
        <v>0</v>
      </c>
      <c r="K39" s="37">
        <f>IF(Single.Stream!$D$117="Yes",Single.Stream!J172*(I84+J84),0)</f>
        <v>0</v>
      </c>
      <c r="L39" s="34">
        <f>IF(Single.Stream!$D$118="Yes",Single.Stream!K172*H84,0)</f>
        <v>9.7000000000000003E-7</v>
      </c>
      <c r="M39" s="36">
        <f>IF(Single.Stream!$D$119="Yes",Single.Stream!L172*(L39),0)</f>
        <v>2.9099999999999999E-8</v>
      </c>
      <c r="N39" s="34">
        <f>IF(Single.Stream!$D$120="Yes",Single.Stream!M172*M84,0)</f>
        <v>0</v>
      </c>
      <c r="O39" s="37">
        <f>IF(Single.Stream!$D$121="Yes",IF(Single.Stream!$D$120="Yes",N39,M84)*Single.Stream!N172,0)</f>
        <v>0</v>
      </c>
      <c r="P39" s="38">
        <f>IF(Single.Stream!$D$122="Yes",Single.Stream!O172*(L84+M39),0)</f>
        <v>0</v>
      </c>
      <c r="Q39" s="38">
        <f>IF(Single.Stream!$D$123="Yes",Single.Stream!P172*O84,0)</f>
        <v>0</v>
      </c>
      <c r="R39" s="38">
        <f>IF(Single.Stream!$D$124="Yes",Single.Stream!Q172*P84,0)</f>
        <v>0</v>
      </c>
      <c r="S39" s="38">
        <f>IF(Single.Stream!$D$125="Yes",Single.Stream!R172*Q84,0)</f>
        <v>0</v>
      </c>
      <c r="T39" s="38">
        <f>IF(Single.Stream!$D$126="Yes",Single.Stream!S172*R84,0)</f>
        <v>0</v>
      </c>
      <c r="U39" s="38">
        <f>IF(Single.Stream!$D$127="Yes",Single.Stream!T172*S84,0)</f>
        <v>0</v>
      </c>
      <c r="V39" s="38">
        <f>IF(Single.Stream!$D$128="Yes",Single.Stream!U172*T84,0)</f>
        <v>0</v>
      </c>
      <c r="W39" s="57">
        <f>IF(Single.Stream!$D$129="Yes",Single.Stream!V172*V39,0)</f>
        <v>0</v>
      </c>
      <c r="X39" s="38">
        <f>IF(Single.Stream!$D$130="Yes",Single.Stream!W172*V84,0)</f>
        <v>0</v>
      </c>
      <c r="Y39" s="38">
        <f>IF(Single.Stream!$D$131="Yes",Single.Stream!X172*X84,0)</f>
        <v>0</v>
      </c>
      <c r="Z39" s="38">
        <f>IF(Single.Stream!$D$132="Yes",Single.Stream!Y172*Y84,0)</f>
        <v>0</v>
      </c>
      <c r="AA39" s="13"/>
      <c r="AB39" s="13"/>
    </row>
    <row r="40" spans="1:28" x14ac:dyDescent="0.35">
      <c r="A40" t="str">
        <f>Common!A110</f>
        <v>Glass - Non-recyclable</v>
      </c>
      <c r="C40" s="34">
        <f>IF(Single.Stream!$D$109="Yes",Single.Stream!B173*B130,0)</f>
        <v>0</v>
      </c>
      <c r="D40" s="34">
        <f>IF(Single.Stream!$D$110="Yes",Single.Stream!C173*C85,0)</f>
        <v>0</v>
      </c>
      <c r="E40" s="35">
        <f>IF(Single.Stream!$D$111="Yes",Single.Stream!D173*D40,0)</f>
        <v>0</v>
      </c>
      <c r="F40" s="34">
        <f>IF(Single.Stream!$D$112="Yes",Single.Stream!E173*D85,0)</f>
        <v>0</v>
      </c>
      <c r="G40" s="34">
        <f>IF(Single.Stream!$D$113="Yes",Single.Stream!F173*F85,0)</f>
        <v>0</v>
      </c>
      <c r="H40" s="34">
        <f>IF(Single.Stream!$D$114="Yes",Single.Stream!G173*G85,0)</f>
        <v>0</v>
      </c>
      <c r="I40" s="35">
        <f>IF(Single.Stream!$D$115="Yes",Single.Stream!H173*G40,0)</f>
        <v>0</v>
      </c>
      <c r="J40" s="36">
        <f>IF(Single.Stream!$D$116="Yes",Single.Stream!I173*H40,0)</f>
        <v>0</v>
      </c>
      <c r="K40" s="37">
        <f>IF(Single.Stream!$D$117="Yes",Single.Stream!J173*(I85+J85),0)</f>
        <v>0</v>
      </c>
      <c r="L40" s="34">
        <f>IF(Single.Stream!$D$118="Yes",Single.Stream!K173*H85,0)</f>
        <v>9.7000000000000003E-7</v>
      </c>
      <c r="M40" s="36">
        <f>IF(Single.Stream!$D$119="Yes",Single.Stream!L173*(L40),0)</f>
        <v>2.9099999999999999E-8</v>
      </c>
      <c r="N40" s="34">
        <f>IF(Single.Stream!$D$120="Yes",Single.Stream!M173*M85,0)</f>
        <v>0</v>
      </c>
      <c r="O40" s="37">
        <f>IF(Single.Stream!$D$121="Yes",IF(Single.Stream!$D$120="Yes",N40,M85)*Single.Stream!N173,0)</f>
        <v>0</v>
      </c>
      <c r="P40" s="38">
        <f>IF(Single.Stream!$D$122="Yes",Single.Stream!O173*(L85+M40),0)</f>
        <v>0</v>
      </c>
      <c r="Q40" s="38">
        <f>IF(Single.Stream!$D$123="Yes",Single.Stream!P173*O85,0)</f>
        <v>0</v>
      </c>
      <c r="R40" s="38">
        <f>IF(Single.Stream!$D$124="Yes",Single.Stream!Q173*P85,0)</f>
        <v>0</v>
      </c>
      <c r="S40" s="38">
        <f>IF(Single.Stream!$D$125="Yes",Single.Stream!R173*Q85,0)</f>
        <v>0</v>
      </c>
      <c r="T40" s="38">
        <f>IF(Single.Stream!$D$126="Yes",Single.Stream!S173*R85,0)</f>
        <v>0</v>
      </c>
      <c r="U40" s="38">
        <f>IF(Single.Stream!$D$127="Yes",Single.Stream!T173*S85,0)</f>
        <v>0</v>
      </c>
      <c r="V40" s="38">
        <f>IF(Single.Stream!$D$128="Yes",Single.Stream!U173*T85,0)</f>
        <v>0</v>
      </c>
      <c r="W40" s="57">
        <f>IF(Single.Stream!$D$129="Yes",Single.Stream!V173*V40,0)</f>
        <v>0</v>
      </c>
      <c r="X40" s="38">
        <f>IF(Single.Stream!$D$130="Yes",Single.Stream!W173*V85,0)</f>
        <v>0</v>
      </c>
      <c r="Y40" s="38">
        <f>IF(Single.Stream!$D$131="Yes",Single.Stream!X173*X85,0)</f>
        <v>0</v>
      </c>
      <c r="Z40" s="38">
        <f>IF(Single.Stream!$D$132="Yes",Single.Stream!Y173*Y85,0)</f>
        <v>0</v>
      </c>
      <c r="AA40" s="13"/>
      <c r="AB40" s="13"/>
    </row>
    <row r="41" spans="1:28" x14ac:dyDescent="0.35">
      <c r="A41" t="str">
        <f>Common!A111</f>
        <v>Misc. Organic</v>
      </c>
      <c r="C41" s="34">
        <f>IF(Single.Stream!$D$109="Yes",Single.Stream!B174*B131,0)</f>
        <v>0</v>
      </c>
      <c r="D41" s="34">
        <f>IF(Single.Stream!$D$110="Yes",Single.Stream!C174*C86,0)</f>
        <v>0</v>
      </c>
      <c r="E41" s="35">
        <f>IF(Single.Stream!$D$111="Yes",Single.Stream!D174*D41,0)</f>
        <v>0</v>
      </c>
      <c r="F41" s="34">
        <f>IF(Single.Stream!$D$112="Yes",Single.Stream!E174*D86,0)</f>
        <v>0</v>
      </c>
      <c r="G41" s="34">
        <f>IF(Single.Stream!$D$113="Yes",Single.Stream!F174*F86,0)</f>
        <v>0</v>
      </c>
      <c r="H41" s="34">
        <f>IF(Single.Stream!$D$114="Yes",Single.Stream!G174*G86,0)</f>
        <v>0</v>
      </c>
      <c r="I41" s="35">
        <f>IF(Single.Stream!$D$115="Yes",Single.Stream!H174*G41,0)</f>
        <v>0</v>
      </c>
      <c r="J41" s="36">
        <f>IF(Single.Stream!$D$116="Yes",Single.Stream!I174*H41,0)</f>
        <v>0</v>
      </c>
      <c r="K41" s="37">
        <f>IF(Single.Stream!$D$117="Yes",Single.Stream!J174*(I86+J86),0)</f>
        <v>0</v>
      </c>
      <c r="L41" s="34">
        <f>IF(Single.Stream!$D$118="Yes",Single.Stream!K174*H86,0)</f>
        <v>0</v>
      </c>
      <c r="M41" s="36">
        <f>IF(Single.Stream!$D$119="Yes",Single.Stream!L174*(L41),0)</f>
        <v>0</v>
      </c>
      <c r="N41" s="34">
        <f>IF(Single.Stream!$D$120="Yes",Single.Stream!M174*M86,0)</f>
        <v>0</v>
      </c>
      <c r="O41" s="37">
        <f>IF(Single.Stream!$D$121="Yes",IF(Single.Stream!$D$120="Yes",N41,M86)*Single.Stream!N174,0)</f>
        <v>0</v>
      </c>
      <c r="P41" s="38">
        <f>IF(Single.Stream!$D$122="Yes",Single.Stream!O174*(L86+M41),0)</f>
        <v>0</v>
      </c>
      <c r="Q41" s="38">
        <f>IF(Single.Stream!$D$123="Yes",Single.Stream!P174*O86,0)</f>
        <v>0</v>
      </c>
      <c r="R41" s="38">
        <f>IF(Single.Stream!$D$124="Yes",Single.Stream!Q174*P86,0)</f>
        <v>0</v>
      </c>
      <c r="S41" s="38">
        <f>IF(Single.Stream!$D$125="Yes",Single.Stream!R174*Q86,0)</f>
        <v>0</v>
      </c>
      <c r="T41" s="38">
        <f>IF(Single.Stream!$D$126="Yes",Single.Stream!S174*R86,0)</f>
        <v>0</v>
      </c>
      <c r="U41" s="38">
        <f>IF(Single.Stream!$D$127="Yes",Single.Stream!T174*S86,0)</f>
        <v>0</v>
      </c>
      <c r="V41" s="38">
        <f>IF(Single.Stream!$D$128="Yes",Single.Stream!U174*T86,0)</f>
        <v>0</v>
      </c>
      <c r="W41" s="57">
        <f>IF(Single.Stream!$D$129="Yes",Single.Stream!V174*V41,0)</f>
        <v>0</v>
      </c>
      <c r="X41" s="38">
        <f>IF(Single.Stream!$D$130="Yes",Single.Stream!W174*V86,0)</f>
        <v>0</v>
      </c>
      <c r="Y41" s="38">
        <f>IF(Single.Stream!$D$131="Yes",Single.Stream!X174*X86,0)</f>
        <v>0</v>
      </c>
      <c r="Z41" s="38">
        <f>IF(Single.Stream!$D$132="Yes",Single.Stream!Y174*Y86,0)</f>
        <v>0</v>
      </c>
      <c r="AA41" s="13"/>
      <c r="AB41" s="13"/>
    </row>
    <row r="42" spans="1:28" x14ac:dyDescent="0.35">
      <c r="A42" t="str">
        <f>Common!A112</f>
        <v>Misc. Inorganic</v>
      </c>
      <c r="B42" s="9"/>
      <c r="C42" s="34">
        <f>IF(Single.Stream!$D$109="Yes",Single.Stream!B175*B132,0)</f>
        <v>0</v>
      </c>
      <c r="D42" s="34">
        <f>IF(Single.Stream!$D$110="Yes",Single.Stream!C175*C87,0)</f>
        <v>0</v>
      </c>
      <c r="E42" s="35">
        <f>IF(Single.Stream!$D$111="Yes",Single.Stream!D175*D42,0)</f>
        <v>0</v>
      </c>
      <c r="F42" s="34">
        <f>IF(Single.Stream!$D$112="Yes",Single.Stream!E175*D87,0)</f>
        <v>0</v>
      </c>
      <c r="G42" s="34">
        <f>IF(Single.Stream!$D$113="Yes",Single.Stream!F175*F87,0)</f>
        <v>0</v>
      </c>
      <c r="H42" s="34">
        <f>IF(Single.Stream!$D$114="Yes",Single.Stream!G175*G87,0)</f>
        <v>0</v>
      </c>
      <c r="I42" s="35">
        <f>IF(Single.Stream!$D$115="Yes",Single.Stream!H175*G42,0)</f>
        <v>0</v>
      </c>
      <c r="J42" s="36">
        <f>IF(Single.Stream!$D$116="Yes",Single.Stream!I175*H42,0)</f>
        <v>0</v>
      </c>
      <c r="K42" s="37">
        <f>IF(Single.Stream!$D$117="Yes",Single.Stream!J175*(I87+J87),0)</f>
        <v>0</v>
      </c>
      <c r="L42" s="34">
        <f>IF(Single.Stream!$D$118="Yes",Single.Stream!K175*H87,0)</f>
        <v>0</v>
      </c>
      <c r="M42" s="36">
        <f>IF(Single.Stream!$D$119="Yes",Single.Stream!L175*(L42),0)</f>
        <v>0</v>
      </c>
      <c r="N42" s="34">
        <f>IF(Single.Stream!$D$120="Yes",Single.Stream!M175*M87,0)</f>
        <v>0</v>
      </c>
      <c r="O42" s="37">
        <f>IF(Single.Stream!$D$121="Yes",IF(Single.Stream!$D$120="Yes",N42,M87)*Single.Stream!N175,0)</f>
        <v>0</v>
      </c>
      <c r="P42" s="38">
        <f>IF(Single.Stream!$D$122="Yes",Single.Stream!O175*(L87+M42),0)</f>
        <v>0</v>
      </c>
      <c r="Q42" s="38">
        <f>IF(Single.Stream!$D$123="Yes",Single.Stream!P175*O87,0)</f>
        <v>0</v>
      </c>
      <c r="R42" s="38">
        <f>IF(Single.Stream!$D$124="Yes",Single.Stream!Q175*P87,0)</f>
        <v>0</v>
      </c>
      <c r="S42" s="38">
        <f>IF(Single.Stream!$D$125="Yes",Single.Stream!R175*Q87,0)</f>
        <v>0</v>
      </c>
      <c r="T42" s="38">
        <f>IF(Single.Stream!$D$126="Yes",Single.Stream!S175*R87,0)</f>
        <v>0</v>
      </c>
      <c r="U42" s="38">
        <f>IF(Single.Stream!$D$127="Yes",Single.Stream!T175*S87,0)</f>
        <v>0</v>
      </c>
      <c r="V42" s="38">
        <f>IF(Single.Stream!$D$128="Yes",Single.Stream!U175*T87,0)</f>
        <v>0</v>
      </c>
      <c r="W42" s="57">
        <f>IF(Single.Stream!$D$129="Yes",Single.Stream!V175*V42,0)</f>
        <v>0</v>
      </c>
      <c r="X42" s="38">
        <f>IF(Single.Stream!$D$130="Yes",Single.Stream!W175*V87,0)</f>
        <v>0</v>
      </c>
      <c r="Y42" s="38">
        <f>IF(Single.Stream!$D$131="Yes",Single.Stream!X175*X87,0)</f>
        <v>0</v>
      </c>
      <c r="Z42" s="38">
        <f>IF(Single.Stream!$D$132="Yes",Single.Stream!Y175*Y87,0)</f>
        <v>0</v>
      </c>
      <c r="AA42" s="13"/>
      <c r="AB42" s="13"/>
    </row>
    <row r="43" spans="1:28" x14ac:dyDescent="0.35">
      <c r="A43" t="str">
        <f>Common!A113</f>
        <v>E-waste</v>
      </c>
      <c r="B43" s="9"/>
      <c r="C43" s="34">
        <f>IF(Single.Stream!$D$109="Yes",Single.Stream!B176*B133,0)</f>
        <v>0</v>
      </c>
      <c r="D43" s="34">
        <f>IF(Single.Stream!$D$110="Yes",Single.Stream!C176*C88,0)</f>
        <v>0</v>
      </c>
      <c r="E43" s="42">
        <f>IF(Single.Stream!$D$111="Yes",Single.Stream!D176*D43,0)</f>
        <v>0</v>
      </c>
      <c r="F43" s="34">
        <f>IF(Single.Stream!$D$112="Yes",Single.Stream!E176*D88,0)</f>
        <v>0</v>
      </c>
      <c r="G43" s="34">
        <f>IF(Single.Stream!$D$113="Yes",Single.Stream!F176*F88,0)</f>
        <v>0</v>
      </c>
      <c r="H43" s="34">
        <f>IF(Single.Stream!$D$114="Yes",Single.Stream!G176*G88,0)</f>
        <v>0</v>
      </c>
      <c r="I43" s="42">
        <f>IF(Single.Stream!$D$115="Yes",Single.Stream!H176*G43,0)</f>
        <v>0</v>
      </c>
      <c r="J43" s="44">
        <f>IF(Single.Stream!$D$116="Yes",Single.Stream!I176*H43,0)</f>
        <v>0</v>
      </c>
      <c r="K43" s="41">
        <f>IF(Single.Stream!$D$117="Yes",Single.Stream!J176*(I88+J88),0)</f>
        <v>0</v>
      </c>
      <c r="L43" s="34">
        <f>IF(Single.Stream!$D$118="Yes",Single.Stream!K176*H88,0)</f>
        <v>0</v>
      </c>
      <c r="M43" s="44">
        <f>IF(Single.Stream!$D$119="Yes",Single.Stream!L176*(L43),0)</f>
        <v>0</v>
      </c>
      <c r="N43" s="40">
        <f>IF(Single.Stream!$D$120="Yes",Single.Stream!M176*M88,0)</f>
        <v>0</v>
      </c>
      <c r="O43" s="41">
        <f>IF(Single.Stream!$D$121="Yes",IF(Single.Stream!$D$120="Yes",N43,M88)*Single.Stream!N176,0)</f>
        <v>0</v>
      </c>
      <c r="P43" s="38">
        <f>IF(Single.Stream!$D$122="Yes",Single.Stream!O176*(L88+M43),0)</f>
        <v>0</v>
      </c>
      <c r="Q43" s="38">
        <f>IF(Single.Stream!$D$123="Yes",Single.Stream!P176*O88,0)</f>
        <v>0</v>
      </c>
      <c r="R43" s="38">
        <f>IF(Single.Stream!$D$124="Yes",Single.Stream!Q176*P88,0)</f>
        <v>0</v>
      </c>
      <c r="S43" s="38">
        <f>IF(Single.Stream!$D$125="Yes",Single.Stream!R176*Q88,0)</f>
        <v>0</v>
      </c>
      <c r="T43" s="38">
        <f>IF(Single.Stream!$D$126="Yes",Single.Stream!S176*R88,0)</f>
        <v>0</v>
      </c>
      <c r="U43" s="38">
        <f>IF(Single.Stream!$D$127="Yes",Single.Stream!T176*S88,0)</f>
        <v>0</v>
      </c>
      <c r="V43" s="38">
        <f>IF(Single.Stream!$D$128="Yes",Single.Stream!U176*T88,0)</f>
        <v>0</v>
      </c>
      <c r="W43" s="58">
        <f>IF(Single.Stream!$D$129="Yes",Single.Stream!V176*V43,0)</f>
        <v>0</v>
      </c>
      <c r="X43" s="38">
        <f>IF(Single.Stream!$D$130="Yes",Single.Stream!W176*V88,0)</f>
        <v>0</v>
      </c>
      <c r="Y43" s="38">
        <f>IF(Single.Stream!$D$131="Yes",Single.Stream!X176*X88,0)</f>
        <v>0</v>
      </c>
      <c r="Z43" s="38">
        <f>IF(Single.Stream!$D$132="Yes",Single.Stream!Y176*Y88,0)</f>
        <v>0</v>
      </c>
      <c r="AA43" s="13"/>
      <c r="AB43" s="13"/>
    </row>
    <row r="44" spans="1:28" s="25" customFormat="1" x14ac:dyDescent="0.35">
      <c r="A44" s="25" t="s">
        <v>92</v>
      </c>
      <c r="C44" s="43">
        <f t="shared" ref="C44:Z44" si="0">SUM(C3:C43)</f>
        <v>0</v>
      </c>
      <c r="D44" s="43">
        <f t="shared" si="0"/>
        <v>4.8600000000000003</v>
      </c>
      <c r="E44" s="43">
        <f t="shared" si="0"/>
        <v>4.8600000000000003</v>
      </c>
      <c r="F44" s="43">
        <f t="shared" si="0"/>
        <v>27.859999999999996</v>
      </c>
      <c r="G44" s="43">
        <f t="shared" si="0"/>
        <v>34.629002550000003</v>
      </c>
      <c r="H44" s="43">
        <f t="shared" si="0"/>
        <v>5.5610104094999997</v>
      </c>
      <c r="I44" s="43">
        <f t="shared" si="0"/>
        <v>0</v>
      </c>
      <c r="J44" s="43">
        <f t="shared" si="0"/>
        <v>0</v>
      </c>
      <c r="K44" s="43">
        <f t="shared" si="0"/>
        <v>0</v>
      </c>
      <c r="L44" s="43">
        <f t="shared" si="0"/>
        <v>12.756002089999999</v>
      </c>
      <c r="M44" s="43">
        <f t="shared" si="0"/>
        <v>0.70228020369999999</v>
      </c>
      <c r="N44" s="43">
        <f t="shared" si="0"/>
        <v>0</v>
      </c>
      <c r="O44" s="43">
        <f t="shared" si="0"/>
        <v>0</v>
      </c>
      <c r="P44" s="43">
        <f t="shared" si="0"/>
        <v>3.6205610000000004</v>
      </c>
      <c r="Q44" s="43">
        <f t="shared" si="0"/>
        <v>0</v>
      </c>
      <c r="R44" s="43">
        <f t="shared" si="0"/>
        <v>3.0334430000000001</v>
      </c>
      <c r="S44" s="43">
        <f t="shared" si="0"/>
        <v>0</v>
      </c>
      <c r="T44" s="43">
        <f t="shared" si="0"/>
        <v>3.72400098</v>
      </c>
      <c r="U44" s="43">
        <f t="shared" si="0"/>
        <v>0</v>
      </c>
      <c r="V44" s="43">
        <f t="shared" si="0"/>
        <v>2.5220019399999996</v>
      </c>
      <c r="W44" s="43">
        <f t="shared" si="0"/>
        <v>0</v>
      </c>
      <c r="X44" s="43">
        <f t="shared" si="0"/>
        <v>0</v>
      </c>
      <c r="Y44" s="43">
        <f t="shared" si="0"/>
        <v>0</v>
      </c>
      <c r="Z44" s="43">
        <f t="shared" si="0"/>
        <v>0</v>
      </c>
    </row>
    <row r="45" spans="1:28" x14ac:dyDescent="0.35">
      <c r="A45" s="1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9"/>
      <c r="Q45" s="39"/>
      <c r="R45" s="39"/>
      <c r="S45" s="39"/>
      <c r="T45" s="11"/>
      <c r="U45" s="11"/>
      <c r="V45" s="11"/>
      <c r="W45" s="11"/>
      <c r="X45" s="11"/>
      <c r="Y45" s="11"/>
      <c r="Z45" s="13"/>
      <c r="AA45" s="13"/>
      <c r="AB45" s="13"/>
    </row>
    <row r="46" spans="1:28" s="9" customFormat="1" x14ac:dyDescent="0.35">
      <c r="A46" s="20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9"/>
      <c r="Q46" s="39"/>
      <c r="R46" s="39"/>
      <c r="S46" s="39"/>
      <c r="T46" s="11"/>
      <c r="U46" s="11"/>
      <c r="V46" s="11"/>
      <c r="W46" s="11"/>
      <c r="X46" s="11"/>
      <c r="Y46" s="11"/>
      <c r="Z46" s="13"/>
      <c r="AA46" s="13"/>
      <c r="AB46" s="13"/>
    </row>
    <row r="47" spans="1:28" s="30" customFormat="1" ht="29" x14ac:dyDescent="0.35">
      <c r="B47" s="45"/>
      <c r="C47" s="46" t="str">
        <f>Single.Stream!B135</f>
        <v>Drum Feeder</v>
      </c>
      <c r="D47" s="46" t="str">
        <f>Single.Stream!C135</f>
        <v>Manual Sort 1 (Negative)</v>
      </c>
      <c r="E47" s="88" t="str">
        <f>Single.Stream!D135</f>
        <v>Vacuum</v>
      </c>
      <c r="F47" s="46" t="str">
        <f>Single.Stream!E135</f>
        <v>Disc Screen 1</v>
      </c>
      <c r="G47" s="46" t="str">
        <f>Single.Stream!F135</f>
        <v>Disc Screen 2</v>
      </c>
      <c r="H47" s="46" t="str">
        <f>Single.Stream!G135</f>
        <v>Disc Screen 3</v>
      </c>
      <c r="I47" s="83" t="str">
        <f>Single.Stream!H135</f>
        <v>Manual Sort 2-DS2 (Negative)</v>
      </c>
      <c r="J47" s="84" t="str">
        <f>Single.Stream!I135</f>
        <v>Manual Sort 2-DS3 (Negative)</v>
      </c>
      <c r="K47" s="85" t="str">
        <f>Single.Stream!J135</f>
        <v>1-Way Baler</v>
      </c>
      <c r="L47" s="46" t="str">
        <f>Single.Stream!K135</f>
        <v>Glass Breaker Screen</v>
      </c>
      <c r="M47" s="84" t="str">
        <f>Single.Stream!L135</f>
        <v>Air Knife</v>
      </c>
      <c r="N47" s="86" t="str">
        <f>Single.Stream!M135</f>
        <v>Optical Glass</v>
      </c>
      <c r="O47" s="85" t="str">
        <f>Single.Stream!N135</f>
        <v>Manual Sort 3-G (Negative)</v>
      </c>
      <c r="P47" s="46" t="str">
        <f>Single.Stream!O135</f>
        <v>Optical PET</v>
      </c>
      <c r="Q47" s="83" t="str">
        <f>Single.Stream!P135</f>
        <v>Manual Sort 4-PET (Negative)</v>
      </c>
      <c r="R47" s="46" t="str">
        <f>Single.Stream!Q135</f>
        <v>Optical HDPE</v>
      </c>
      <c r="S47" s="83" t="str">
        <f>Single.Stream!R135</f>
        <v>Manual Sort 4-HDPE (Negative)</v>
      </c>
      <c r="T47" s="46" t="str">
        <f>Single.Stream!S135</f>
        <v>Magnet</v>
      </c>
      <c r="U47" s="83" t="str">
        <f>Single.Stream!T135</f>
        <v>Manual Sort 4-Fe (Negative)</v>
      </c>
      <c r="V47" s="46" t="str">
        <f>Single.Stream!U135</f>
        <v>Eddy Current Separator</v>
      </c>
      <c r="W47" s="83" t="str">
        <f>Single.Stream!V135</f>
        <v>Manual Sort 4-Al (Negative)</v>
      </c>
      <c r="X47" s="46" t="str">
        <f>Single.Stream!W135</f>
        <v>Manual Sort 5 (Positive)</v>
      </c>
      <c r="Y47" s="46" t="str">
        <f>Single.Stream!X135</f>
        <v>2-Way Baler</v>
      </c>
      <c r="Z47" s="46" t="str">
        <f>Single.Stream!Y135</f>
        <v>Rolling Stock</v>
      </c>
      <c r="AA47" s="98"/>
      <c r="AB47" s="98"/>
    </row>
    <row r="48" spans="1:28" s="9" customFormat="1" x14ac:dyDescent="0.35">
      <c r="A48" s="9" t="str">
        <f>A3</f>
        <v>Yard Trimmings, Leaves</v>
      </c>
      <c r="C48" s="34">
        <f t="shared" ref="C48" si="1">B93-C3</f>
        <v>9.9999999999999995E-7</v>
      </c>
      <c r="D48" s="34">
        <f t="shared" ref="D48:H48" si="2">C48-D3</f>
        <v>9.9999999999999995E-7</v>
      </c>
      <c r="E48" s="57">
        <f>D3-E3</f>
        <v>0</v>
      </c>
      <c r="F48" s="34">
        <f t="shared" ref="F48:F88" si="3">D48-F3</f>
        <v>9.9999999999999995E-7</v>
      </c>
      <c r="G48" s="34">
        <f t="shared" si="2"/>
        <v>9.9999999999999995E-7</v>
      </c>
      <c r="H48" s="34">
        <f t="shared" si="2"/>
        <v>9.9999999999999995E-7</v>
      </c>
      <c r="I48" s="35">
        <f>G3-I3</f>
        <v>0</v>
      </c>
      <c r="J48" s="36">
        <f>H3-J3</f>
        <v>0</v>
      </c>
      <c r="K48" s="37">
        <f t="shared" ref="K48:K88" si="4">(I48+J48+F3)-K3</f>
        <v>0</v>
      </c>
      <c r="L48" s="34">
        <f t="shared" ref="L48:L88" si="5">H48-L3</f>
        <v>9.9999999999999995E-7</v>
      </c>
      <c r="M48" s="36">
        <f>L3-M3</f>
        <v>0</v>
      </c>
      <c r="N48" s="34">
        <f t="shared" ref="N48" si="6">M48-N3</f>
        <v>0</v>
      </c>
      <c r="O48" s="37">
        <f>N3-O3</f>
        <v>0</v>
      </c>
      <c r="P48" s="38">
        <f>L48+M3-P3</f>
        <v>9.9999999999999995E-7</v>
      </c>
      <c r="Q48" s="57">
        <f>P3-Q3</f>
        <v>0</v>
      </c>
      <c r="R48" s="39">
        <f t="shared" ref="R48:R88" si="7">P48-R3</f>
        <v>9.9999999999999995E-7</v>
      </c>
      <c r="S48" s="57">
        <f>R3-S3</f>
        <v>0</v>
      </c>
      <c r="T48" s="39">
        <f t="shared" ref="T48:T88" si="8">R48-T3</f>
        <v>9.9999999999999995E-7</v>
      </c>
      <c r="U48" s="57">
        <f>T3-U3</f>
        <v>0</v>
      </c>
      <c r="V48" s="39">
        <f>T48-V3</f>
        <v>9.9999999999999995E-7</v>
      </c>
      <c r="W48" s="59">
        <f>V3-W3</f>
        <v>0</v>
      </c>
      <c r="X48" s="39">
        <f t="shared" ref="X48:X88" si="9">V48-X3</f>
        <v>9.9999999999999995E-7</v>
      </c>
      <c r="Y48" s="39">
        <f t="shared" ref="Y48:Y88" si="10">(Q48+S48+U48+W48+E3)-Y3</f>
        <v>0</v>
      </c>
      <c r="Z48" s="39">
        <f t="shared" ref="Z48:Z88" si="11">B93-Z3</f>
        <v>9.9999999999999995E-7</v>
      </c>
      <c r="AA48" s="13"/>
      <c r="AB48" s="13"/>
    </row>
    <row r="49" spans="1:28" s="9" customFormat="1" x14ac:dyDescent="0.35">
      <c r="A49" s="9" t="str">
        <f t="shared" ref="A49:A88" si="12">A4</f>
        <v>Yard Trimmings, Grass</v>
      </c>
      <c r="C49" s="34">
        <f t="shared" ref="C49:C88" si="13">B94-C4</f>
        <v>9.9999999999999995E-7</v>
      </c>
      <c r="D49" s="34">
        <f t="shared" ref="D49:D88" si="14">C49-D4</f>
        <v>9.9999999999999995E-7</v>
      </c>
      <c r="E49" s="57">
        <f t="shared" ref="E49:E88" si="15">D4-E4</f>
        <v>0</v>
      </c>
      <c r="F49" s="34">
        <f t="shared" si="3"/>
        <v>9.9999999999999995E-7</v>
      </c>
      <c r="G49" s="34">
        <f t="shared" ref="G49:H68" si="16">F49-G4</f>
        <v>9.9999999999999995E-7</v>
      </c>
      <c r="H49" s="34">
        <f t="shared" si="16"/>
        <v>9.9999999999999995E-7</v>
      </c>
      <c r="I49" s="35">
        <f t="shared" ref="I49:J49" si="17">G4-I4</f>
        <v>0</v>
      </c>
      <c r="J49" s="36">
        <f t="shared" si="17"/>
        <v>0</v>
      </c>
      <c r="K49" s="37">
        <f t="shared" si="4"/>
        <v>0</v>
      </c>
      <c r="L49" s="34">
        <f t="shared" si="5"/>
        <v>9.9999999999999995E-7</v>
      </c>
      <c r="M49" s="36">
        <f t="shared" ref="M49:M88" si="18">L4-M4</f>
        <v>0</v>
      </c>
      <c r="N49" s="34">
        <f t="shared" ref="N49:N88" si="19">M49-N4</f>
        <v>0</v>
      </c>
      <c r="O49" s="37">
        <f t="shared" ref="O49:O88" si="20">N4-O4</f>
        <v>0</v>
      </c>
      <c r="P49" s="38">
        <f t="shared" ref="P49:P89" si="21">L49+M4-P4</f>
        <v>9.9999999999999995E-7</v>
      </c>
      <c r="Q49" s="57">
        <f t="shared" ref="Q49:Q88" si="22">P4-Q4</f>
        <v>0</v>
      </c>
      <c r="R49" s="39">
        <f t="shared" si="7"/>
        <v>9.9999999999999995E-7</v>
      </c>
      <c r="S49" s="57">
        <f t="shared" ref="S49:S88" si="23">R4-S4</f>
        <v>0</v>
      </c>
      <c r="T49" s="39">
        <f t="shared" si="8"/>
        <v>9.9999999999999995E-7</v>
      </c>
      <c r="U49" s="57">
        <f t="shared" ref="U49:U88" si="24">T4-U4</f>
        <v>0</v>
      </c>
      <c r="V49" s="39">
        <f t="shared" ref="V49" si="25">T49-V4</f>
        <v>9.9999999999999995E-7</v>
      </c>
      <c r="W49" s="59">
        <f t="shared" ref="W49:W88" si="26">V4-W4</f>
        <v>0</v>
      </c>
      <c r="X49" s="39">
        <f t="shared" si="9"/>
        <v>9.9999999999999995E-7</v>
      </c>
      <c r="Y49" s="39">
        <f t="shared" si="10"/>
        <v>0</v>
      </c>
      <c r="Z49" s="39">
        <f t="shared" si="11"/>
        <v>9.9999999999999995E-7</v>
      </c>
      <c r="AA49" s="13"/>
      <c r="AB49" s="13"/>
    </row>
    <row r="50" spans="1:28" s="9" customFormat="1" x14ac:dyDescent="0.35">
      <c r="A50" s="9" t="str">
        <f t="shared" si="12"/>
        <v>Yard Trimmings, Branches</v>
      </c>
      <c r="C50" s="34">
        <f t="shared" si="13"/>
        <v>9.9999999999999995E-7</v>
      </c>
      <c r="D50" s="34">
        <f t="shared" si="14"/>
        <v>9.9999999999999995E-7</v>
      </c>
      <c r="E50" s="57">
        <f t="shared" si="15"/>
        <v>0</v>
      </c>
      <c r="F50" s="34">
        <f t="shared" si="3"/>
        <v>9.9999999999999995E-7</v>
      </c>
      <c r="G50" s="34">
        <f t="shared" si="16"/>
        <v>9.9999999999999995E-7</v>
      </c>
      <c r="H50" s="34">
        <f t="shared" si="16"/>
        <v>9.9999999999999995E-7</v>
      </c>
      <c r="I50" s="35">
        <f t="shared" ref="I50:J50" si="27">G5-I5</f>
        <v>0</v>
      </c>
      <c r="J50" s="36">
        <f t="shared" si="27"/>
        <v>0</v>
      </c>
      <c r="K50" s="37">
        <f t="shared" si="4"/>
        <v>0</v>
      </c>
      <c r="L50" s="34">
        <f t="shared" si="5"/>
        <v>9.9999999999999995E-7</v>
      </c>
      <c r="M50" s="36">
        <f t="shared" si="18"/>
        <v>0</v>
      </c>
      <c r="N50" s="34">
        <f t="shared" si="19"/>
        <v>0</v>
      </c>
      <c r="O50" s="37">
        <f t="shared" si="20"/>
        <v>0</v>
      </c>
      <c r="P50" s="38">
        <f t="shared" si="21"/>
        <v>9.9999999999999995E-7</v>
      </c>
      <c r="Q50" s="57">
        <f t="shared" si="22"/>
        <v>0</v>
      </c>
      <c r="R50" s="39">
        <f t="shared" si="7"/>
        <v>9.9999999999999995E-7</v>
      </c>
      <c r="S50" s="57">
        <f t="shared" si="23"/>
        <v>0</v>
      </c>
      <c r="T50" s="39">
        <f t="shared" si="8"/>
        <v>9.9999999999999995E-7</v>
      </c>
      <c r="U50" s="57">
        <f t="shared" si="24"/>
        <v>0</v>
      </c>
      <c r="V50" s="39">
        <f t="shared" ref="V50" si="28">T50-V5</f>
        <v>9.9999999999999995E-7</v>
      </c>
      <c r="W50" s="59">
        <f t="shared" si="26"/>
        <v>0</v>
      </c>
      <c r="X50" s="39">
        <f t="shared" si="9"/>
        <v>9.9999999999999995E-7</v>
      </c>
      <c r="Y50" s="39">
        <f t="shared" si="10"/>
        <v>0</v>
      </c>
      <c r="Z50" s="39">
        <f t="shared" si="11"/>
        <v>9.9999999999999995E-7</v>
      </c>
      <c r="AA50" s="13"/>
      <c r="AB50" s="13"/>
    </row>
    <row r="51" spans="1:28" s="9" customFormat="1" x14ac:dyDescent="0.35">
      <c r="A51" s="9" t="str">
        <f t="shared" si="12"/>
        <v>Food Waste - Vegetable</v>
      </c>
      <c r="C51" s="34">
        <f t="shared" si="13"/>
        <v>9.9999999999999995E-7</v>
      </c>
      <c r="D51" s="34">
        <f t="shared" si="14"/>
        <v>9.9999999999999995E-7</v>
      </c>
      <c r="E51" s="57">
        <f t="shared" si="15"/>
        <v>0</v>
      </c>
      <c r="F51" s="34">
        <f t="shared" si="3"/>
        <v>9.9999999999999995E-7</v>
      </c>
      <c r="G51" s="34">
        <f t="shared" si="16"/>
        <v>9.9999999999999995E-7</v>
      </c>
      <c r="H51" s="34">
        <f t="shared" si="16"/>
        <v>9.9999999999999995E-7</v>
      </c>
      <c r="I51" s="35">
        <f t="shared" ref="I51:J51" si="29">G6-I6</f>
        <v>0</v>
      </c>
      <c r="J51" s="36">
        <f t="shared" si="29"/>
        <v>0</v>
      </c>
      <c r="K51" s="37">
        <f t="shared" si="4"/>
        <v>0</v>
      </c>
      <c r="L51" s="34">
        <f t="shared" si="5"/>
        <v>9.9999999999999995E-7</v>
      </c>
      <c r="M51" s="36">
        <f t="shared" si="18"/>
        <v>0</v>
      </c>
      <c r="N51" s="34">
        <f t="shared" si="19"/>
        <v>0</v>
      </c>
      <c r="O51" s="37">
        <f t="shared" si="20"/>
        <v>0</v>
      </c>
      <c r="P51" s="38">
        <f t="shared" si="21"/>
        <v>9.9999999999999995E-7</v>
      </c>
      <c r="Q51" s="57">
        <f t="shared" si="22"/>
        <v>0</v>
      </c>
      <c r="R51" s="39">
        <f t="shared" si="7"/>
        <v>9.9999999999999995E-7</v>
      </c>
      <c r="S51" s="57">
        <f t="shared" si="23"/>
        <v>0</v>
      </c>
      <c r="T51" s="39">
        <f t="shared" si="8"/>
        <v>9.9999999999999995E-7</v>
      </c>
      <c r="U51" s="57">
        <f t="shared" si="24"/>
        <v>0</v>
      </c>
      <c r="V51" s="39">
        <f t="shared" ref="V51" si="30">T51-V6</f>
        <v>9.9999999999999995E-7</v>
      </c>
      <c r="W51" s="59">
        <f t="shared" si="26"/>
        <v>0</v>
      </c>
      <c r="X51" s="39">
        <f t="shared" si="9"/>
        <v>9.9999999999999995E-7</v>
      </c>
      <c r="Y51" s="39">
        <f t="shared" si="10"/>
        <v>0</v>
      </c>
      <c r="Z51" s="39">
        <f t="shared" si="11"/>
        <v>9.9999999999999995E-7</v>
      </c>
      <c r="AA51" s="13"/>
      <c r="AB51" s="13"/>
    </row>
    <row r="52" spans="1:28" s="9" customFormat="1" x14ac:dyDescent="0.35">
      <c r="A52" s="9" t="str">
        <f t="shared" si="12"/>
        <v>Food Waste - Non-Vegetable</v>
      </c>
      <c r="C52" s="34">
        <f t="shared" si="13"/>
        <v>9.9999999999999995E-7</v>
      </c>
      <c r="D52" s="34">
        <f t="shared" si="14"/>
        <v>9.9999999999999995E-7</v>
      </c>
      <c r="E52" s="57">
        <f t="shared" si="15"/>
        <v>0</v>
      </c>
      <c r="F52" s="34">
        <f t="shared" si="3"/>
        <v>9.9999999999999995E-7</v>
      </c>
      <c r="G52" s="34">
        <f t="shared" si="16"/>
        <v>9.9999999999999995E-7</v>
      </c>
      <c r="H52" s="34">
        <f t="shared" si="16"/>
        <v>9.9999999999999995E-7</v>
      </c>
      <c r="I52" s="35">
        <f t="shared" ref="I52:J52" si="31">G7-I7</f>
        <v>0</v>
      </c>
      <c r="J52" s="36">
        <f t="shared" si="31"/>
        <v>0</v>
      </c>
      <c r="K52" s="37">
        <f t="shared" si="4"/>
        <v>0</v>
      </c>
      <c r="L52" s="34">
        <f t="shared" si="5"/>
        <v>9.9999999999999995E-7</v>
      </c>
      <c r="M52" s="36">
        <f t="shared" si="18"/>
        <v>0</v>
      </c>
      <c r="N52" s="34">
        <f t="shared" si="19"/>
        <v>0</v>
      </c>
      <c r="O52" s="37">
        <f t="shared" si="20"/>
        <v>0</v>
      </c>
      <c r="P52" s="38">
        <f t="shared" si="21"/>
        <v>9.9999999999999995E-7</v>
      </c>
      <c r="Q52" s="57">
        <f t="shared" si="22"/>
        <v>0</v>
      </c>
      <c r="R52" s="39">
        <f t="shared" si="7"/>
        <v>9.9999999999999995E-7</v>
      </c>
      <c r="S52" s="57">
        <f t="shared" si="23"/>
        <v>0</v>
      </c>
      <c r="T52" s="39">
        <f t="shared" si="8"/>
        <v>9.9999999999999995E-7</v>
      </c>
      <c r="U52" s="57">
        <f t="shared" si="24"/>
        <v>0</v>
      </c>
      <c r="V52" s="39">
        <f t="shared" ref="V52" si="32">T52-V7</f>
        <v>9.9999999999999995E-7</v>
      </c>
      <c r="W52" s="59">
        <f t="shared" si="26"/>
        <v>0</v>
      </c>
      <c r="X52" s="39">
        <f t="shared" si="9"/>
        <v>9.9999999999999995E-7</v>
      </c>
      <c r="Y52" s="39">
        <f t="shared" si="10"/>
        <v>0</v>
      </c>
      <c r="Z52" s="39">
        <f t="shared" si="11"/>
        <v>9.9999999999999995E-7</v>
      </c>
      <c r="AA52" s="13"/>
      <c r="AB52" s="13"/>
    </row>
    <row r="53" spans="1:28" s="9" customFormat="1" x14ac:dyDescent="0.35">
      <c r="A53" s="9" t="str">
        <f t="shared" si="12"/>
        <v>Wood</v>
      </c>
      <c r="C53" s="34">
        <f t="shared" si="13"/>
        <v>9.9999999999999995E-7</v>
      </c>
      <c r="D53" s="34">
        <f t="shared" si="14"/>
        <v>9.9999999999999995E-7</v>
      </c>
      <c r="E53" s="57">
        <f t="shared" si="15"/>
        <v>0</v>
      </c>
      <c r="F53" s="34">
        <f t="shared" si="3"/>
        <v>9.9999999999999995E-7</v>
      </c>
      <c r="G53" s="34">
        <f t="shared" si="16"/>
        <v>9.9999999999999995E-7</v>
      </c>
      <c r="H53" s="34">
        <f t="shared" si="16"/>
        <v>9.9999999999999995E-7</v>
      </c>
      <c r="I53" s="35">
        <f t="shared" ref="I53:J53" si="33">G8-I8</f>
        <v>0</v>
      </c>
      <c r="J53" s="36">
        <f t="shared" si="33"/>
        <v>0</v>
      </c>
      <c r="K53" s="37">
        <f t="shared" si="4"/>
        <v>0</v>
      </c>
      <c r="L53" s="34">
        <f t="shared" si="5"/>
        <v>9.9999999999999995E-7</v>
      </c>
      <c r="M53" s="36">
        <f t="shared" si="18"/>
        <v>0</v>
      </c>
      <c r="N53" s="34">
        <f t="shared" si="19"/>
        <v>0</v>
      </c>
      <c r="O53" s="37">
        <f t="shared" si="20"/>
        <v>0</v>
      </c>
      <c r="P53" s="38">
        <f t="shared" si="21"/>
        <v>9.9999999999999995E-7</v>
      </c>
      <c r="Q53" s="57">
        <f t="shared" si="22"/>
        <v>0</v>
      </c>
      <c r="R53" s="39">
        <f t="shared" si="7"/>
        <v>9.9999999999999995E-7</v>
      </c>
      <c r="S53" s="57">
        <f t="shared" si="23"/>
        <v>0</v>
      </c>
      <c r="T53" s="39">
        <f t="shared" si="8"/>
        <v>9.9999999999999995E-7</v>
      </c>
      <c r="U53" s="57">
        <f t="shared" si="24"/>
        <v>0</v>
      </c>
      <c r="V53" s="39">
        <f t="shared" ref="V53" si="34">T53-V8</f>
        <v>9.9999999999999995E-7</v>
      </c>
      <c r="W53" s="59">
        <f t="shared" si="26"/>
        <v>0</v>
      </c>
      <c r="X53" s="39">
        <f t="shared" si="9"/>
        <v>9.9999999999999995E-7</v>
      </c>
      <c r="Y53" s="39">
        <f t="shared" si="10"/>
        <v>0</v>
      </c>
      <c r="Z53" s="39">
        <f t="shared" si="11"/>
        <v>9.9999999999999995E-7</v>
      </c>
      <c r="AA53" s="13"/>
      <c r="AB53" s="13"/>
    </row>
    <row r="54" spans="1:28" s="9" customFormat="1" x14ac:dyDescent="0.35">
      <c r="A54" s="9" t="str">
        <f t="shared" si="12"/>
        <v>Wood Other</v>
      </c>
      <c r="C54" s="34">
        <f t="shared" si="13"/>
        <v>9.9999999999999995E-7</v>
      </c>
      <c r="D54" s="34">
        <f t="shared" si="14"/>
        <v>9.9999999999999995E-7</v>
      </c>
      <c r="E54" s="57">
        <f t="shared" si="15"/>
        <v>0</v>
      </c>
      <c r="F54" s="34">
        <f t="shared" si="3"/>
        <v>9.9999999999999995E-7</v>
      </c>
      <c r="G54" s="34">
        <f t="shared" si="16"/>
        <v>9.9999999999999995E-7</v>
      </c>
      <c r="H54" s="34">
        <f t="shared" si="16"/>
        <v>9.9999999999999995E-7</v>
      </c>
      <c r="I54" s="35">
        <f t="shared" ref="I54:J54" si="35">G9-I9</f>
        <v>0</v>
      </c>
      <c r="J54" s="36">
        <f t="shared" si="35"/>
        <v>0</v>
      </c>
      <c r="K54" s="37">
        <f t="shared" si="4"/>
        <v>0</v>
      </c>
      <c r="L54" s="34">
        <f t="shared" si="5"/>
        <v>9.9999999999999995E-7</v>
      </c>
      <c r="M54" s="36">
        <f t="shared" si="18"/>
        <v>0</v>
      </c>
      <c r="N54" s="34">
        <f t="shared" si="19"/>
        <v>0</v>
      </c>
      <c r="O54" s="37">
        <f t="shared" si="20"/>
        <v>0</v>
      </c>
      <c r="P54" s="38">
        <f t="shared" si="21"/>
        <v>9.9999999999999995E-7</v>
      </c>
      <c r="Q54" s="57">
        <f t="shared" si="22"/>
        <v>0</v>
      </c>
      <c r="R54" s="39">
        <f t="shared" si="7"/>
        <v>9.9999999999999995E-7</v>
      </c>
      <c r="S54" s="57">
        <f t="shared" si="23"/>
        <v>0</v>
      </c>
      <c r="T54" s="39">
        <f t="shared" si="8"/>
        <v>9.9999999999999995E-7</v>
      </c>
      <c r="U54" s="57">
        <f t="shared" si="24"/>
        <v>0</v>
      </c>
      <c r="V54" s="39">
        <f t="shared" ref="V54" si="36">T54-V9</f>
        <v>9.9999999999999995E-7</v>
      </c>
      <c r="W54" s="59">
        <f t="shared" si="26"/>
        <v>0</v>
      </c>
      <c r="X54" s="39">
        <f t="shared" si="9"/>
        <v>9.9999999999999995E-7</v>
      </c>
      <c r="Y54" s="39">
        <f t="shared" si="10"/>
        <v>0</v>
      </c>
      <c r="Z54" s="39">
        <f t="shared" si="11"/>
        <v>9.9999999999999995E-7</v>
      </c>
      <c r="AB54" s="13"/>
    </row>
    <row r="55" spans="1:28" s="9" customFormat="1" x14ac:dyDescent="0.35">
      <c r="A55" s="9" t="str">
        <f t="shared" si="12"/>
        <v>Textiles</v>
      </c>
      <c r="C55" s="34">
        <f t="shared" si="13"/>
        <v>9.9999999999999995E-7</v>
      </c>
      <c r="D55" s="34">
        <f t="shared" si="14"/>
        <v>9.9999999999999995E-7</v>
      </c>
      <c r="E55" s="57">
        <f t="shared" si="15"/>
        <v>0</v>
      </c>
      <c r="F55" s="34">
        <f t="shared" si="3"/>
        <v>9.9999999999999995E-7</v>
      </c>
      <c r="G55" s="34">
        <f t="shared" si="16"/>
        <v>9.9999999999999995E-7</v>
      </c>
      <c r="H55" s="34">
        <f t="shared" si="16"/>
        <v>9.9999999999999995E-7</v>
      </c>
      <c r="I55" s="35">
        <f t="shared" ref="I55:J55" si="37">G10-I10</f>
        <v>0</v>
      </c>
      <c r="J55" s="36">
        <f t="shared" si="37"/>
        <v>0</v>
      </c>
      <c r="K55" s="37">
        <f t="shared" si="4"/>
        <v>0</v>
      </c>
      <c r="L55" s="34">
        <f t="shared" si="5"/>
        <v>9.9999999999999995E-7</v>
      </c>
      <c r="M55" s="36">
        <f t="shared" si="18"/>
        <v>0</v>
      </c>
      <c r="N55" s="34">
        <f t="shared" si="19"/>
        <v>0</v>
      </c>
      <c r="O55" s="37">
        <f t="shared" si="20"/>
        <v>0</v>
      </c>
      <c r="P55" s="38">
        <f t="shared" si="21"/>
        <v>9.9999999999999995E-7</v>
      </c>
      <c r="Q55" s="57">
        <f t="shared" si="22"/>
        <v>0</v>
      </c>
      <c r="R55" s="39">
        <f t="shared" si="7"/>
        <v>9.9999999999999995E-7</v>
      </c>
      <c r="S55" s="57">
        <f t="shared" si="23"/>
        <v>0</v>
      </c>
      <c r="T55" s="39">
        <f t="shared" si="8"/>
        <v>9.9999999999999995E-7</v>
      </c>
      <c r="U55" s="57">
        <f t="shared" si="24"/>
        <v>0</v>
      </c>
      <c r="V55" s="39">
        <f t="shared" ref="V55" si="38">T55-V10</f>
        <v>9.9999999999999995E-7</v>
      </c>
      <c r="W55" s="59">
        <f t="shared" si="26"/>
        <v>0</v>
      </c>
      <c r="X55" s="39">
        <f t="shared" si="9"/>
        <v>9.9999999999999995E-7</v>
      </c>
      <c r="Y55" s="39">
        <f t="shared" si="10"/>
        <v>0</v>
      </c>
      <c r="Z55" s="39">
        <f t="shared" si="11"/>
        <v>9.9999999999999995E-7</v>
      </c>
      <c r="AB55" s="13"/>
    </row>
    <row r="56" spans="1:28" s="9" customFormat="1" x14ac:dyDescent="0.35">
      <c r="A56" s="9" t="str">
        <f t="shared" si="12"/>
        <v>Rubber/Leather</v>
      </c>
      <c r="C56" s="34">
        <f t="shared" si="13"/>
        <v>9.9999999999999995E-7</v>
      </c>
      <c r="D56" s="34">
        <f t="shared" si="14"/>
        <v>9.9999999999999995E-7</v>
      </c>
      <c r="E56" s="57">
        <f t="shared" si="15"/>
        <v>0</v>
      </c>
      <c r="F56" s="34">
        <f t="shared" si="3"/>
        <v>9.9999999999999995E-7</v>
      </c>
      <c r="G56" s="34">
        <f t="shared" si="16"/>
        <v>9.9999999999999995E-7</v>
      </c>
      <c r="H56" s="34">
        <f t="shared" si="16"/>
        <v>9.9999999999999995E-7</v>
      </c>
      <c r="I56" s="35">
        <f t="shared" ref="I56:J56" si="39">G11-I11</f>
        <v>0</v>
      </c>
      <c r="J56" s="36">
        <f t="shared" si="39"/>
        <v>0</v>
      </c>
      <c r="K56" s="37">
        <f t="shared" si="4"/>
        <v>0</v>
      </c>
      <c r="L56" s="34">
        <f t="shared" si="5"/>
        <v>9.9999999999999995E-7</v>
      </c>
      <c r="M56" s="36">
        <f t="shared" si="18"/>
        <v>0</v>
      </c>
      <c r="N56" s="34">
        <f t="shared" si="19"/>
        <v>0</v>
      </c>
      <c r="O56" s="37">
        <f t="shared" si="20"/>
        <v>0</v>
      </c>
      <c r="P56" s="38">
        <f t="shared" si="21"/>
        <v>9.9999999999999995E-7</v>
      </c>
      <c r="Q56" s="57">
        <f t="shared" si="22"/>
        <v>0</v>
      </c>
      <c r="R56" s="39">
        <f t="shared" si="7"/>
        <v>9.9999999999999995E-7</v>
      </c>
      <c r="S56" s="57">
        <f t="shared" si="23"/>
        <v>0</v>
      </c>
      <c r="T56" s="39">
        <f t="shared" si="8"/>
        <v>9.9999999999999995E-7</v>
      </c>
      <c r="U56" s="57">
        <f t="shared" si="24"/>
        <v>0</v>
      </c>
      <c r="V56" s="39">
        <f t="shared" ref="V56" si="40">T56-V11</f>
        <v>9.9999999999999995E-7</v>
      </c>
      <c r="W56" s="59">
        <f t="shared" si="26"/>
        <v>0</v>
      </c>
      <c r="X56" s="39">
        <f t="shared" si="9"/>
        <v>9.9999999999999995E-7</v>
      </c>
      <c r="Y56" s="39">
        <f t="shared" si="10"/>
        <v>0</v>
      </c>
      <c r="Z56" s="39">
        <f t="shared" si="11"/>
        <v>9.9999999999999995E-7</v>
      </c>
      <c r="AB56" s="13"/>
    </row>
    <row r="57" spans="1:28" s="9" customFormat="1" x14ac:dyDescent="0.35">
      <c r="A57" s="9" t="str">
        <f t="shared" si="12"/>
        <v>Newsprint</v>
      </c>
      <c r="C57" s="34">
        <f t="shared" si="13"/>
        <v>13.5</v>
      </c>
      <c r="D57" s="34">
        <f t="shared" si="14"/>
        <v>13.5</v>
      </c>
      <c r="E57" s="57">
        <f t="shared" si="15"/>
        <v>0</v>
      </c>
      <c r="F57" s="34">
        <f t="shared" si="3"/>
        <v>13.5</v>
      </c>
      <c r="G57" s="34">
        <f t="shared" si="16"/>
        <v>2.0250000000000004</v>
      </c>
      <c r="H57" s="34">
        <f t="shared" si="16"/>
        <v>0.18225000000000002</v>
      </c>
      <c r="I57" s="35">
        <f t="shared" ref="I57:J57" si="41">G12-I12</f>
        <v>11.475</v>
      </c>
      <c r="J57" s="36">
        <f t="shared" si="41"/>
        <v>1.8427500000000003</v>
      </c>
      <c r="K57" s="37">
        <f t="shared" si="4"/>
        <v>13.31775</v>
      </c>
      <c r="L57" s="34">
        <f t="shared" si="5"/>
        <v>0.18225000000000002</v>
      </c>
      <c r="M57" s="36">
        <f t="shared" si="18"/>
        <v>0</v>
      </c>
      <c r="N57" s="34">
        <f t="shared" si="19"/>
        <v>0</v>
      </c>
      <c r="O57" s="37">
        <f t="shared" si="20"/>
        <v>0</v>
      </c>
      <c r="P57" s="38">
        <f t="shared" si="21"/>
        <v>0.18225000000000002</v>
      </c>
      <c r="Q57" s="57">
        <f t="shared" si="22"/>
        <v>0</v>
      </c>
      <c r="R57" s="39">
        <f t="shared" si="7"/>
        <v>0.18225000000000002</v>
      </c>
      <c r="S57" s="57">
        <f t="shared" si="23"/>
        <v>0</v>
      </c>
      <c r="T57" s="39">
        <f t="shared" si="8"/>
        <v>0.18225000000000002</v>
      </c>
      <c r="U57" s="57">
        <f t="shared" si="24"/>
        <v>0</v>
      </c>
      <c r="V57" s="39">
        <f t="shared" ref="V57" si="42">T57-V12</f>
        <v>0.18225000000000002</v>
      </c>
      <c r="W57" s="59">
        <f t="shared" si="26"/>
        <v>0</v>
      </c>
      <c r="X57" s="39">
        <f t="shared" si="9"/>
        <v>0.18225000000000002</v>
      </c>
      <c r="Y57" s="39">
        <f t="shared" si="10"/>
        <v>0</v>
      </c>
      <c r="Z57" s="39">
        <f t="shared" si="11"/>
        <v>13.5</v>
      </c>
      <c r="AB57" s="13"/>
    </row>
    <row r="58" spans="1:28" s="9" customFormat="1" x14ac:dyDescent="0.35">
      <c r="A58" s="9" t="str">
        <f t="shared" si="12"/>
        <v>Corr. Cardboard</v>
      </c>
      <c r="C58" s="34">
        <f t="shared" si="13"/>
        <v>39.799999999999997</v>
      </c>
      <c r="D58" s="34">
        <f t="shared" si="14"/>
        <v>39.799999999999997</v>
      </c>
      <c r="E58" s="57">
        <f t="shared" si="15"/>
        <v>0</v>
      </c>
      <c r="F58" s="34">
        <f t="shared" si="3"/>
        <v>11.940000000000001</v>
      </c>
      <c r="G58" s="34">
        <f t="shared" si="16"/>
        <v>1.7910000000000004</v>
      </c>
      <c r="H58" s="34">
        <f t="shared" si="16"/>
        <v>0.16118999999999994</v>
      </c>
      <c r="I58" s="35">
        <f t="shared" ref="I58:J58" si="43">G13-I13</f>
        <v>10.149000000000001</v>
      </c>
      <c r="J58" s="36">
        <f t="shared" si="43"/>
        <v>1.6298100000000004</v>
      </c>
      <c r="K58" s="37">
        <f t="shared" si="4"/>
        <v>39.638809999999999</v>
      </c>
      <c r="L58" s="34">
        <f t="shared" si="5"/>
        <v>0.16118999999999994</v>
      </c>
      <c r="M58" s="36">
        <f t="shared" si="18"/>
        <v>0</v>
      </c>
      <c r="N58" s="34">
        <f t="shared" si="19"/>
        <v>0</v>
      </c>
      <c r="O58" s="37">
        <f t="shared" si="20"/>
        <v>0</v>
      </c>
      <c r="P58" s="38">
        <f t="shared" si="21"/>
        <v>0.16118999999999994</v>
      </c>
      <c r="Q58" s="57">
        <f t="shared" si="22"/>
        <v>0</v>
      </c>
      <c r="R58" s="39">
        <f t="shared" si="7"/>
        <v>0.16118999999999994</v>
      </c>
      <c r="S58" s="57">
        <f t="shared" si="23"/>
        <v>0</v>
      </c>
      <c r="T58" s="39">
        <f t="shared" si="8"/>
        <v>0.16118999999999994</v>
      </c>
      <c r="U58" s="57">
        <f t="shared" si="24"/>
        <v>0</v>
      </c>
      <c r="V58" s="39">
        <f t="shared" ref="V58" si="44">T58-V13</f>
        <v>0.16118999999999994</v>
      </c>
      <c r="W58" s="59">
        <f t="shared" si="26"/>
        <v>0</v>
      </c>
      <c r="X58" s="39">
        <f t="shared" si="9"/>
        <v>0.16118999999999994</v>
      </c>
      <c r="Y58" s="39">
        <f t="shared" si="10"/>
        <v>0</v>
      </c>
      <c r="Z58" s="39">
        <f t="shared" si="11"/>
        <v>39.799999999999997</v>
      </c>
      <c r="AB58" s="13"/>
    </row>
    <row r="59" spans="1:28" s="9" customFormat="1" x14ac:dyDescent="0.35">
      <c r="A59" s="9" t="str">
        <f t="shared" si="12"/>
        <v>Office Paper</v>
      </c>
      <c r="C59" s="34">
        <f t="shared" si="13"/>
        <v>7.2</v>
      </c>
      <c r="D59" s="34">
        <f t="shared" si="14"/>
        <v>7.2</v>
      </c>
      <c r="E59" s="57">
        <f t="shared" si="15"/>
        <v>0</v>
      </c>
      <c r="F59" s="34">
        <f t="shared" si="3"/>
        <v>7.2</v>
      </c>
      <c r="G59" s="34">
        <f t="shared" si="16"/>
        <v>1.08</v>
      </c>
      <c r="H59" s="34">
        <f t="shared" si="16"/>
        <v>9.7199999999999953E-2</v>
      </c>
      <c r="I59" s="35">
        <f t="shared" ref="I59:J59" si="45">G14-I14</f>
        <v>6.12</v>
      </c>
      <c r="J59" s="36">
        <f t="shared" si="45"/>
        <v>0.98280000000000012</v>
      </c>
      <c r="K59" s="37">
        <f t="shared" si="4"/>
        <v>7.1028000000000002</v>
      </c>
      <c r="L59" s="34">
        <f t="shared" si="5"/>
        <v>9.7199999999999953E-2</v>
      </c>
      <c r="M59" s="36">
        <f t="shared" si="18"/>
        <v>0</v>
      </c>
      <c r="N59" s="34">
        <f t="shared" si="19"/>
        <v>0</v>
      </c>
      <c r="O59" s="37">
        <f t="shared" si="20"/>
        <v>0</v>
      </c>
      <c r="P59" s="38">
        <f t="shared" si="21"/>
        <v>9.7199999999999953E-2</v>
      </c>
      <c r="Q59" s="57">
        <f t="shared" si="22"/>
        <v>0</v>
      </c>
      <c r="R59" s="39">
        <f t="shared" si="7"/>
        <v>9.7199999999999953E-2</v>
      </c>
      <c r="S59" s="57">
        <f t="shared" si="23"/>
        <v>0</v>
      </c>
      <c r="T59" s="39">
        <f t="shared" si="8"/>
        <v>9.7199999999999953E-2</v>
      </c>
      <c r="U59" s="57">
        <f t="shared" si="24"/>
        <v>0</v>
      </c>
      <c r="V59" s="39">
        <f t="shared" ref="V59" si="46">T59-V14</f>
        <v>9.7199999999999953E-2</v>
      </c>
      <c r="W59" s="59">
        <f t="shared" si="26"/>
        <v>0</v>
      </c>
      <c r="X59" s="39">
        <f t="shared" si="9"/>
        <v>9.7199999999999953E-2</v>
      </c>
      <c r="Y59" s="39">
        <f t="shared" si="10"/>
        <v>0</v>
      </c>
      <c r="Z59" s="39">
        <f t="shared" si="11"/>
        <v>7.2</v>
      </c>
      <c r="AB59" s="13"/>
    </row>
    <row r="60" spans="1:28" s="9" customFormat="1" x14ac:dyDescent="0.35">
      <c r="A60" s="9" t="str">
        <f t="shared" si="12"/>
        <v xml:space="preserve">Magazines </v>
      </c>
      <c r="C60" s="34">
        <f t="shared" si="13"/>
        <v>2.2000000000000002</v>
      </c>
      <c r="D60" s="34">
        <f t="shared" si="14"/>
        <v>2.2000000000000002</v>
      </c>
      <c r="E60" s="57">
        <f t="shared" si="15"/>
        <v>0</v>
      </c>
      <c r="F60" s="34">
        <f t="shared" si="3"/>
        <v>2.2000000000000002</v>
      </c>
      <c r="G60" s="34">
        <f t="shared" si="16"/>
        <v>0.33000000000000007</v>
      </c>
      <c r="H60" s="34">
        <f t="shared" si="16"/>
        <v>2.9700000000000004E-2</v>
      </c>
      <c r="I60" s="35">
        <f t="shared" ref="I60:J60" si="47">G15-I15</f>
        <v>1.87</v>
      </c>
      <c r="J60" s="36">
        <f t="shared" si="47"/>
        <v>0.30030000000000007</v>
      </c>
      <c r="K60" s="37">
        <f t="shared" si="4"/>
        <v>2.1703000000000001</v>
      </c>
      <c r="L60" s="34">
        <f t="shared" si="5"/>
        <v>2.9700000000000004E-2</v>
      </c>
      <c r="M60" s="36">
        <f t="shared" si="18"/>
        <v>0</v>
      </c>
      <c r="N60" s="34">
        <f t="shared" si="19"/>
        <v>0</v>
      </c>
      <c r="O60" s="37">
        <f t="shared" si="20"/>
        <v>0</v>
      </c>
      <c r="P60" s="38">
        <f t="shared" si="21"/>
        <v>2.9700000000000004E-2</v>
      </c>
      <c r="Q60" s="57">
        <f t="shared" si="22"/>
        <v>0</v>
      </c>
      <c r="R60" s="39">
        <f t="shared" si="7"/>
        <v>2.9700000000000004E-2</v>
      </c>
      <c r="S60" s="57">
        <f t="shared" si="23"/>
        <v>0</v>
      </c>
      <c r="T60" s="39">
        <f t="shared" si="8"/>
        <v>2.9700000000000004E-2</v>
      </c>
      <c r="U60" s="57">
        <f t="shared" si="24"/>
        <v>0</v>
      </c>
      <c r="V60" s="39">
        <f t="shared" ref="V60" si="48">T60-V15</f>
        <v>2.9700000000000004E-2</v>
      </c>
      <c r="W60" s="59">
        <f t="shared" si="26"/>
        <v>0</v>
      </c>
      <c r="X60" s="39">
        <f t="shared" si="9"/>
        <v>2.9700000000000004E-2</v>
      </c>
      <c r="Y60" s="39">
        <f t="shared" si="10"/>
        <v>0</v>
      </c>
      <c r="Z60" s="39">
        <f t="shared" si="11"/>
        <v>2.2000000000000002</v>
      </c>
      <c r="AB60" s="13"/>
    </row>
    <row r="61" spans="1:28" s="9" customFormat="1" x14ac:dyDescent="0.35">
      <c r="A61" s="9" t="str">
        <f t="shared" si="12"/>
        <v>3rd Class Mail</v>
      </c>
      <c r="C61" s="34">
        <f t="shared" si="13"/>
        <v>5.9</v>
      </c>
      <c r="D61" s="34">
        <f t="shared" si="14"/>
        <v>5.9</v>
      </c>
      <c r="E61" s="57">
        <f t="shared" si="15"/>
        <v>0</v>
      </c>
      <c r="F61" s="34">
        <f t="shared" si="3"/>
        <v>5.9</v>
      </c>
      <c r="G61" s="34">
        <f t="shared" si="16"/>
        <v>0.88499999999999979</v>
      </c>
      <c r="H61" s="34">
        <f t="shared" si="16"/>
        <v>7.9649999999999999E-2</v>
      </c>
      <c r="I61" s="35">
        <f t="shared" ref="I61:J61" si="49">G16-I16</f>
        <v>5.0150000000000006</v>
      </c>
      <c r="J61" s="36">
        <f t="shared" si="49"/>
        <v>0.80534999999999979</v>
      </c>
      <c r="K61" s="37">
        <f t="shared" si="4"/>
        <v>5.8203500000000004</v>
      </c>
      <c r="L61" s="34">
        <f t="shared" si="5"/>
        <v>7.9649999999999999E-2</v>
      </c>
      <c r="M61" s="36">
        <f t="shared" si="18"/>
        <v>0</v>
      </c>
      <c r="N61" s="34">
        <f t="shared" si="19"/>
        <v>0</v>
      </c>
      <c r="O61" s="37">
        <f t="shared" si="20"/>
        <v>0</v>
      </c>
      <c r="P61" s="38">
        <f t="shared" si="21"/>
        <v>7.9649999999999999E-2</v>
      </c>
      <c r="Q61" s="57">
        <f t="shared" si="22"/>
        <v>0</v>
      </c>
      <c r="R61" s="39">
        <f t="shared" si="7"/>
        <v>7.9649999999999999E-2</v>
      </c>
      <c r="S61" s="57">
        <f t="shared" si="23"/>
        <v>0</v>
      </c>
      <c r="T61" s="39">
        <f t="shared" si="8"/>
        <v>7.9649999999999999E-2</v>
      </c>
      <c r="U61" s="57">
        <f t="shared" si="24"/>
        <v>0</v>
      </c>
      <c r="V61" s="39">
        <f t="shared" ref="V61" si="50">T61-V16</f>
        <v>7.9649999999999999E-2</v>
      </c>
      <c r="W61" s="59">
        <f t="shared" si="26"/>
        <v>0</v>
      </c>
      <c r="X61" s="39">
        <f t="shared" si="9"/>
        <v>7.9649999999999999E-2</v>
      </c>
      <c r="Y61" s="39">
        <f t="shared" si="10"/>
        <v>0</v>
      </c>
      <c r="Z61" s="39">
        <f t="shared" si="11"/>
        <v>5.9</v>
      </c>
      <c r="AB61" s="13"/>
    </row>
    <row r="62" spans="1:28" s="9" customFormat="1" x14ac:dyDescent="0.35">
      <c r="A62" s="9" t="str">
        <f t="shared" si="12"/>
        <v>Folding Containers</v>
      </c>
      <c r="C62" s="34">
        <f t="shared" si="13"/>
        <v>9.9999999999999995E-7</v>
      </c>
      <c r="D62" s="34">
        <f t="shared" si="14"/>
        <v>9.9999999999999995E-7</v>
      </c>
      <c r="E62" s="57">
        <f t="shared" si="15"/>
        <v>0</v>
      </c>
      <c r="F62" s="34">
        <f t="shared" si="3"/>
        <v>9.9999999999999995E-7</v>
      </c>
      <c r="G62" s="34">
        <f t="shared" si="16"/>
        <v>1.5000000000000005E-7</v>
      </c>
      <c r="H62" s="34">
        <f t="shared" si="16"/>
        <v>1.3500000000000008E-8</v>
      </c>
      <c r="I62" s="35">
        <f t="shared" ref="I62:J62" si="51">G17-I17</f>
        <v>8.4999999999999991E-7</v>
      </c>
      <c r="J62" s="36">
        <f t="shared" si="51"/>
        <v>1.3650000000000004E-7</v>
      </c>
      <c r="K62" s="37">
        <f t="shared" si="4"/>
        <v>9.865E-7</v>
      </c>
      <c r="L62" s="34">
        <f t="shared" si="5"/>
        <v>1.3500000000000008E-8</v>
      </c>
      <c r="M62" s="36">
        <f t="shared" si="18"/>
        <v>0</v>
      </c>
      <c r="N62" s="34">
        <f t="shared" si="19"/>
        <v>0</v>
      </c>
      <c r="O62" s="37">
        <f t="shared" si="20"/>
        <v>0</v>
      </c>
      <c r="P62" s="38">
        <f t="shared" si="21"/>
        <v>1.3500000000000008E-8</v>
      </c>
      <c r="Q62" s="57">
        <f t="shared" si="22"/>
        <v>0</v>
      </c>
      <c r="R62" s="39">
        <f t="shared" si="7"/>
        <v>1.3500000000000008E-8</v>
      </c>
      <c r="S62" s="57">
        <f t="shared" si="23"/>
        <v>0</v>
      </c>
      <c r="T62" s="39">
        <f t="shared" si="8"/>
        <v>1.3500000000000008E-8</v>
      </c>
      <c r="U62" s="57">
        <f t="shared" si="24"/>
        <v>0</v>
      </c>
      <c r="V62" s="39">
        <f t="shared" ref="V62" si="52">T62-V17</f>
        <v>1.3500000000000008E-8</v>
      </c>
      <c r="W62" s="59">
        <f t="shared" si="26"/>
        <v>0</v>
      </c>
      <c r="X62" s="39">
        <f t="shared" si="9"/>
        <v>1.3500000000000008E-8</v>
      </c>
      <c r="Y62" s="39">
        <f t="shared" si="10"/>
        <v>0</v>
      </c>
      <c r="Z62" s="39">
        <f t="shared" si="11"/>
        <v>9.9999999999999995E-7</v>
      </c>
      <c r="AB62" s="13"/>
    </row>
    <row r="63" spans="1:28" s="9" customFormat="1" x14ac:dyDescent="0.35">
      <c r="A63" s="9" t="str">
        <f t="shared" si="12"/>
        <v xml:space="preserve">Paper Bags </v>
      </c>
      <c r="C63" s="34">
        <f t="shared" si="13"/>
        <v>9.9999999999999995E-7</v>
      </c>
      <c r="D63" s="34">
        <f t="shared" si="14"/>
        <v>9.9999999999999995E-7</v>
      </c>
      <c r="E63" s="57">
        <f t="shared" si="15"/>
        <v>0</v>
      </c>
      <c r="F63" s="34">
        <f t="shared" si="3"/>
        <v>9.9999999999999995E-7</v>
      </c>
      <c r="G63" s="34">
        <f t="shared" si="16"/>
        <v>1.5000000000000005E-7</v>
      </c>
      <c r="H63" s="34">
        <f t="shared" si="16"/>
        <v>1.3500000000000008E-8</v>
      </c>
      <c r="I63" s="35">
        <f t="shared" ref="I63:J63" si="53">G18-I18</f>
        <v>8.4999999999999991E-7</v>
      </c>
      <c r="J63" s="36">
        <f t="shared" si="53"/>
        <v>1.3650000000000004E-7</v>
      </c>
      <c r="K63" s="37">
        <f t="shared" si="4"/>
        <v>9.865E-7</v>
      </c>
      <c r="L63" s="34">
        <f t="shared" si="5"/>
        <v>1.3500000000000008E-8</v>
      </c>
      <c r="M63" s="36">
        <f t="shared" si="18"/>
        <v>0</v>
      </c>
      <c r="N63" s="34">
        <f t="shared" si="19"/>
        <v>0</v>
      </c>
      <c r="O63" s="37">
        <f t="shared" si="20"/>
        <v>0</v>
      </c>
      <c r="P63" s="38">
        <f t="shared" si="21"/>
        <v>1.3500000000000008E-8</v>
      </c>
      <c r="Q63" s="57">
        <f t="shared" si="22"/>
        <v>0</v>
      </c>
      <c r="R63" s="39">
        <f t="shared" si="7"/>
        <v>1.3500000000000008E-8</v>
      </c>
      <c r="S63" s="57">
        <f t="shared" si="23"/>
        <v>0</v>
      </c>
      <c r="T63" s="39">
        <f t="shared" si="8"/>
        <v>1.3500000000000008E-8</v>
      </c>
      <c r="U63" s="57">
        <f t="shared" si="24"/>
        <v>0</v>
      </c>
      <c r="V63" s="39">
        <f t="shared" ref="V63" si="54">T63-V18</f>
        <v>1.3500000000000008E-8</v>
      </c>
      <c r="W63" s="59">
        <f t="shared" si="26"/>
        <v>0</v>
      </c>
      <c r="X63" s="39">
        <f t="shared" si="9"/>
        <v>1.3500000000000008E-8</v>
      </c>
      <c r="Y63" s="39">
        <f t="shared" si="10"/>
        <v>0</v>
      </c>
      <c r="Z63" s="39">
        <f t="shared" si="11"/>
        <v>9.9999999999999995E-7</v>
      </c>
      <c r="AB63" s="13"/>
    </row>
    <row r="64" spans="1:28" s="9" customFormat="1" x14ac:dyDescent="0.35">
      <c r="A64" s="9" t="str">
        <f t="shared" si="12"/>
        <v>Mixed Paper</v>
      </c>
      <c r="C64" s="34">
        <f t="shared" si="13"/>
        <v>9.9999999999999995E-7</v>
      </c>
      <c r="D64" s="34">
        <f t="shared" si="14"/>
        <v>9.9999999999999995E-7</v>
      </c>
      <c r="E64" s="57">
        <f t="shared" si="15"/>
        <v>0</v>
      </c>
      <c r="F64" s="34">
        <f t="shared" si="3"/>
        <v>9.9999999999999995E-7</v>
      </c>
      <c r="G64" s="34">
        <f t="shared" si="16"/>
        <v>1.5000000000000005E-7</v>
      </c>
      <c r="H64" s="34">
        <f t="shared" si="16"/>
        <v>1.3500000000000008E-8</v>
      </c>
      <c r="I64" s="35">
        <f t="shared" ref="I64:J64" si="55">G19-I19</f>
        <v>8.4999999999999991E-7</v>
      </c>
      <c r="J64" s="36">
        <f t="shared" si="55"/>
        <v>1.3650000000000004E-7</v>
      </c>
      <c r="K64" s="37">
        <f t="shared" si="4"/>
        <v>9.865E-7</v>
      </c>
      <c r="L64" s="34">
        <f t="shared" si="5"/>
        <v>1.3500000000000008E-8</v>
      </c>
      <c r="M64" s="36">
        <f t="shared" si="18"/>
        <v>0</v>
      </c>
      <c r="N64" s="34">
        <f t="shared" si="19"/>
        <v>0</v>
      </c>
      <c r="O64" s="37">
        <f t="shared" si="20"/>
        <v>0</v>
      </c>
      <c r="P64" s="38">
        <f t="shared" si="21"/>
        <v>1.3500000000000008E-8</v>
      </c>
      <c r="Q64" s="57">
        <f t="shared" si="22"/>
        <v>0</v>
      </c>
      <c r="R64" s="39">
        <f t="shared" si="7"/>
        <v>1.3500000000000008E-8</v>
      </c>
      <c r="S64" s="57">
        <f t="shared" si="23"/>
        <v>0</v>
      </c>
      <c r="T64" s="39">
        <f t="shared" si="8"/>
        <v>1.3500000000000008E-8</v>
      </c>
      <c r="U64" s="57">
        <f t="shared" si="24"/>
        <v>0</v>
      </c>
      <c r="V64" s="39">
        <f t="shared" ref="V64" si="56">T64-V19</f>
        <v>1.3500000000000008E-8</v>
      </c>
      <c r="W64" s="59">
        <f t="shared" si="26"/>
        <v>0</v>
      </c>
      <c r="X64" s="39">
        <f t="shared" si="9"/>
        <v>1.3500000000000008E-8</v>
      </c>
      <c r="Y64" s="39">
        <f t="shared" si="10"/>
        <v>0</v>
      </c>
      <c r="Z64" s="39">
        <f t="shared" si="11"/>
        <v>9.9999999999999995E-7</v>
      </c>
      <c r="AB64" s="13"/>
    </row>
    <row r="65" spans="1:29" s="9" customFormat="1" x14ac:dyDescent="0.35">
      <c r="A65" s="9" t="str">
        <f t="shared" si="12"/>
        <v>Paper - Non-recyclable</v>
      </c>
      <c r="C65" s="34">
        <f t="shared" si="13"/>
        <v>9.9999999999999995E-7</v>
      </c>
      <c r="D65" s="34">
        <f t="shared" si="14"/>
        <v>9.9999999999999995E-7</v>
      </c>
      <c r="E65" s="57">
        <f t="shared" si="15"/>
        <v>0</v>
      </c>
      <c r="F65" s="34">
        <f t="shared" si="3"/>
        <v>9.9999999999999995E-7</v>
      </c>
      <c r="G65" s="34">
        <f t="shared" si="16"/>
        <v>9.9999999999999995E-7</v>
      </c>
      <c r="H65" s="34">
        <f t="shared" si="16"/>
        <v>9.9999999999999995E-7</v>
      </c>
      <c r="I65" s="35">
        <f t="shared" ref="I65:J65" si="57">G20-I20</f>
        <v>0</v>
      </c>
      <c r="J65" s="36">
        <f t="shared" si="57"/>
        <v>0</v>
      </c>
      <c r="K65" s="37">
        <f t="shared" si="4"/>
        <v>0</v>
      </c>
      <c r="L65" s="34">
        <f t="shared" si="5"/>
        <v>9.9999999999999995E-7</v>
      </c>
      <c r="M65" s="36">
        <f t="shared" si="18"/>
        <v>0</v>
      </c>
      <c r="N65" s="34">
        <f t="shared" si="19"/>
        <v>0</v>
      </c>
      <c r="O65" s="37">
        <f t="shared" si="20"/>
        <v>0</v>
      </c>
      <c r="P65" s="38">
        <f t="shared" si="21"/>
        <v>9.9999999999999995E-7</v>
      </c>
      <c r="Q65" s="57">
        <f t="shared" si="22"/>
        <v>0</v>
      </c>
      <c r="R65" s="39">
        <f t="shared" si="7"/>
        <v>9.9999999999999995E-7</v>
      </c>
      <c r="S65" s="57">
        <f t="shared" si="23"/>
        <v>0</v>
      </c>
      <c r="T65" s="39">
        <f t="shared" si="8"/>
        <v>9.9999999999999995E-7</v>
      </c>
      <c r="U65" s="57">
        <f t="shared" si="24"/>
        <v>0</v>
      </c>
      <c r="V65" s="39">
        <f t="shared" ref="V65" si="58">T65-V20</f>
        <v>9.9999999999999995E-7</v>
      </c>
      <c r="W65" s="59">
        <f t="shared" si="26"/>
        <v>0</v>
      </c>
      <c r="X65" s="39">
        <f t="shared" si="9"/>
        <v>9.9999999999999995E-7</v>
      </c>
      <c r="Y65" s="39">
        <f t="shared" si="10"/>
        <v>0</v>
      </c>
      <c r="Z65" s="39">
        <f t="shared" si="11"/>
        <v>9.9999999999999995E-7</v>
      </c>
      <c r="AB65" s="13"/>
    </row>
    <row r="66" spans="1:29" s="9" customFormat="1" x14ac:dyDescent="0.35">
      <c r="A66" s="9" t="str">
        <f t="shared" si="12"/>
        <v>HDPE - Translucent Containers</v>
      </c>
      <c r="C66" s="34">
        <f t="shared" si="13"/>
        <v>1.1000000000000001</v>
      </c>
      <c r="D66" s="34">
        <f t="shared" si="14"/>
        <v>1.1000000000000001</v>
      </c>
      <c r="E66" s="57">
        <f t="shared" si="15"/>
        <v>0</v>
      </c>
      <c r="F66" s="34">
        <f t="shared" si="3"/>
        <v>1.1000000000000001</v>
      </c>
      <c r="G66" s="34">
        <f t="shared" si="16"/>
        <v>1.1000000000000001</v>
      </c>
      <c r="H66" s="34">
        <f t="shared" si="16"/>
        <v>1.1000000000000001</v>
      </c>
      <c r="I66" s="35">
        <f t="shared" ref="I66:J66" si="59">G21-I21</f>
        <v>0</v>
      </c>
      <c r="J66" s="36">
        <f t="shared" si="59"/>
        <v>0</v>
      </c>
      <c r="K66" s="37">
        <f t="shared" si="4"/>
        <v>0</v>
      </c>
      <c r="L66" s="34">
        <f t="shared" si="5"/>
        <v>1.0450000000000002</v>
      </c>
      <c r="M66" s="36">
        <f t="shared" si="18"/>
        <v>1.6499999999999987E-3</v>
      </c>
      <c r="N66" s="34">
        <f t="shared" si="19"/>
        <v>1.6499999999999987E-3</v>
      </c>
      <c r="O66" s="37">
        <f t="shared" si="20"/>
        <v>0</v>
      </c>
      <c r="P66" s="38">
        <f t="shared" si="21"/>
        <v>1.0983500000000002</v>
      </c>
      <c r="Q66" s="57">
        <f t="shared" si="22"/>
        <v>0</v>
      </c>
      <c r="R66" s="39">
        <f t="shared" si="7"/>
        <v>2.196700000000007E-2</v>
      </c>
      <c r="S66" s="57">
        <f t="shared" si="23"/>
        <v>1.0763830000000001</v>
      </c>
      <c r="T66" s="39">
        <f t="shared" si="8"/>
        <v>2.196700000000007E-2</v>
      </c>
      <c r="U66" s="57">
        <f t="shared" si="24"/>
        <v>0</v>
      </c>
      <c r="V66" s="39">
        <f t="shared" ref="V66" si="60">T66-V21</f>
        <v>2.196700000000007E-2</v>
      </c>
      <c r="W66" s="59">
        <f t="shared" si="26"/>
        <v>0</v>
      </c>
      <c r="X66" s="39">
        <f t="shared" si="9"/>
        <v>2.196700000000007E-2</v>
      </c>
      <c r="Y66" s="39">
        <f t="shared" si="10"/>
        <v>1.0763830000000001</v>
      </c>
      <c r="Z66" s="39">
        <f t="shared" si="11"/>
        <v>1.1000000000000001</v>
      </c>
      <c r="AB66" s="13"/>
    </row>
    <row r="67" spans="1:29" s="9" customFormat="1" x14ac:dyDescent="0.35">
      <c r="A67" s="9" t="str">
        <f t="shared" si="12"/>
        <v>HDPE - Pigmented Containers</v>
      </c>
      <c r="C67" s="34">
        <f t="shared" si="13"/>
        <v>2</v>
      </c>
      <c r="D67" s="34">
        <f t="shared" si="14"/>
        <v>2</v>
      </c>
      <c r="E67" s="57">
        <f t="shared" si="15"/>
        <v>0</v>
      </c>
      <c r="F67" s="34">
        <f t="shared" si="3"/>
        <v>2</v>
      </c>
      <c r="G67" s="34">
        <f t="shared" si="16"/>
        <v>2</v>
      </c>
      <c r="H67" s="34">
        <f t="shared" si="16"/>
        <v>2</v>
      </c>
      <c r="I67" s="35">
        <f t="shared" ref="I67:J67" si="61">G22-I22</f>
        <v>0</v>
      </c>
      <c r="J67" s="36">
        <f t="shared" si="61"/>
        <v>0</v>
      </c>
      <c r="K67" s="37">
        <f t="shared" si="4"/>
        <v>0</v>
      </c>
      <c r="L67" s="34">
        <f t="shared" si="5"/>
        <v>1.9</v>
      </c>
      <c r="M67" s="36">
        <f t="shared" si="18"/>
        <v>3.0000000000000027E-3</v>
      </c>
      <c r="N67" s="34">
        <f t="shared" si="19"/>
        <v>3.0000000000000027E-3</v>
      </c>
      <c r="O67" s="37">
        <f t="shared" si="20"/>
        <v>0</v>
      </c>
      <c r="P67" s="38">
        <f t="shared" si="21"/>
        <v>1.9969999999999999</v>
      </c>
      <c r="Q67" s="57">
        <f t="shared" si="22"/>
        <v>0</v>
      </c>
      <c r="R67" s="39">
        <f t="shared" si="7"/>
        <v>3.9940000000000087E-2</v>
      </c>
      <c r="S67" s="57">
        <f t="shared" si="23"/>
        <v>1.9570599999999998</v>
      </c>
      <c r="T67" s="39">
        <f t="shared" si="8"/>
        <v>3.9940000000000087E-2</v>
      </c>
      <c r="U67" s="57">
        <f t="shared" si="24"/>
        <v>0</v>
      </c>
      <c r="V67" s="39">
        <f t="shared" ref="V67" si="62">T67-V22</f>
        <v>3.9940000000000087E-2</v>
      </c>
      <c r="W67" s="59">
        <f t="shared" si="26"/>
        <v>0</v>
      </c>
      <c r="X67" s="39">
        <f t="shared" si="9"/>
        <v>3.9940000000000087E-2</v>
      </c>
      <c r="Y67" s="39">
        <f t="shared" si="10"/>
        <v>1.9570599999999998</v>
      </c>
      <c r="Z67" s="39">
        <f t="shared" si="11"/>
        <v>2</v>
      </c>
      <c r="AB67" s="13"/>
    </row>
    <row r="68" spans="1:29" s="9" customFormat="1" x14ac:dyDescent="0.35">
      <c r="A68" s="9" t="str">
        <f t="shared" si="12"/>
        <v>PET - Containers</v>
      </c>
      <c r="C68" s="34">
        <f t="shared" si="13"/>
        <v>3.7</v>
      </c>
      <c r="D68" s="34">
        <f t="shared" si="14"/>
        <v>3.7</v>
      </c>
      <c r="E68" s="57">
        <f t="shared" si="15"/>
        <v>0</v>
      </c>
      <c r="F68" s="34">
        <f t="shared" si="3"/>
        <v>3.7</v>
      </c>
      <c r="G68" s="34">
        <f t="shared" si="16"/>
        <v>3.7</v>
      </c>
      <c r="H68" s="34">
        <f t="shared" si="16"/>
        <v>3.7</v>
      </c>
      <c r="I68" s="35">
        <f t="shared" ref="I68:J68" si="63">G23-I23</f>
        <v>0</v>
      </c>
      <c r="J68" s="36">
        <f t="shared" si="63"/>
        <v>0</v>
      </c>
      <c r="K68" s="37">
        <f t="shared" si="4"/>
        <v>0</v>
      </c>
      <c r="L68" s="34">
        <f t="shared" si="5"/>
        <v>3.5150000000000001</v>
      </c>
      <c r="M68" s="36">
        <f t="shared" si="18"/>
        <v>5.5499999999999994E-3</v>
      </c>
      <c r="N68" s="34">
        <f t="shared" si="19"/>
        <v>5.5499999999999994E-3</v>
      </c>
      <c r="O68" s="37">
        <f t="shared" si="20"/>
        <v>0</v>
      </c>
      <c r="P68" s="38">
        <f t="shared" si="21"/>
        <v>7.3888999999999871E-2</v>
      </c>
      <c r="Q68" s="57">
        <f t="shared" si="22"/>
        <v>3.6205610000000004</v>
      </c>
      <c r="R68" s="39">
        <f t="shared" si="7"/>
        <v>7.3888999999999871E-2</v>
      </c>
      <c r="S68" s="57">
        <f t="shared" si="23"/>
        <v>0</v>
      </c>
      <c r="T68" s="39">
        <f t="shared" si="8"/>
        <v>7.3888999999999871E-2</v>
      </c>
      <c r="U68" s="57">
        <f t="shared" si="24"/>
        <v>0</v>
      </c>
      <c r="V68" s="39">
        <f t="shared" ref="V68" si="64">T68-V23</f>
        <v>7.3888999999999871E-2</v>
      </c>
      <c r="W68" s="59">
        <f t="shared" si="26"/>
        <v>0</v>
      </c>
      <c r="X68" s="39">
        <f t="shared" si="9"/>
        <v>7.3888999999999871E-2</v>
      </c>
      <c r="Y68" s="39">
        <f t="shared" si="10"/>
        <v>3.6205610000000004</v>
      </c>
      <c r="Z68" s="39">
        <f t="shared" si="11"/>
        <v>3.7</v>
      </c>
      <c r="AB68" s="13"/>
    </row>
    <row r="69" spans="1:29" s="9" customFormat="1" x14ac:dyDescent="0.35">
      <c r="A69" s="9" t="str">
        <f t="shared" si="12"/>
        <v>Plastic - Other # 1, Polypropylene</v>
      </c>
      <c r="C69" s="34">
        <f t="shared" si="13"/>
        <v>9.9999999999999995E-7</v>
      </c>
      <c r="D69" s="34">
        <f t="shared" si="14"/>
        <v>9.9999999999999995E-7</v>
      </c>
      <c r="E69" s="57">
        <f t="shared" si="15"/>
        <v>0</v>
      </c>
      <c r="F69" s="34">
        <f t="shared" si="3"/>
        <v>9.9999999999999995E-7</v>
      </c>
      <c r="G69" s="34">
        <f t="shared" ref="G69:H88" si="65">F69-G24</f>
        <v>9.9999999999999995E-7</v>
      </c>
      <c r="H69" s="34">
        <f t="shared" si="65"/>
        <v>9.9999999999999995E-7</v>
      </c>
      <c r="I69" s="35">
        <f t="shared" ref="I69:J69" si="66">G24-I24</f>
        <v>0</v>
      </c>
      <c r="J69" s="36">
        <f t="shared" si="66"/>
        <v>0</v>
      </c>
      <c r="K69" s="37">
        <f t="shared" si="4"/>
        <v>0</v>
      </c>
      <c r="L69" s="34">
        <f t="shared" si="5"/>
        <v>9.5000000000000001E-7</v>
      </c>
      <c r="M69" s="36">
        <f t="shared" si="18"/>
        <v>1.5000000000000002E-9</v>
      </c>
      <c r="N69" s="34">
        <f t="shared" si="19"/>
        <v>1.5000000000000002E-9</v>
      </c>
      <c r="O69" s="37">
        <f t="shared" si="20"/>
        <v>0</v>
      </c>
      <c r="P69" s="38">
        <f t="shared" si="21"/>
        <v>9.9850000000000005E-7</v>
      </c>
      <c r="Q69" s="57">
        <f t="shared" si="22"/>
        <v>0</v>
      </c>
      <c r="R69" s="39">
        <f t="shared" si="7"/>
        <v>9.9850000000000005E-7</v>
      </c>
      <c r="S69" s="57">
        <f t="shared" si="23"/>
        <v>0</v>
      </c>
      <c r="T69" s="39">
        <f t="shared" si="8"/>
        <v>9.9850000000000005E-7</v>
      </c>
      <c r="U69" s="57">
        <f t="shared" si="24"/>
        <v>0</v>
      </c>
      <c r="V69" s="39">
        <f t="shared" ref="V69" si="67">T69-V24</f>
        <v>9.9850000000000005E-7</v>
      </c>
      <c r="W69" s="59">
        <f t="shared" si="26"/>
        <v>0</v>
      </c>
      <c r="X69" s="39">
        <f t="shared" si="9"/>
        <v>9.9850000000000005E-7</v>
      </c>
      <c r="Y69" s="39">
        <f t="shared" si="10"/>
        <v>0</v>
      </c>
      <c r="Z69" s="39">
        <f t="shared" si="11"/>
        <v>9.9999999999999995E-7</v>
      </c>
      <c r="AB69" s="13"/>
    </row>
    <row r="70" spans="1:29" s="9" customFormat="1" x14ac:dyDescent="0.35">
      <c r="A70" s="9" t="str">
        <f t="shared" si="12"/>
        <v>Plastic - Other # 2</v>
      </c>
      <c r="C70" s="34">
        <f t="shared" si="13"/>
        <v>9.9999999999999995E-7</v>
      </c>
      <c r="D70" s="34">
        <f t="shared" si="14"/>
        <v>9.9999999999999995E-7</v>
      </c>
      <c r="E70" s="57">
        <f t="shared" si="15"/>
        <v>0</v>
      </c>
      <c r="F70" s="34">
        <f t="shared" si="3"/>
        <v>9.9999999999999995E-7</v>
      </c>
      <c r="G70" s="34">
        <f t="shared" si="65"/>
        <v>9.9999999999999995E-7</v>
      </c>
      <c r="H70" s="34">
        <f t="shared" si="65"/>
        <v>9.9999999999999995E-7</v>
      </c>
      <c r="I70" s="35">
        <f t="shared" ref="I70:J70" si="68">G25-I25</f>
        <v>0</v>
      </c>
      <c r="J70" s="36">
        <f t="shared" si="68"/>
        <v>0</v>
      </c>
      <c r="K70" s="37">
        <f t="shared" si="4"/>
        <v>0</v>
      </c>
      <c r="L70" s="34">
        <f t="shared" si="5"/>
        <v>9.5000000000000001E-7</v>
      </c>
      <c r="M70" s="36">
        <f t="shared" si="18"/>
        <v>1.5000000000000002E-9</v>
      </c>
      <c r="N70" s="34">
        <f t="shared" si="19"/>
        <v>1.5000000000000002E-9</v>
      </c>
      <c r="O70" s="37">
        <f t="shared" si="20"/>
        <v>0</v>
      </c>
      <c r="P70" s="38">
        <f t="shared" si="21"/>
        <v>9.9850000000000005E-7</v>
      </c>
      <c r="Q70" s="57">
        <f t="shared" si="22"/>
        <v>0</v>
      </c>
      <c r="R70" s="39">
        <f t="shared" si="7"/>
        <v>9.9850000000000005E-7</v>
      </c>
      <c r="S70" s="57">
        <f t="shared" si="23"/>
        <v>0</v>
      </c>
      <c r="T70" s="39">
        <f t="shared" si="8"/>
        <v>9.9850000000000005E-7</v>
      </c>
      <c r="U70" s="57">
        <f t="shared" si="24"/>
        <v>0</v>
      </c>
      <c r="V70" s="39">
        <f t="shared" ref="V70" si="69">T70-V25</f>
        <v>9.9850000000000005E-7</v>
      </c>
      <c r="W70" s="59">
        <f t="shared" si="26"/>
        <v>0</v>
      </c>
      <c r="X70" s="39">
        <f t="shared" si="9"/>
        <v>9.9850000000000005E-7</v>
      </c>
      <c r="Y70" s="39">
        <f t="shared" si="10"/>
        <v>0</v>
      </c>
      <c r="Z70" s="39">
        <f t="shared" si="11"/>
        <v>9.9999999999999995E-7</v>
      </c>
      <c r="AB70" s="13"/>
    </row>
    <row r="71" spans="1:29" s="9" customFormat="1" x14ac:dyDescent="0.35">
      <c r="A71" s="9" t="str">
        <f t="shared" si="12"/>
        <v>Mixed Plastic</v>
      </c>
      <c r="C71" s="34">
        <f t="shared" si="13"/>
        <v>9.9999999999999995E-7</v>
      </c>
      <c r="D71" s="34">
        <f t="shared" si="14"/>
        <v>9.9999999999999995E-7</v>
      </c>
      <c r="E71" s="57">
        <f t="shared" si="15"/>
        <v>0</v>
      </c>
      <c r="F71" s="34">
        <f t="shared" si="3"/>
        <v>9.9999999999999995E-7</v>
      </c>
      <c r="G71" s="34">
        <f t="shared" si="65"/>
        <v>9.9999999999999995E-7</v>
      </c>
      <c r="H71" s="34">
        <f t="shared" si="65"/>
        <v>9.9999999999999995E-7</v>
      </c>
      <c r="I71" s="35">
        <f t="shared" ref="I71:J71" si="70">G26-I26</f>
        <v>0</v>
      </c>
      <c r="J71" s="36">
        <f t="shared" si="70"/>
        <v>0</v>
      </c>
      <c r="K71" s="37">
        <f t="shared" si="4"/>
        <v>0</v>
      </c>
      <c r="L71" s="34">
        <f t="shared" si="5"/>
        <v>9.5000000000000001E-7</v>
      </c>
      <c r="M71" s="36">
        <f t="shared" si="18"/>
        <v>1.5000000000000002E-9</v>
      </c>
      <c r="N71" s="34">
        <f t="shared" si="19"/>
        <v>1.5000000000000002E-9</v>
      </c>
      <c r="O71" s="37">
        <f t="shared" si="20"/>
        <v>0</v>
      </c>
      <c r="P71" s="38">
        <f t="shared" si="21"/>
        <v>9.9850000000000005E-7</v>
      </c>
      <c r="Q71" s="57">
        <f t="shared" si="22"/>
        <v>0</v>
      </c>
      <c r="R71" s="39">
        <f t="shared" si="7"/>
        <v>9.9850000000000005E-7</v>
      </c>
      <c r="S71" s="57">
        <f t="shared" si="23"/>
        <v>0</v>
      </c>
      <c r="T71" s="39">
        <f t="shared" si="8"/>
        <v>9.9850000000000005E-7</v>
      </c>
      <c r="U71" s="57">
        <f t="shared" si="24"/>
        <v>0</v>
      </c>
      <c r="V71" s="39">
        <f t="shared" ref="V71" si="71">T71-V26</f>
        <v>9.9850000000000005E-7</v>
      </c>
      <c r="W71" s="59">
        <f t="shared" si="26"/>
        <v>0</v>
      </c>
      <c r="X71" s="39">
        <f t="shared" si="9"/>
        <v>9.9850000000000005E-7</v>
      </c>
      <c r="Y71" s="39">
        <f t="shared" si="10"/>
        <v>0</v>
      </c>
      <c r="Z71" s="39">
        <f t="shared" si="11"/>
        <v>9.9999999999999995E-7</v>
      </c>
      <c r="AB71" s="13"/>
    </row>
    <row r="72" spans="1:29" s="9" customFormat="1" x14ac:dyDescent="0.35">
      <c r="A72" s="9" t="str">
        <f t="shared" si="12"/>
        <v>Plastic Film</v>
      </c>
      <c r="C72" s="34">
        <f t="shared" si="13"/>
        <v>5.4</v>
      </c>
      <c r="D72" s="34">
        <f t="shared" si="14"/>
        <v>0.54</v>
      </c>
      <c r="E72" s="57">
        <f t="shared" si="15"/>
        <v>0</v>
      </c>
      <c r="F72" s="34">
        <f t="shared" si="3"/>
        <v>0.54</v>
      </c>
      <c r="G72" s="34">
        <f t="shared" si="65"/>
        <v>0.54</v>
      </c>
      <c r="H72" s="34">
        <f t="shared" si="65"/>
        <v>0.54</v>
      </c>
      <c r="I72" s="35">
        <f t="shared" ref="I72:J72" si="72">G27-I27</f>
        <v>0</v>
      </c>
      <c r="J72" s="36">
        <f t="shared" si="72"/>
        <v>0</v>
      </c>
      <c r="K72" s="37">
        <f t="shared" si="4"/>
        <v>0</v>
      </c>
      <c r="L72" s="34">
        <f t="shared" si="5"/>
        <v>0.54</v>
      </c>
      <c r="M72" s="36">
        <f t="shared" si="18"/>
        <v>0</v>
      </c>
      <c r="N72" s="34">
        <f t="shared" si="19"/>
        <v>0</v>
      </c>
      <c r="O72" s="37">
        <f t="shared" si="20"/>
        <v>0</v>
      </c>
      <c r="P72" s="38">
        <f t="shared" si="21"/>
        <v>0.54</v>
      </c>
      <c r="Q72" s="57">
        <f t="shared" si="22"/>
        <v>0</v>
      </c>
      <c r="R72" s="39">
        <f t="shared" si="7"/>
        <v>0.54</v>
      </c>
      <c r="S72" s="57">
        <f t="shared" si="23"/>
        <v>0</v>
      </c>
      <c r="T72" s="39">
        <f t="shared" si="8"/>
        <v>0.54</v>
      </c>
      <c r="U72" s="57">
        <f t="shared" si="24"/>
        <v>0</v>
      </c>
      <c r="V72" s="39">
        <f t="shared" ref="V72" si="73">T72-V27</f>
        <v>0.54</v>
      </c>
      <c r="W72" s="59">
        <f t="shared" si="26"/>
        <v>0</v>
      </c>
      <c r="X72" s="39">
        <f t="shared" si="9"/>
        <v>0.54</v>
      </c>
      <c r="Y72" s="39">
        <f t="shared" si="10"/>
        <v>4.8600000000000003</v>
      </c>
      <c r="Z72" s="39">
        <f t="shared" si="11"/>
        <v>5.4</v>
      </c>
      <c r="AB72" s="13"/>
      <c r="AC72" s="34"/>
    </row>
    <row r="73" spans="1:29" s="9" customFormat="1" x14ac:dyDescent="0.35">
      <c r="A73" s="9" t="str">
        <f t="shared" si="12"/>
        <v xml:space="preserve">Plastic - Non-Recyclable </v>
      </c>
      <c r="C73" s="34">
        <f t="shared" si="13"/>
        <v>9.9999999999999995E-7</v>
      </c>
      <c r="D73" s="34">
        <f t="shared" si="14"/>
        <v>9.9999999999999995E-7</v>
      </c>
      <c r="E73" s="57">
        <f t="shared" si="15"/>
        <v>0</v>
      </c>
      <c r="F73" s="34">
        <f t="shared" si="3"/>
        <v>9.9999999999999995E-7</v>
      </c>
      <c r="G73" s="34">
        <f t="shared" si="65"/>
        <v>9.9999999999999995E-7</v>
      </c>
      <c r="H73" s="34">
        <f t="shared" si="65"/>
        <v>9.9999999999999995E-7</v>
      </c>
      <c r="I73" s="35">
        <f t="shared" ref="I73:J73" si="74">G28-I28</f>
        <v>0</v>
      </c>
      <c r="J73" s="36">
        <f t="shared" si="74"/>
        <v>0</v>
      </c>
      <c r="K73" s="37">
        <f t="shared" si="4"/>
        <v>0</v>
      </c>
      <c r="L73" s="34">
        <f t="shared" si="5"/>
        <v>9.9999999999999995E-7</v>
      </c>
      <c r="M73" s="36">
        <f t="shared" si="18"/>
        <v>0</v>
      </c>
      <c r="N73" s="34">
        <f t="shared" si="19"/>
        <v>0</v>
      </c>
      <c r="O73" s="37">
        <f t="shared" si="20"/>
        <v>0</v>
      </c>
      <c r="P73" s="38">
        <f t="shared" si="21"/>
        <v>9.9999999999999995E-7</v>
      </c>
      <c r="Q73" s="57">
        <f t="shared" si="22"/>
        <v>0</v>
      </c>
      <c r="R73" s="39">
        <f t="shared" si="7"/>
        <v>9.9999999999999995E-7</v>
      </c>
      <c r="S73" s="57">
        <f t="shared" si="23"/>
        <v>0</v>
      </c>
      <c r="T73" s="39">
        <f t="shared" si="8"/>
        <v>9.9999999999999995E-7</v>
      </c>
      <c r="U73" s="57">
        <f t="shared" si="24"/>
        <v>0</v>
      </c>
      <c r="V73" s="39">
        <f t="shared" ref="V73" si="75">T73-V28</f>
        <v>9.9999999999999995E-7</v>
      </c>
      <c r="W73" s="59">
        <f t="shared" si="26"/>
        <v>0</v>
      </c>
      <c r="X73" s="39">
        <f t="shared" si="9"/>
        <v>9.9999999999999995E-7</v>
      </c>
      <c r="Y73" s="39">
        <f t="shared" si="10"/>
        <v>0</v>
      </c>
      <c r="Z73" s="39">
        <f t="shared" si="11"/>
        <v>9.9999999999999995E-7</v>
      </c>
      <c r="AB73" s="13"/>
    </row>
    <row r="74" spans="1:29" s="9" customFormat="1" x14ac:dyDescent="0.35">
      <c r="A74" s="9" t="str">
        <f t="shared" si="12"/>
        <v>Ferrous Cans</v>
      </c>
      <c r="C74" s="34">
        <f t="shared" si="13"/>
        <v>3.2</v>
      </c>
      <c r="D74" s="34">
        <f t="shared" si="14"/>
        <v>3.2</v>
      </c>
      <c r="E74" s="57">
        <f t="shared" si="15"/>
        <v>0</v>
      </c>
      <c r="F74" s="34">
        <f t="shared" si="3"/>
        <v>3.2</v>
      </c>
      <c r="G74" s="34">
        <f t="shared" si="65"/>
        <v>3.2</v>
      </c>
      <c r="H74" s="34">
        <f t="shared" si="65"/>
        <v>3.2</v>
      </c>
      <c r="I74" s="35">
        <f t="shared" ref="I74:J74" si="76">G29-I29</f>
        <v>0</v>
      </c>
      <c r="J74" s="36">
        <f t="shared" si="76"/>
        <v>0</v>
      </c>
      <c r="K74" s="37">
        <f t="shared" si="4"/>
        <v>0</v>
      </c>
      <c r="L74" s="34">
        <f t="shared" si="5"/>
        <v>3.2</v>
      </c>
      <c r="M74" s="36">
        <f t="shared" si="18"/>
        <v>0</v>
      </c>
      <c r="N74" s="34">
        <f t="shared" si="19"/>
        <v>0</v>
      </c>
      <c r="O74" s="37">
        <f t="shared" si="20"/>
        <v>0</v>
      </c>
      <c r="P74" s="38">
        <f t="shared" si="21"/>
        <v>3.2</v>
      </c>
      <c r="Q74" s="57">
        <f t="shared" si="22"/>
        <v>0</v>
      </c>
      <c r="R74" s="39">
        <f t="shared" si="7"/>
        <v>3.2</v>
      </c>
      <c r="S74" s="57">
        <f t="shared" si="23"/>
        <v>0</v>
      </c>
      <c r="T74" s="39">
        <f t="shared" si="8"/>
        <v>6.4000000000000057E-2</v>
      </c>
      <c r="U74" s="57">
        <f t="shared" si="24"/>
        <v>3.1360000000000001</v>
      </c>
      <c r="V74" s="39">
        <f t="shared" ref="V74" si="77">T74-V29</f>
        <v>6.4000000000000057E-2</v>
      </c>
      <c r="W74" s="59">
        <f t="shared" si="26"/>
        <v>0</v>
      </c>
      <c r="X74" s="39">
        <f t="shared" si="9"/>
        <v>6.4000000000000057E-2</v>
      </c>
      <c r="Y74" s="39">
        <f t="shared" si="10"/>
        <v>3.1360000000000001</v>
      </c>
      <c r="Z74" s="39">
        <f t="shared" si="11"/>
        <v>3.2</v>
      </c>
      <c r="AB74" s="13"/>
    </row>
    <row r="75" spans="1:29" s="9" customFormat="1" x14ac:dyDescent="0.35">
      <c r="A75" s="9" t="str">
        <f t="shared" si="12"/>
        <v>Ferrous Metal - Other</v>
      </c>
      <c r="C75" s="34">
        <f t="shared" si="13"/>
        <v>0.6</v>
      </c>
      <c r="D75" s="34">
        <f t="shared" si="14"/>
        <v>0.6</v>
      </c>
      <c r="E75" s="57">
        <f t="shared" si="15"/>
        <v>0</v>
      </c>
      <c r="F75" s="34">
        <f t="shared" si="3"/>
        <v>0.6</v>
      </c>
      <c r="G75" s="34">
        <f t="shared" si="65"/>
        <v>0.6</v>
      </c>
      <c r="H75" s="34">
        <f t="shared" si="65"/>
        <v>0.6</v>
      </c>
      <c r="I75" s="35">
        <f t="shared" ref="I75:J75" si="78">G30-I30</f>
        <v>0</v>
      </c>
      <c r="J75" s="36">
        <f t="shared" si="78"/>
        <v>0</v>
      </c>
      <c r="K75" s="37">
        <f t="shared" si="4"/>
        <v>0</v>
      </c>
      <c r="L75" s="34">
        <f t="shared" si="5"/>
        <v>0.6</v>
      </c>
      <c r="M75" s="36">
        <f t="shared" si="18"/>
        <v>0</v>
      </c>
      <c r="N75" s="34">
        <f t="shared" si="19"/>
        <v>0</v>
      </c>
      <c r="O75" s="37">
        <f t="shared" si="20"/>
        <v>0</v>
      </c>
      <c r="P75" s="38">
        <f t="shared" si="21"/>
        <v>0.6</v>
      </c>
      <c r="Q75" s="57">
        <f t="shared" si="22"/>
        <v>0</v>
      </c>
      <c r="R75" s="39">
        <f t="shared" si="7"/>
        <v>0.6</v>
      </c>
      <c r="S75" s="57">
        <f t="shared" si="23"/>
        <v>0</v>
      </c>
      <c r="T75" s="39">
        <f t="shared" si="8"/>
        <v>1.2000000000000011E-2</v>
      </c>
      <c r="U75" s="57">
        <f t="shared" si="24"/>
        <v>0.58799999999999997</v>
      </c>
      <c r="V75" s="39">
        <f t="shared" ref="V75" si="79">T75-V30</f>
        <v>1.2000000000000011E-2</v>
      </c>
      <c r="W75" s="59">
        <f t="shared" si="26"/>
        <v>0</v>
      </c>
      <c r="X75" s="39">
        <f t="shared" si="9"/>
        <v>1.2000000000000011E-2</v>
      </c>
      <c r="Y75" s="39">
        <f t="shared" si="10"/>
        <v>0.58799999999999997</v>
      </c>
      <c r="Z75" s="39">
        <f t="shared" si="11"/>
        <v>0.6</v>
      </c>
      <c r="AB75" s="13"/>
    </row>
    <row r="76" spans="1:29" s="9" customFormat="1" x14ac:dyDescent="0.35">
      <c r="A76" s="9" t="str">
        <f t="shared" si="12"/>
        <v>Aluminum Cans</v>
      </c>
      <c r="C76" s="34">
        <f t="shared" si="13"/>
        <v>2</v>
      </c>
      <c r="D76" s="34">
        <f t="shared" si="14"/>
        <v>2</v>
      </c>
      <c r="E76" s="57">
        <f t="shared" si="15"/>
        <v>0</v>
      </c>
      <c r="F76" s="34">
        <f t="shared" si="3"/>
        <v>2</v>
      </c>
      <c r="G76" s="34">
        <f t="shared" si="65"/>
        <v>2</v>
      </c>
      <c r="H76" s="34">
        <f t="shared" si="65"/>
        <v>2</v>
      </c>
      <c r="I76" s="35">
        <f t="shared" ref="I76:J76" si="80">G31-I31</f>
        <v>0</v>
      </c>
      <c r="J76" s="36">
        <f t="shared" si="80"/>
        <v>0</v>
      </c>
      <c r="K76" s="37">
        <f t="shared" si="4"/>
        <v>0</v>
      </c>
      <c r="L76" s="34">
        <f t="shared" si="5"/>
        <v>2</v>
      </c>
      <c r="M76" s="36">
        <f t="shared" si="18"/>
        <v>0</v>
      </c>
      <c r="N76" s="34">
        <f t="shared" si="19"/>
        <v>0</v>
      </c>
      <c r="O76" s="37">
        <f t="shared" si="20"/>
        <v>0</v>
      </c>
      <c r="P76" s="38">
        <f t="shared" si="21"/>
        <v>2</v>
      </c>
      <c r="Q76" s="57">
        <f t="shared" si="22"/>
        <v>0</v>
      </c>
      <c r="R76" s="39">
        <f t="shared" si="7"/>
        <v>2</v>
      </c>
      <c r="S76" s="57">
        <f t="shared" si="23"/>
        <v>0</v>
      </c>
      <c r="T76" s="39">
        <f t="shared" si="8"/>
        <v>2</v>
      </c>
      <c r="U76" s="57">
        <f t="shared" si="24"/>
        <v>0</v>
      </c>
      <c r="V76" s="39">
        <f t="shared" ref="V76" si="81">T76-V31</f>
        <v>6.0000000000000053E-2</v>
      </c>
      <c r="W76" s="59">
        <f t="shared" si="26"/>
        <v>1.94</v>
      </c>
      <c r="X76" s="39">
        <f t="shared" si="9"/>
        <v>6.0000000000000053E-2</v>
      </c>
      <c r="Y76" s="39">
        <f t="shared" si="10"/>
        <v>1.94</v>
      </c>
      <c r="Z76" s="39">
        <f t="shared" si="11"/>
        <v>2</v>
      </c>
      <c r="AB76" s="13"/>
    </row>
    <row r="77" spans="1:29" s="9" customFormat="1" x14ac:dyDescent="0.35">
      <c r="A77" s="9" t="str">
        <f t="shared" si="12"/>
        <v>Aluminum - Foil</v>
      </c>
      <c r="C77" s="34">
        <f t="shared" si="13"/>
        <v>0.6</v>
      </c>
      <c r="D77" s="34">
        <f t="shared" si="14"/>
        <v>0.6</v>
      </c>
      <c r="E77" s="57">
        <f t="shared" si="15"/>
        <v>0</v>
      </c>
      <c r="F77" s="34">
        <f t="shared" si="3"/>
        <v>0.6</v>
      </c>
      <c r="G77" s="34">
        <f t="shared" si="65"/>
        <v>0.6</v>
      </c>
      <c r="H77" s="34">
        <f t="shared" si="65"/>
        <v>0.6</v>
      </c>
      <c r="I77" s="35">
        <f t="shared" ref="I77:J77" si="82">G32-I32</f>
        <v>0</v>
      </c>
      <c r="J77" s="36">
        <f t="shared" si="82"/>
        <v>0</v>
      </c>
      <c r="K77" s="37">
        <f t="shared" si="4"/>
        <v>0</v>
      </c>
      <c r="L77" s="34">
        <f t="shared" si="5"/>
        <v>0.6</v>
      </c>
      <c r="M77" s="36">
        <f t="shared" si="18"/>
        <v>0</v>
      </c>
      <c r="N77" s="34">
        <f t="shared" si="19"/>
        <v>0</v>
      </c>
      <c r="O77" s="37">
        <f t="shared" si="20"/>
        <v>0</v>
      </c>
      <c r="P77" s="38">
        <f t="shared" si="21"/>
        <v>0.6</v>
      </c>
      <c r="Q77" s="57">
        <f t="shared" si="22"/>
        <v>0</v>
      </c>
      <c r="R77" s="39">
        <f t="shared" si="7"/>
        <v>0.6</v>
      </c>
      <c r="S77" s="57">
        <f t="shared" si="23"/>
        <v>0</v>
      </c>
      <c r="T77" s="39">
        <f t="shared" si="8"/>
        <v>0.6</v>
      </c>
      <c r="U77" s="57">
        <f t="shared" si="24"/>
        <v>0</v>
      </c>
      <c r="V77" s="39">
        <f t="shared" ref="V77" si="83">T77-V32</f>
        <v>1.8000000000000016E-2</v>
      </c>
      <c r="W77" s="59">
        <f t="shared" si="26"/>
        <v>0.58199999999999996</v>
      </c>
      <c r="X77" s="39">
        <f t="shared" si="9"/>
        <v>1.8000000000000016E-2</v>
      </c>
      <c r="Y77" s="39">
        <f t="shared" si="10"/>
        <v>0.58199999999999996</v>
      </c>
      <c r="Z77" s="39">
        <f t="shared" si="11"/>
        <v>0.6</v>
      </c>
      <c r="AB77" s="13"/>
    </row>
    <row r="78" spans="1:29" s="9" customFormat="1" x14ac:dyDescent="0.35">
      <c r="A78" s="9" t="str">
        <f t="shared" si="12"/>
        <v>Aluminum - Other</v>
      </c>
      <c r="C78" s="34">
        <f t="shared" si="13"/>
        <v>9.9999999999999995E-7</v>
      </c>
      <c r="D78" s="34">
        <f t="shared" si="14"/>
        <v>9.9999999999999995E-7</v>
      </c>
      <c r="E78" s="57">
        <f t="shared" si="15"/>
        <v>0</v>
      </c>
      <c r="F78" s="34">
        <f t="shared" si="3"/>
        <v>9.9999999999999995E-7</v>
      </c>
      <c r="G78" s="34">
        <f t="shared" si="65"/>
        <v>9.9999999999999995E-7</v>
      </c>
      <c r="H78" s="34">
        <f t="shared" si="65"/>
        <v>9.9999999999999995E-7</v>
      </c>
      <c r="I78" s="35">
        <f t="shared" ref="I78:J78" si="84">G33-I33</f>
        <v>0</v>
      </c>
      <c r="J78" s="36">
        <f t="shared" si="84"/>
        <v>0</v>
      </c>
      <c r="K78" s="37">
        <f t="shared" si="4"/>
        <v>0</v>
      </c>
      <c r="L78" s="34">
        <f t="shared" si="5"/>
        <v>9.9999999999999995E-7</v>
      </c>
      <c r="M78" s="36">
        <f t="shared" si="18"/>
        <v>0</v>
      </c>
      <c r="N78" s="34">
        <f t="shared" si="19"/>
        <v>0</v>
      </c>
      <c r="O78" s="37">
        <f t="shared" si="20"/>
        <v>0</v>
      </c>
      <c r="P78" s="38">
        <f t="shared" si="21"/>
        <v>9.9999999999999995E-7</v>
      </c>
      <c r="Q78" s="57">
        <f t="shared" si="22"/>
        <v>0</v>
      </c>
      <c r="R78" s="39">
        <f t="shared" si="7"/>
        <v>9.9999999999999995E-7</v>
      </c>
      <c r="S78" s="57">
        <f t="shared" si="23"/>
        <v>0</v>
      </c>
      <c r="T78" s="39">
        <f t="shared" si="8"/>
        <v>9.9999999999999995E-7</v>
      </c>
      <c r="U78" s="57">
        <f t="shared" si="24"/>
        <v>0</v>
      </c>
      <c r="V78" s="39">
        <f t="shared" ref="V78" si="85">T78-V33</f>
        <v>2.9999999999999925E-8</v>
      </c>
      <c r="W78" s="59">
        <f t="shared" si="26"/>
        <v>9.7000000000000003E-7</v>
      </c>
      <c r="X78" s="39">
        <f t="shared" si="9"/>
        <v>2.9999999999999925E-8</v>
      </c>
      <c r="Y78" s="39">
        <f t="shared" si="10"/>
        <v>9.7000000000000003E-7</v>
      </c>
      <c r="Z78" s="39">
        <f t="shared" si="11"/>
        <v>9.9999999999999995E-7</v>
      </c>
      <c r="AB78" s="13"/>
    </row>
    <row r="79" spans="1:29" s="9" customFormat="1" x14ac:dyDescent="0.35">
      <c r="A79" s="9" t="str">
        <f t="shared" si="12"/>
        <v xml:space="preserve">Ferrous - Non-recyclable </v>
      </c>
      <c r="C79" s="34">
        <f t="shared" si="13"/>
        <v>9.9999999999999995E-7</v>
      </c>
      <c r="D79" s="34">
        <f t="shared" si="14"/>
        <v>9.9999999999999995E-7</v>
      </c>
      <c r="E79" s="57">
        <f t="shared" si="15"/>
        <v>0</v>
      </c>
      <c r="F79" s="34">
        <f t="shared" si="3"/>
        <v>9.9999999999999995E-7</v>
      </c>
      <c r="G79" s="34">
        <f t="shared" si="65"/>
        <v>9.9999999999999995E-7</v>
      </c>
      <c r="H79" s="34">
        <f t="shared" si="65"/>
        <v>9.9999999999999995E-7</v>
      </c>
      <c r="I79" s="35">
        <f t="shared" ref="I79:J79" si="86">G34-I34</f>
        <v>0</v>
      </c>
      <c r="J79" s="36">
        <f t="shared" si="86"/>
        <v>0</v>
      </c>
      <c r="K79" s="37">
        <f t="shared" si="4"/>
        <v>0</v>
      </c>
      <c r="L79" s="34">
        <f t="shared" si="5"/>
        <v>9.9999999999999995E-7</v>
      </c>
      <c r="M79" s="36">
        <f t="shared" si="18"/>
        <v>0</v>
      </c>
      <c r="N79" s="34">
        <f t="shared" si="19"/>
        <v>0</v>
      </c>
      <c r="O79" s="37">
        <f t="shared" si="20"/>
        <v>0</v>
      </c>
      <c r="P79" s="38">
        <f t="shared" si="21"/>
        <v>9.9999999999999995E-7</v>
      </c>
      <c r="Q79" s="57">
        <f t="shared" si="22"/>
        <v>0</v>
      </c>
      <c r="R79" s="39">
        <f t="shared" si="7"/>
        <v>9.9999999999999995E-7</v>
      </c>
      <c r="S79" s="57">
        <f t="shared" si="23"/>
        <v>0</v>
      </c>
      <c r="T79" s="39">
        <f t="shared" si="8"/>
        <v>2.000000000000002E-8</v>
      </c>
      <c r="U79" s="57">
        <f t="shared" si="24"/>
        <v>9.7999999999999993E-7</v>
      </c>
      <c r="V79" s="39">
        <f t="shared" ref="V79" si="87">T79-V34</f>
        <v>2.000000000000002E-8</v>
      </c>
      <c r="W79" s="59">
        <f t="shared" si="26"/>
        <v>0</v>
      </c>
      <c r="X79" s="39">
        <f t="shared" si="9"/>
        <v>2.000000000000002E-8</v>
      </c>
      <c r="Y79" s="39">
        <f t="shared" si="10"/>
        <v>9.7999999999999993E-7</v>
      </c>
      <c r="Z79" s="39">
        <f t="shared" si="11"/>
        <v>9.9999999999999995E-7</v>
      </c>
      <c r="AB79" s="13"/>
    </row>
    <row r="80" spans="1:29" s="9" customFormat="1" x14ac:dyDescent="0.35">
      <c r="A80" s="9" t="str">
        <f t="shared" si="12"/>
        <v xml:space="preserve">Al - Non-recyclable </v>
      </c>
      <c r="C80" s="34">
        <f t="shared" si="13"/>
        <v>9.9999999999999995E-7</v>
      </c>
      <c r="D80" s="34">
        <f t="shared" si="14"/>
        <v>9.9999999999999995E-7</v>
      </c>
      <c r="E80" s="57">
        <f t="shared" si="15"/>
        <v>0</v>
      </c>
      <c r="F80" s="34">
        <f t="shared" si="3"/>
        <v>9.9999999999999995E-7</v>
      </c>
      <c r="G80" s="34">
        <f t="shared" si="65"/>
        <v>9.9999999999999995E-7</v>
      </c>
      <c r="H80" s="34">
        <f t="shared" si="65"/>
        <v>9.9999999999999995E-7</v>
      </c>
      <c r="I80" s="35">
        <f t="shared" ref="I80:J80" si="88">G35-I35</f>
        <v>0</v>
      </c>
      <c r="J80" s="36">
        <f t="shared" si="88"/>
        <v>0</v>
      </c>
      <c r="K80" s="37">
        <f t="shared" si="4"/>
        <v>0</v>
      </c>
      <c r="L80" s="34">
        <f t="shared" si="5"/>
        <v>9.9999999999999995E-7</v>
      </c>
      <c r="M80" s="36">
        <f t="shared" si="18"/>
        <v>0</v>
      </c>
      <c r="N80" s="34">
        <f t="shared" si="19"/>
        <v>0</v>
      </c>
      <c r="O80" s="37">
        <f t="shared" si="20"/>
        <v>0</v>
      </c>
      <c r="P80" s="38">
        <f t="shared" si="21"/>
        <v>9.9999999999999995E-7</v>
      </c>
      <c r="Q80" s="57">
        <f t="shared" si="22"/>
        <v>0</v>
      </c>
      <c r="R80" s="39">
        <f t="shared" si="7"/>
        <v>9.9999999999999995E-7</v>
      </c>
      <c r="S80" s="57">
        <f t="shared" si="23"/>
        <v>0</v>
      </c>
      <c r="T80" s="39">
        <f t="shared" si="8"/>
        <v>9.9999999999999995E-7</v>
      </c>
      <c r="U80" s="57">
        <f t="shared" si="24"/>
        <v>0</v>
      </c>
      <c r="V80" s="39">
        <f t="shared" ref="V80" si="89">T80-V35</f>
        <v>2.9999999999999925E-8</v>
      </c>
      <c r="W80" s="59">
        <f t="shared" si="26"/>
        <v>9.7000000000000003E-7</v>
      </c>
      <c r="X80" s="39">
        <f t="shared" si="9"/>
        <v>2.9999999999999925E-8</v>
      </c>
      <c r="Y80" s="39">
        <f t="shared" si="10"/>
        <v>9.7000000000000003E-7</v>
      </c>
      <c r="Z80" s="39">
        <f t="shared" si="11"/>
        <v>9.9999999999999995E-7</v>
      </c>
      <c r="AB80" s="13"/>
    </row>
    <row r="81" spans="1:28" s="9" customFormat="1" x14ac:dyDescent="0.35">
      <c r="A81" s="9" t="str">
        <f t="shared" si="12"/>
        <v>Glass - Brown</v>
      </c>
      <c r="C81" s="34">
        <f t="shared" si="13"/>
        <v>7.5</v>
      </c>
      <c r="D81" s="34">
        <f t="shared" si="14"/>
        <v>7.5</v>
      </c>
      <c r="E81" s="57">
        <f t="shared" si="15"/>
        <v>0</v>
      </c>
      <c r="F81" s="34">
        <f t="shared" si="3"/>
        <v>7.5</v>
      </c>
      <c r="G81" s="34">
        <f t="shared" si="65"/>
        <v>7.5</v>
      </c>
      <c r="H81" s="34">
        <f t="shared" si="65"/>
        <v>7.5</v>
      </c>
      <c r="I81" s="35">
        <f t="shared" ref="I81:J81" si="90">G36-I36</f>
        <v>0</v>
      </c>
      <c r="J81" s="36">
        <f t="shared" si="90"/>
        <v>0</v>
      </c>
      <c r="K81" s="37">
        <f t="shared" si="4"/>
        <v>0</v>
      </c>
      <c r="L81" s="34">
        <f t="shared" si="5"/>
        <v>0.22500000000000053</v>
      </c>
      <c r="M81" s="36">
        <f t="shared" si="18"/>
        <v>7.0567499999999992</v>
      </c>
      <c r="N81" s="34">
        <f t="shared" si="19"/>
        <v>7.0567499999999992</v>
      </c>
      <c r="O81" s="37">
        <f t="shared" si="20"/>
        <v>0</v>
      </c>
      <c r="P81" s="38">
        <f t="shared" si="21"/>
        <v>0.44325000000000048</v>
      </c>
      <c r="Q81" s="57">
        <f t="shared" si="22"/>
        <v>0</v>
      </c>
      <c r="R81" s="39">
        <f t="shared" si="7"/>
        <v>0.44325000000000048</v>
      </c>
      <c r="S81" s="57">
        <f t="shared" si="23"/>
        <v>0</v>
      </c>
      <c r="T81" s="39">
        <f t="shared" si="8"/>
        <v>0.44325000000000048</v>
      </c>
      <c r="U81" s="57">
        <f t="shared" si="24"/>
        <v>0</v>
      </c>
      <c r="V81" s="39">
        <f t="shared" ref="V81" si="91">T81-V36</f>
        <v>0.44325000000000048</v>
      </c>
      <c r="W81" s="59">
        <f t="shared" si="26"/>
        <v>0</v>
      </c>
      <c r="X81" s="39">
        <f t="shared" si="9"/>
        <v>0.44325000000000048</v>
      </c>
      <c r="Y81" s="39">
        <f t="shared" si="10"/>
        <v>0</v>
      </c>
      <c r="Z81" s="39">
        <f t="shared" si="11"/>
        <v>7.5</v>
      </c>
      <c r="AB81" s="13"/>
    </row>
    <row r="82" spans="1:28" s="9" customFormat="1" x14ac:dyDescent="0.35">
      <c r="A82" s="9" t="str">
        <f t="shared" si="12"/>
        <v>Glass - Green</v>
      </c>
      <c r="C82" s="34">
        <f t="shared" si="13"/>
        <v>3.2</v>
      </c>
      <c r="D82" s="34">
        <f t="shared" si="14"/>
        <v>3.2</v>
      </c>
      <c r="E82" s="57">
        <f t="shared" si="15"/>
        <v>0</v>
      </c>
      <c r="F82" s="34">
        <f t="shared" si="3"/>
        <v>3.2</v>
      </c>
      <c r="G82" s="34">
        <f t="shared" si="65"/>
        <v>3.2</v>
      </c>
      <c r="H82" s="34">
        <f t="shared" si="65"/>
        <v>3.2</v>
      </c>
      <c r="I82" s="35">
        <f t="shared" ref="I82:J82" si="92">G37-I37</f>
        <v>0</v>
      </c>
      <c r="J82" s="36">
        <f t="shared" si="92"/>
        <v>0</v>
      </c>
      <c r="K82" s="37">
        <f t="shared" si="4"/>
        <v>0</v>
      </c>
      <c r="L82" s="34">
        <f t="shared" si="5"/>
        <v>9.6000000000000085E-2</v>
      </c>
      <c r="M82" s="36">
        <f t="shared" si="18"/>
        <v>3.0108800000000002</v>
      </c>
      <c r="N82" s="34">
        <f t="shared" si="19"/>
        <v>3.0108800000000002</v>
      </c>
      <c r="O82" s="37">
        <f t="shared" si="20"/>
        <v>0</v>
      </c>
      <c r="P82" s="38">
        <f t="shared" si="21"/>
        <v>0.18912000000000007</v>
      </c>
      <c r="Q82" s="57">
        <f t="shared" si="22"/>
        <v>0</v>
      </c>
      <c r="R82" s="39">
        <f t="shared" si="7"/>
        <v>0.18912000000000007</v>
      </c>
      <c r="S82" s="57">
        <f t="shared" si="23"/>
        <v>0</v>
      </c>
      <c r="T82" s="39">
        <f t="shared" si="8"/>
        <v>0.18912000000000007</v>
      </c>
      <c r="U82" s="57">
        <f t="shared" si="24"/>
        <v>0</v>
      </c>
      <c r="V82" s="39">
        <f t="shared" ref="V82" si="93">T82-V37</f>
        <v>0.18912000000000007</v>
      </c>
      <c r="W82" s="59">
        <f t="shared" si="26"/>
        <v>0</v>
      </c>
      <c r="X82" s="39">
        <f t="shared" si="9"/>
        <v>0.18912000000000007</v>
      </c>
      <c r="Y82" s="39">
        <f t="shared" si="10"/>
        <v>0</v>
      </c>
      <c r="Z82" s="39">
        <f t="shared" si="11"/>
        <v>3.2</v>
      </c>
      <c r="AB82" s="13"/>
    </row>
    <row r="83" spans="1:28" s="9" customFormat="1" x14ac:dyDescent="0.35">
      <c r="A83" s="9" t="str">
        <f t="shared" si="12"/>
        <v>Glass - Clear</v>
      </c>
      <c r="C83" s="34">
        <f t="shared" si="13"/>
        <v>2.1</v>
      </c>
      <c r="D83" s="34">
        <f t="shared" si="14"/>
        <v>2.1</v>
      </c>
      <c r="E83" s="57">
        <f t="shared" si="15"/>
        <v>0</v>
      </c>
      <c r="F83" s="34">
        <f t="shared" si="3"/>
        <v>2.1</v>
      </c>
      <c r="G83" s="34">
        <f t="shared" si="65"/>
        <v>2.1</v>
      </c>
      <c r="H83" s="34">
        <f t="shared" si="65"/>
        <v>2.1</v>
      </c>
      <c r="I83" s="35">
        <f t="shared" ref="I83:J83" si="94">G38-I38</f>
        <v>0</v>
      </c>
      <c r="J83" s="36">
        <f t="shared" si="94"/>
        <v>0</v>
      </c>
      <c r="K83" s="37">
        <f t="shared" si="4"/>
        <v>0</v>
      </c>
      <c r="L83" s="34">
        <f t="shared" si="5"/>
        <v>6.3000000000000167E-2</v>
      </c>
      <c r="M83" s="36">
        <f t="shared" si="18"/>
        <v>1.9758899999999999</v>
      </c>
      <c r="N83" s="34">
        <f t="shared" si="19"/>
        <v>1.9758899999999999</v>
      </c>
      <c r="O83" s="37">
        <f t="shared" si="20"/>
        <v>0</v>
      </c>
      <c r="P83" s="38">
        <f t="shared" si="21"/>
        <v>0.12411000000000016</v>
      </c>
      <c r="Q83" s="57">
        <f t="shared" si="22"/>
        <v>0</v>
      </c>
      <c r="R83" s="39">
        <f t="shared" si="7"/>
        <v>0.12411000000000016</v>
      </c>
      <c r="S83" s="57">
        <f t="shared" si="23"/>
        <v>0</v>
      </c>
      <c r="T83" s="39">
        <f t="shared" si="8"/>
        <v>0.12411000000000016</v>
      </c>
      <c r="U83" s="57">
        <f t="shared" si="24"/>
        <v>0</v>
      </c>
      <c r="V83" s="39">
        <f t="shared" ref="V83" si="95">T83-V38</f>
        <v>0.12411000000000016</v>
      </c>
      <c r="W83" s="59">
        <f t="shared" si="26"/>
        <v>0</v>
      </c>
      <c r="X83" s="39">
        <f t="shared" si="9"/>
        <v>0.12411000000000016</v>
      </c>
      <c r="Y83" s="39">
        <f t="shared" si="10"/>
        <v>0</v>
      </c>
      <c r="Z83" s="39">
        <f t="shared" si="11"/>
        <v>2.1</v>
      </c>
      <c r="AB83" s="13"/>
    </row>
    <row r="84" spans="1:28" s="9" customFormat="1" x14ac:dyDescent="0.35">
      <c r="A84" s="9" t="str">
        <f t="shared" si="12"/>
        <v>Mixed Glass</v>
      </c>
      <c r="C84" s="34">
        <f t="shared" si="13"/>
        <v>9.9999999999999995E-7</v>
      </c>
      <c r="D84" s="34">
        <f t="shared" si="14"/>
        <v>9.9999999999999995E-7</v>
      </c>
      <c r="E84" s="57">
        <f t="shared" si="15"/>
        <v>0</v>
      </c>
      <c r="F84" s="34">
        <f t="shared" si="3"/>
        <v>9.9999999999999995E-7</v>
      </c>
      <c r="G84" s="34">
        <f t="shared" si="65"/>
        <v>9.9999999999999995E-7</v>
      </c>
      <c r="H84" s="34">
        <f t="shared" si="65"/>
        <v>9.9999999999999995E-7</v>
      </c>
      <c r="I84" s="35">
        <f t="shared" ref="I84:J84" si="96">G39-I39</f>
        <v>0</v>
      </c>
      <c r="J84" s="36">
        <f t="shared" si="96"/>
        <v>0</v>
      </c>
      <c r="K84" s="37">
        <f t="shared" si="4"/>
        <v>0</v>
      </c>
      <c r="L84" s="34">
        <f t="shared" si="5"/>
        <v>2.9999999999999925E-8</v>
      </c>
      <c r="M84" s="36">
        <f t="shared" si="18"/>
        <v>9.4090000000000007E-7</v>
      </c>
      <c r="N84" s="34">
        <f t="shared" si="19"/>
        <v>9.4090000000000007E-7</v>
      </c>
      <c r="O84" s="37">
        <f t="shared" si="20"/>
        <v>0</v>
      </c>
      <c r="P84" s="38">
        <f t="shared" si="21"/>
        <v>5.9099999999999927E-8</v>
      </c>
      <c r="Q84" s="57">
        <f t="shared" si="22"/>
        <v>0</v>
      </c>
      <c r="R84" s="39">
        <f t="shared" si="7"/>
        <v>5.9099999999999927E-8</v>
      </c>
      <c r="S84" s="57">
        <f t="shared" si="23"/>
        <v>0</v>
      </c>
      <c r="T84" s="39">
        <f t="shared" si="8"/>
        <v>5.9099999999999927E-8</v>
      </c>
      <c r="U84" s="57">
        <f t="shared" si="24"/>
        <v>0</v>
      </c>
      <c r="V84" s="39">
        <f t="shared" ref="V84" si="97">T84-V39</f>
        <v>5.9099999999999927E-8</v>
      </c>
      <c r="W84" s="59">
        <f t="shared" si="26"/>
        <v>0</v>
      </c>
      <c r="X84" s="39">
        <f t="shared" si="9"/>
        <v>5.9099999999999927E-8</v>
      </c>
      <c r="Y84" s="39">
        <f t="shared" si="10"/>
        <v>0</v>
      </c>
      <c r="Z84" s="39">
        <f t="shared" si="11"/>
        <v>9.9999999999999995E-7</v>
      </c>
      <c r="AB84" s="13"/>
    </row>
    <row r="85" spans="1:28" s="9" customFormat="1" x14ac:dyDescent="0.35">
      <c r="A85" s="9" t="str">
        <f t="shared" si="12"/>
        <v>Glass - Non-recyclable</v>
      </c>
      <c r="C85" s="34">
        <f t="shared" si="13"/>
        <v>9.9999999999999995E-7</v>
      </c>
      <c r="D85" s="34">
        <f t="shared" si="14"/>
        <v>9.9999999999999995E-7</v>
      </c>
      <c r="E85" s="57">
        <f t="shared" si="15"/>
        <v>0</v>
      </c>
      <c r="F85" s="34">
        <f t="shared" si="3"/>
        <v>9.9999999999999995E-7</v>
      </c>
      <c r="G85" s="34">
        <f t="shared" si="65"/>
        <v>9.9999999999999995E-7</v>
      </c>
      <c r="H85" s="34">
        <f t="shared" si="65"/>
        <v>9.9999999999999995E-7</v>
      </c>
      <c r="I85" s="35">
        <f t="shared" ref="I85:J85" si="98">G40-I40</f>
        <v>0</v>
      </c>
      <c r="J85" s="36">
        <f t="shared" si="98"/>
        <v>0</v>
      </c>
      <c r="K85" s="37">
        <f t="shared" si="4"/>
        <v>0</v>
      </c>
      <c r="L85" s="34">
        <f t="shared" si="5"/>
        <v>2.9999999999999925E-8</v>
      </c>
      <c r="M85" s="36">
        <f t="shared" si="18"/>
        <v>9.4090000000000007E-7</v>
      </c>
      <c r="N85" s="34">
        <f t="shared" si="19"/>
        <v>9.4090000000000007E-7</v>
      </c>
      <c r="O85" s="37">
        <f t="shared" si="20"/>
        <v>0</v>
      </c>
      <c r="P85" s="38">
        <f t="shared" si="21"/>
        <v>5.9099999999999927E-8</v>
      </c>
      <c r="Q85" s="57">
        <f t="shared" si="22"/>
        <v>0</v>
      </c>
      <c r="R85" s="39">
        <f t="shared" si="7"/>
        <v>5.9099999999999927E-8</v>
      </c>
      <c r="S85" s="57">
        <f t="shared" si="23"/>
        <v>0</v>
      </c>
      <c r="T85" s="39">
        <f t="shared" si="8"/>
        <v>5.9099999999999927E-8</v>
      </c>
      <c r="U85" s="57">
        <f t="shared" si="24"/>
        <v>0</v>
      </c>
      <c r="V85" s="39">
        <f t="shared" ref="V85" si="99">T85-V40</f>
        <v>5.9099999999999927E-8</v>
      </c>
      <c r="W85" s="59">
        <f t="shared" si="26"/>
        <v>0</v>
      </c>
      <c r="X85" s="39">
        <f t="shared" si="9"/>
        <v>5.9099999999999927E-8</v>
      </c>
      <c r="Y85" s="39">
        <f t="shared" si="10"/>
        <v>0</v>
      </c>
      <c r="Z85" s="39">
        <f t="shared" si="11"/>
        <v>9.9999999999999995E-7</v>
      </c>
      <c r="AB85" s="13"/>
    </row>
    <row r="86" spans="1:28" s="9" customFormat="1" x14ac:dyDescent="0.35">
      <c r="A86" s="9" t="str">
        <f t="shared" si="12"/>
        <v>Misc. Organic</v>
      </c>
      <c r="C86" s="34">
        <f t="shared" si="13"/>
        <v>9.9999999999999995E-7</v>
      </c>
      <c r="D86" s="34">
        <f t="shared" si="14"/>
        <v>9.9999999999999995E-7</v>
      </c>
      <c r="E86" s="57">
        <f t="shared" si="15"/>
        <v>0</v>
      </c>
      <c r="F86" s="34">
        <f t="shared" si="3"/>
        <v>9.9999999999999995E-7</v>
      </c>
      <c r="G86" s="34">
        <f t="shared" si="65"/>
        <v>9.9999999999999995E-7</v>
      </c>
      <c r="H86" s="34">
        <f t="shared" si="65"/>
        <v>9.9999999999999995E-7</v>
      </c>
      <c r="I86" s="35">
        <f t="shared" ref="I86:J86" si="100">G41-I41</f>
        <v>0</v>
      </c>
      <c r="J86" s="36">
        <f t="shared" si="100"/>
        <v>0</v>
      </c>
      <c r="K86" s="37">
        <f t="shared" si="4"/>
        <v>0</v>
      </c>
      <c r="L86" s="34">
        <f t="shared" si="5"/>
        <v>9.9999999999999995E-7</v>
      </c>
      <c r="M86" s="36">
        <f t="shared" si="18"/>
        <v>0</v>
      </c>
      <c r="N86" s="34">
        <f t="shared" si="19"/>
        <v>0</v>
      </c>
      <c r="O86" s="37">
        <f t="shared" si="20"/>
        <v>0</v>
      </c>
      <c r="P86" s="38">
        <f t="shared" si="21"/>
        <v>9.9999999999999995E-7</v>
      </c>
      <c r="Q86" s="57">
        <f t="shared" si="22"/>
        <v>0</v>
      </c>
      <c r="R86" s="39">
        <f t="shared" si="7"/>
        <v>9.9999999999999995E-7</v>
      </c>
      <c r="S86" s="57">
        <f t="shared" si="23"/>
        <v>0</v>
      </c>
      <c r="T86" s="39">
        <f t="shared" si="8"/>
        <v>9.9999999999999995E-7</v>
      </c>
      <c r="U86" s="57">
        <f t="shared" si="24"/>
        <v>0</v>
      </c>
      <c r="V86" s="39">
        <f t="shared" ref="V86" si="101">T86-V41</f>
        <v>9.9999999999999995E-7</v>
      </c>
      <c r="W86" s="59">
        <f t="shared" si="26"/>
        <v>0</v>
      </c>
      <c r="X86" s="39">
        <f t="shared" si="9"/>
        <v>9.9999999999999995E-7</v>
      </c>
      <c r="Y86" s="39">
        <f t="shared" si="10"/>
        <v>0</v>
      </c>
      <c r="Z86" s="39">
        <f t="shared" si="11"/>
        <v>9.9999999999999995E-7</v>
      </c>
      <c r="AB86" s="13"/>
    </row>
    <row r="87" spans="1:28" s="9" customFormat="1" x14ac:dyDescent="0.35">
      <c r="A87" s="9" t="str">
        <f t="shared" si="12"/>
        <v>Misc. Inorganic</v>
      </c>
      <c r="C87" s="34">
        <f t="shared" si="13"/>
        <v>9.9999999999999995E-7</v>
      </c>
      <c r="D87" s="34">
        <f t="shared" si="14"/>
        <v>9.9999999999999995E-7</v>
      </c>
      <c r="E87" s="57">
        <f t="shared" si="15"/>
        <v>0</v>
      </c>
      <c r="F87" s="34">
        <f t="shared" si="3"/>
        <v>9.9999999999999995E-7</v>
      </c>
      <c r="G87" s="34">
        <f t="shared" si="65"/>
        <v>9.9999999999999995E-7</v>
      </c>
      <c r="H87" s="34">
        <f t="shared" si="65"/>
        <v>9.9999999999999995E-7</v>
      </c>
      <c r="I87" s="35">
        <f t="shared" ref="I87:J87" si="102">G42-I42</f>
        <v>0</v>
      </c>
      <c r="J87" s="36">
        <f t="shared" si="102"/>
        <v>0</v>
      </c>
      <c r="K87" s="37">
        <f t="shared" si="4"/>
        <v>0</v>
      </c>
      <c r="L87" s="34">
        <f t="shared" si="5"/>
        <v>9.9999999999999995E-7</v>
      </c>
      <c r="M87" s="36">
        <f t="shared" si="18"/>
        <v>0</v>
      </c>
      <c r="N87" s="34">
        <f t="shared" si="19"/>
        <v>0</v>
      </c>
      <c r="O87" s="37">
        <f t="shared" si="20"/>
        <v>0</v>
      </c>
      <c r="P87" s="38">
        <f t="shared" si="21"/>
        <v>9.9999999999999995E-7</v>
      </c>
      <c r="Q87" s="57">
        <f t="shared" si="22"/>
        <v>0</v>
      </c>
      <c r="R87" s="39">
        <f t="shared" si="7"/>
        <v>9.9999999999999995E-7</v>
      </c>
      <c r="S87" s="57">
        <f t="shared" si="23"/>
        <v>0</v>
      </c>
      <c r="T87" s="39">
        <f t="shared" si="8"/>
        <v>9.9999999999999995E-7</v>
      </c>
      <c r="U87" s="57">
        <f t="shared" si="24"/>
        <v>0</v>
      </c>
      <c r="V87" s="39">
        <f t="shared" ref="V87" si="103">T87-V42</f>
        <v>9.9999999999999995E-7</v>
      </c>
      <c r="W87" s="59">
        <f t="shared" si="26"/>
        <v>0</v>
      </c>
      <c r="X87" s="39">
        <f t="shared" si="9"/>
        <v>9.9999999999999995E-7</v>
      </c>
      <c r="Y87" s="39">
        <f t="shared" si="10"/>
        <v>0</v>
      </c>
      <c r="Z87" s="39">
        <f t="shared" si="11"/>
        <v>9.9999999999999995E-7</v>
      </c>
      <c r="AB87" s="13"/>
    </row>
    <row r="88" spans="1:28" s="9" customFormat="1" x14ac:dyDescent="0.35">
      <c r="A88" s="9" t="str">
        <f t="shared" si="12"/>
        <v>E-waste</v>
      </c>
      <c r="C88" s="34">
        <f t="shared" si="13"/>
        <v>9.9999999999999995E-7</v>
      </c>
      <c r="D88" s="34">
        <f t="shared" si="14"/>
        <v>9.9999999999999995E-7</v>
      </c>
      <c r="E88" s="58">
        <f t="shared" si="15"/>
        <v>0</v>
      </c>
      <c r="F88" s="34">
        <f t="shared" si="3"/>
        <v>9.9999999999999995E-7</v>
      </c>
      <c r="G88" s="34">
        <f t="shared" si="65"/>
        <v>9.9999999999999995E-7</v>
      </c>
      <c r="H88" s="34">
        <f t="shared" si="65"/>
        <v>9.9999999999999995E-7</v>
      </c>
      <c r="I88" s="42">
        <f t="shared" ref="I88:J88" si="104">G43-I43</f>
        <v>0</v>
      </c>
      <c r="J88" s="44">
        <f t="shared" si="104"/>
        <v>0</v>
      </c>
      <c r="K88" s="41">
        <f t="shared" si="4"/>
        <v>0</v>
      </c>
      <c r="L88" s="34">
        <f t="shared" si="5"/>
        <v>9.9999999999999995E-7</v>
      </c>
      <c r="M88" s="44">
        <f t="shared" si="18"/>
        <v>0</v>
      </c>
      <c r="N88" s="40">
        <f t="shared" si="19"/>
        <v>0</v>
      </c>
      <c r="O88" s="41">
        <f t="shared" si="20"/>
        <v>0</v>
      </c>
      <c r="P88" s="38">
        <f t="shared" si="21"/>
        <v>9.9999999999999995E-7</v>
      </c>
      <c r="Q88" s="58">
        <f t="shared" si="22"/>
        <v>0</v>
      </c>
      <c r="R88" s="39">
        <f t="shared" si="7"/>
        <v>9.9999999999999995E-7</v>
      </c>
      <c r="S88" s="58">
        <f t="shared" si="23"/>
        <v>0</v>
      </c>
      <c r="T88" s="39">
        <f t="shared" si="8"/>
        <v>9.9999999999999995E-7</v>
      </c>
      <c r="U88" s="58">
        <f t="shared" si="24"/>
        <v>0</v>
      </c>
      <c r="V88" s="39">
        <f t="shared" ref="V88" si="105">T88-V43</f>
        <v>9.9999999999999995E-7</v>
      </c>
      <c r="W88" s="60">
        <f t="shared" si="26"/>
        <v>0</v>
      </c>
      <c r="X88" s="39">
        <f t="shared" si="9"/>
        <v>9.9999999999999995E-7</v>
      </c>
      <c r="Y88" s="39">
        <f t="shared" si="10"/>
        <v>0</v>
      </c>
      <c r="Z88" s="39">
        <f t="shared" si="11"/>
        <v>9.9999999999999995E-7</v>
      </c>
      <c r="AB88" s="13"/>
    </row>
    <row r="89" spans="1:28" s="25" customFormat="1" x14ac:dyDescent="0.35">
      <c r="A89" s="25" t="s">
        <v>92</v>
      </c>
      <c r="C89" s="43">
        <f t="shared" ref="C89:Z89" si="106">SUM(C48:C88)</f>
        <v>100.00002499999995</v>
      </c>
      <c r="D89" s="43">
        <f t="shared" si="106"/>
        <v>95.140024999999952</v>
      </c>
      <c r="E89" s="43">
        <f t="shared" si="106"/>
        <v>0</v>
      </c>
      <c r="F89" s="43">
        <f t="shared" si="106"/>
        <v>67.280024999999966</v>
      </c>
      <c r="G89" s="43">
        <f t="shared" si="106"/>
        <v>32.651022449999992</v>
      </c>
      <c r="H89" s="43">
        <f t="shared" si="106"/>
        <v>27.090012040500007</v>
      </c>
      <c r="I89" s="43">
        <f t="shared" si="106"/>
        <v>34.629002550000003</v>
      </c>
      <c r="J89" s="43">
        <f t="shared" si="106"/>
        <v>5.5610104094999997</v>
      </c>
      <c r="K89" s="43">
        <f t="shared" si="106"/>
        <v>68.050012959499995</v>
      </c>
      <c r="L89" s="43">
        <f t="shared" si="106"/>
        <v>14.334009950499997</v>
      </c>
      <c r="M89" s="43">
        <f t="shared" si="106"/>
        <v>12.053721886299998</v>
      </c>
      <c r="N89" s="43">
        <f t="shared" si="106"/>
        <v>12.053721886299998</v>
      </c>
      <c r="O89" s="43">
        <f t="shared" si="106"/>
        <v>0</v>
      </c>
      <c r="P89" s="38">
        <f t="shared" si="21"/>
        <v>11.415729154199996</v>
      </c>
      <c r="Q89" s="43">
        <f t="shared" si="106"/>
        <v>3.6205610000000004</v>
      </c>
      <c r="R89" s="43">
        <f t="shared" si="106"/>
        <v>8.3822861541999973</v>
      </c>
      <c r="S89" s="43">
        <f t="shared" si="106"/>
        <v>3.0334430000000001</v>
      </c>
      <c r="T89" s="43">
        <f t="shared" si="106"/>
        <v>4.6582851742000004</v>
      </c>
      <c r="U89" s="43">
        <f t="shared" si="106"/>
        <v>3.72400098</v>
      </c>
      <c r="V89" s="43">
        <f t="shared" si="106"/>
        <v>2.1362832342000013</v>
      </c>
      <c r="W89" s="43">
        <f t="shared" si="106"/>
        <v>2.5220019399999996</v>
      </c>
      <c r="X89" s="43">
        <f t="shared" si="106"/>
        <v>2.1362832342000013</v>
      </c>
      <c r="Y89" s="43">
        <f t="shared" si="106"/>
        <v>17.760006919999995</v>
      </c>
      <c r="Z89" s="43">
        <f t="shared" si="106"/>
        <v>100.00002499999995</v>
      </c>
    </row>
    <row r="90" spans="1:28" s="9" customFormat="1" x14ac:dyDescent="0.35"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8"/>
      <c r="Q90" s="38"/>
      <c r="R90" s="34"/>
      <c r="S90" s="34"/>
      <c r="AB90" s="13"/>
    </row>
    <row r="91" spans="1:28" s="9" customFormat="1" x14ac:dyDescent="0.35">
      <c r="A91" s="14" t="s">
        <v>49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8"/>
      <c r="Q91" s="38"/>
      <c r="R91" s="34"/>
      <c r="S91" s="34"/>
      <c r="AB91" s="13"/>
    </row>
    <row r="92" spans="1:28" s="45" customFormat="1" ht="29" x14ac:dyDescent="0.35">
      <c r="A92" s="82"/>
      <c r="B92" s="46" t="s">
        <v>79</v>
      </c>
      <c r="C92" s="46" t="str">
        <f>C47</f>
        <v>Drum Feeder</v>
      </c>
      <c r="D92" s="46" t="str">
        <f t="shared" ref="D92:X92" si="107">D47</f>
        <v>Manual Sort 1 (Negative)</v>
      </c>
      <c r="E92" s="83" t="str">
        <f t="shared" si="107"/>
        <v>Vacuum</v>
      </c>
      <c r="F92" s="46" t="str">
        <f t="shared" si="107"/>
        <v>Disc Screen 1</v>
      </c>
      <c r="G92" s="46" t="str">
        <f t="shared" si="107"/>
        <v>Disc Screen 2</v>
      </c>
      <c r="H92" s="46" t="str">
        <f t="shared" si="107"/>
        <v>Disc Screen 3</v>
      </c>
      <c r="I92" s="83" t="str">
        <f t="shared" si="107"/>
        <v>Manual Sort 2-DS2 (Negative)</v>
      </c>
      <c r="J92" s="84" t="str">
        <f t="shared" si="107"/>
        <v>Manual Sort 2-DS3 (Negative)</v>
      </c>
      <c r="K92" s="85" t="str">
        <f t="shared" si="107"/>
        <v>1-Way Baler</v>
      </c>
      <c r="L92" s="46" t="str">
        <f t="shared" si="107"/>
        <v>Glass Breaker Screen</v>
      </c>
      <c r="M92" s="84" t="str">
        <f t="shared" si="107"/>
        <v>Air Knife</v>
      </c>
      <c r="N92" s="86" t="str">
        <f t="shared" si="107"/>
        <v>Optical Glass</v>
      </c>
      <c r="O92" s="85" t="str">
        <f t="shared" si="107"/>
        <v>Manual Sort 3-G (Negative)</v>
      </c>
      <c r="P92" s="87" t="str">
        <f t="shared" si="107"/>
        <v>Optical PET</v>
      </c>
      <c r="Q92" s="87" t="str">
        <f t="shared" si="107"/>
        <v>Manual Sort 4-PET (Negative)</v>
      </c>
      <c r="R92" s="87" t="str">
        <f t="shared" si="107"/>
        <v>Optical HDPE</v>
      </c>
      <c r="S92" s="87" t="str">
        <f t="shared" si="107"/>
        <v>Manual Sort 4-HDPE (Negative)</v>
      </c>
      <c r="T92" s="87" t="str">
        <f t="shared" si="107"/>
        <v>Magnet</v>
      </c>
      <c r="U92" s="87" t="str">
        <f t="shared" si="107"/>
        <v>Manual Sort 4-Fe (Negative)</v>
      </c>
      <c r="V92" s="87" t="str">
        <f t="shared" si="107"/>
        <v>Eddy Current Separator</v>
      </c>
      <c r="W92" s="88" t="str">
        <f t="shared" si="107"/>
        <v>Manual Sort 4-Al (Negative)</v>
      </c>
      <c r="X92" s="87" t="str">
        <f t="shared" si="107"/>
        <v>Manual Sort 5 (Positive)</v>
      </c>
      <c r="Y92" s="87" t="str">
        <f t="shared" ref="Y92:Z92" si="108">Y47</f>
        <v>2-Way Baler</v>
      </c>
      <c r="Z92" s="87" t="str">
        <f t="shared" si="108"/>
        <v>Rolling Stock</v>
      </c>
      <c r="AB92" s="13"/>
    </row>
    <row r="93" spans="1:28" s="9" customFormat="1" x14ac:dyDescent="0.35">
      <c r="A93" s="13" t="str">
        <f>A3</f>
        <v>Yard Trimmings, Leaves</v>
      </c>
      <c r="B93" s="215">
        <f>'Important variables and results'!H2</f>
        <v>9.9999999999999995E-7</v>
      </c>
      <c r="C93" s="34">
        <f>IF(Single.Stream!$D$109="No",0,C3+C48)</f>
        <v>9.9999999999999995E-7</v>
      </c>
      <c r="D93" s="34">
        <f>IF(Single.Stream!$D$110="No",0,D3+D48)</f>
        <v>9.9999999999999995E-7</v>
      </c>
      <c r="E93" s="35">
        <f>IF(Single.Stream!$D$111="No",0,E3+E48)</f>
        <v>0</v>
      </c>
      <c r="F93" s="34">
        <f>IF(Single.Stream!$D$112="No",0,F3+F48)</f>
        <v>9.9999999999999995E-7</v>
      </c>
      <c r="G93" s="34">
        <f>IF(Single.Stream!$D$113="No",0,G3+G48)</f>
        <v>9.9999999999999995E-7</v>
      </c>
      <c r="H93" s="34">
        <f>IF(Single.Stream!$D$114="No",0,H3+H48)</f>
        <v>9.9999999999999995E-7</v>
      </c>
      <c r="I93" s="35">
        <f>IF(Single.Stream!$D$115="No",0,I3+I48)</f>
        <v>0</v>
      </c>
      <c r="J93" s="36">
        <f>IF(Single.Stream!$D$116="No",0,J3+J48)</f>
        <v>0</v>
      </c>
      <c r="K93" s="37">
        <f>IF(Single.Stream!$D$117="No",0,K3+K48)</f>
        <v>0</v>
      </c>
      <c r="L93" s="34">
        <f>IF(Single.Stream!$D$118="No",0,L3+L48)</f>
        <v>9.9999999999999995E-7</v>
      </c>
      <c r="M93" s="36">
        <f>IF(Single.Stream!$D$119="No",0,M3+M48)</f>
        <v>0</v>
      </c>
      <c r="N93" s="34">
        <f>IF(Single.Stream!$D$120="No",0,N3+N48)</f>
        <v>0</v>
      </c>
      <c r="O93" s="37">
        <f>IF(Single.Stream!$D$121="No",0,O3+O48)</f>
        <v>0</v>
      </c>
      <c r="P93" s="34">
        <f>IF(Single.Stream!$D$122="No",0,P3+P48)</f>
        <v>9.9999999999999995E-7</v>
      </c>
      <c r="Q93" s="34">
        <f>IF(Single.Stream!$D$123="No",0,Q3+Q48)</f>
        <v>0</v>
      </c>
      <c r="R93" s="34">
        <f>IF(Single.Stream!$D$124="No",0,R3+R48)</f>
        <v>9.9999999999999995E-7</v>
      </c>
      <c r="S93" s="34">
        <f>IF(Single.Stream!$D$125="No",0,S3+S48)</f>
        <v>0</v>
      </c>
      <c r="T93" s="34">
        <f>IF(Single.Stream!$D$126="No",0,T3+T48)</f>
        <v>9.9999999999999995E-7</v>
      </c>
      <c r="U93" s="34">
        <f>IF(Single.Stream!$D$127="No",0,U3+U48)</f>
        <v>0</v>
      </c>
      <c r="V93" s="34">
        <f>IF(Single.Stream!$D$128="No",0,V3+V48)</f>
        <v>9.9999999999999995E-7</v>
      </c>
      <c r="W93" s="35">
        <f>IF(Single.Stream!$D$129="No",0,W3+W48)</f>
        <v>0</v>
      </c>
      <c r="X93" s="34">
        <f>IF(Single.Stream!$D$130="No",0,X3+X48)</f>
        <v>0</v>
      </c>
      <c r="Y93" s="34">
        <f>IF(Single.Stream!$D$131="No",0,Y3+Y48)</f>
        <v>0</v>
      </c>
      <c r="Z93" s="34">
        <f>IF(Single.Stream!$D$132="No",0,Z3+Z48)</f>
        <v>9.9999999999999995E-7</v>
      </c>
      <c r="AB93" s="13"/>
    </row>
    <row r="94" spans="1:28" s="9" customFormat="1" x14ac:dyDescent="0.35">
      <c r="A94" s="13" t="str">
        <f t="shared" ref="A94:A133" si="109">A4</f>
        <v>Yard Trimmings, Grass</v>
      </c>
      <c r="B94" s="215">
        <f>'Important variables and results'!H3</f>
        <v>9.9999999999999995E-7</v>
      </c>
      <c r="C94" s="34">
        <f>IF(Single.Stream!$D$109="No",0,C4+C49)</f>
        <v>9.9999999999999995E-7</v>
      </c>
      <c r="D94" s="34">
        <f>IF(Single.Stream!$D$110="No",0,D4+D49)</f>
        <v>9.9999999999999995E-7</v>
      </c>
      <c r="E94" s="35">
        <f>IF(Single.Stream!$D$111="No",0,E4+E49)</f>
        <v>0</v>
      </c>
      <c r="F94" s="34">
        <f>IF(Single.Stream!$D$112="No",0,F4+F49)</f>
        <v>9.9999999999999995E-7</v>
      </c>
      <c r="G94" s="34">
        <f>IF(Single.Stream!$D$113="No",0,G4+G49)</f>
        <v>9.9999999999999995E-7</v>
      </c>
      <c r="H94" s="34">
        <f>IF(Single.Stream!$D$114="No",0,H4+H49)</f>
        <v>9.9999999999999995E-7</v>
      </c>
      <c r="I94" s="35">
        <f>IF(Single.Stream!$D$115="No",0,I4+I49)</f>
        <v>0</v>
      </c>
      <c r="J94" s="36">
        <f>IF(Single.Stream!$D$116="No",0,J4+J49)</f>
        <v>0</v>
      </c>
      <c r="K94" s="37">
        <f>IF(Single.Stream!$D$117="No",0,K4+K49)</f>
        <v>0</v>
      </c>
      <c r="L94" s="34">
        <f>IF(Single.Stream!$D$118="No",0,L4+L49)</f>
        <v>9.9999999999999995E-7</v>
      </c>
      <c r="M94" s="36">
        <f>IF(Single.Stream!$D$119="No",0,M4+M49)</f>
        <v>0</v>
      </c>
      <c r="N94" s="34">
        <f>IF(Single.Stream!$D$120="No",0,N4+N49)</f>
        <v>0</v>
      </c>
      <c r="O94" s="37">
        <f>IF(Single.Stream!$D$121="No",0,O4+O49)</f>
        <v>0</v>
      </c>
      <c r="P94" s="34">
        <f>IF(Single.Stream!$D$122="No",0,P4+P49)</f>
        <v>9.9999999999999995E-7</v>
      </c>
      <c r="Q94" s="34">
        <f>IF(Single.Stream!$D$123="No",0,Q4+Q49)</f>
        <v>0</v>
      </c>
      <c r="R94" s="34">
        <f>IF(Single.Stream!$D$124="No",0,R4+R49)</f>
        <v>9.9999999999999995E-7</v>
      </c>
      <c r="S94" s="34">
        <f>IF(Single.Stream!$D$125="No",0,S4+S49)</f>
        <v>0</v>
      </c>
      <c r="T94" s="34">
        <f>IF(Single.Stream!$D$126="No",0,T4+T49)</f>
        <v>9.9999999999999995E-7</v>
      </c>
      <c r="U94" s="34">
        <f>IF(Single.Stream!$D$127="No",0,U4+U49)</f>
        <v>0</v>
      </c>
      <c r="V94" s="34">
        <f>IF(Single.Stream!$D$128="No",0,V4+V49)</f>
        <v>9.9999999999999995E-7</v>
      </c>
      <c r="W94" s="35">
        <f>IF(Single.Stream!$D$129="No",0,W4+W49)</f>
        <v>0</v>
      </c>
      <c r="X94" s="34">
        <f>IF(Single.Stream!$D$130="No",0,X4+X49)</f>
        <v>0</v>
      </c>
      <c r="Y94" s="34">
        <f>IF(Single.Stream!$D$131="No",0,Y4+Y49)</f>
        <v>0</v>
      </c>
      <c r="Z94" s="34">
        <f>IF(Single.Stream!$D$132="No",0,Z4+Z49)</f>
        <v>9.9999999999999995E-7</v>
      </c>
      <c r="AB94" s="13"/>
    </row>
    <row r="95" spans="1:28" s="9" customFormat="1" x14ac:dyDescent="0.35">
      <c r="A95" s="13" t="str">
        <f t="shared" si="109"/>
        <v>Yard Trimmings, Branches</v>
      </c>
      <c r="B95" s="215">
        <f>'Important variables and results'!H4</f>
        <v>9.9999999999999995E-7</v>
      </c>
      <c r="C95" s="34">
        <f>IF(Single.Stream!$D$109="No",0,C5+C50)</f>
        <v>9.9999999999999995E-7</v>
      </c>
      <c r="D95" s="34">
        <f>IF(Single.Stream!$D$110="No",0,D5+D50)</f>
        <v>9.9999999999999995E-7</v>
      </c>
      <c r="E95" s="35">
        <f>IF(Single.Stream!$D$111="No",0,E5+E50)</f>
        <v>0</v>
      </c>
      <c r="F95" s="34">
        <f>IF(Single.Stream!$D$112="No",0,F5+F50)</f>
        <v>9.9999999999999995E-7</v>
      </c>
      <c r="G95" s="34">
        <f>IF(Single.Stream!$D$113="No",0,G5+G50)</f>
        <v>9.9999999999999995E-7</v>
      </c>
      <c r="H95" s="34">
        <f>IF(Single.Stream!$D$114="No",0,H5+H50)</f>
        <v>9.9999999999999995E-7</v>
      </c>
      <c r="I95" s="35">
        <f>IF(Single.Stream!$D$115="No",0,I5+I50)</f>
        <v>0</v>
      </c>
      <c r="J95" s="36">
        <f>IF(Single.Stream!$D$116="No",0,J5+J50)</f>
        <v>0</v>
      </c>
      <c r="K95" s="37">
        <f>IF(Single.Stream!$D$117="No",0,K5+K50)</f>
        <v>0</v>
      </c>
      <c r="L95" s="34">
        <f>IF(Single.Stream!$D$118="No",0,L5+L50)</f>
        <v>9.9999999999999995E-7</v>
      </c>
      <c r="M95" s="36">
        <f>IF(Single.Stream!$D$119="No",0,M5+M50)</f>
        <v>0</v>
      </c>
      <c r="N95" s="34">
        <f>IF(Single.Stream!$D$120="No",0,N5+N50)</f>
        <v>0</v>
      </c>
      <c r="O95" s="37">
        <f>IF(Single.Stream!$D$121="No",0,O5+O50)</f>
        <v>0</v>
      </c>
      <c r="P95" s="34">
        <f>IF(Single.Stream!$D$122="No",0,P5+P50)</f>
        <v>9.9999999999999995E-7</v>
      </c>
      <c r="Q95" s="34">
        <f>IF(Single.Stream!$D$123="No",0,Q5+Q50)</f>
        <v>0</v>
      </c>
      <c r="R95" s="34">
        <f>IF(Single.Stream!$D$124="No",0,R5+R50)</f>
        <v>9.9999999999999995E-7</v>
      </c>
      <c r="S95" s="34">
        <f>IF(Single.Stream!$D$125="No",0,S5+S50)</f>
        <v>0</v>
      </c>
      <c r="T95" s="34">
        <f>IF(Single.Stream!$D$126="No",0,T5+T50)</f>
        <v>9.9999999999999995E-7</v>
      </c>
      <c r="U95" s="34">
        <f>IF(Single.Stream!$D$127="No",0,U5+U50)</f>
        <v>0</v>
      </c>
      <c r="V95" s="34">
        <f>IF(Single.Stream!$D$128="No",0,V5+V50)</f>
        <v>9.9999999999999995E-7</v>
      </c>
      <c r="W95" s="35">
        <f>IF(Single.Stream!$D$129="No",0,W5+W50)</f>
        <v>0</v>
      </c>
      <c r="X95" s="34">
        <f>IF(Single.Stream!$D$130="No",0,X5+X50)</f>
        <v>0</v>
      </c>
      <c r="Y95" s="34">
        <f>IF(Single.Stream!$D$131="No",0,Y5+Y50)</f>
        <v>0</v>
      </c>
      <c r="Z95" s="34">
        <f>IF(Single.Stream!$D$132="No",0,Z5+Z50)</f>
        <v>9.9999999999999995E-7</v>
      </c>
      <c r="AB95" s="13"/>
    </row>
    <row r="96" spans="1:28" s="9" customFormat="1" x14ac:dyDescent="0.35">
      <c r="A96" s="13" t="str">
        <f t="shared" si="109"/>
        <v>Food Waste - Vegetable</v>
      </c>
      <c r="B96" s="215">
        <f>'Important variables and results'!H5</f>
        <v>9.9999999999999995E-7</v>
      </c>
      <c r="C96" s="34">
        <f>IF(Single.Stream!$D$109="No",0,C6+C51)</f>
        <v>9.9999999999999995E-7</v>
      </c>
      <c r="D96" s="34">
        <f>IF(Single.Stream!$D$110="No",0,D6+D51)</f>
        <v>9.9999999999999995E-7</v>
      </c>
      <c r="E96" s="35">
        <f>IF(Single.Stream!$D$111="No",0,E6+E51)</f>
        <v>0</v>
      </c>
      <c r="F96" s="34">
        <f>IF(Single.Stream!$D$112="No",0,F6+F51)</f>
        <v>9.9999999999999995E-7</v>
      </c>
      <c r="G96" s="34">
        <f>IF(Single.Stream!$D$113="No",0,G6+G51)</f>
        <v>9.9999999999999995E-7</v>
      </c>
      <c r="H96" s="34">
        <f>IF(Single.Stream!$D$114="No",0,H6+H51)</f>
        <v>9.9999999999999995E-7</v>
      </c>
      <c r="I96" s="35">
        <f>IF(Single.Stream!$D$115="No",0,I6+I51)</f>
        <v>0</v>
      </c>
      <c r="J96" s="36">
        <f>IF(Single.Stream!$D$116="No",0,J6+J51)</f>
        <v>0</v>
      </c>
      <c r="K96" s="37">
        <f>IF(Single.Stream!$D$117="No",0,K6+K51)</f>
        <v>0</v>
      </c>
      <c r="L96" s="34">
        <f>IF(Single.Stream!$D$118="No",0,L6+L51)</f>
        <v>9.9999999999999995E-7</v>
      </c>
      <c r="M96" s="36">
        <f>IF(Single.Stream!$D$119="No",0,M6+M51)</f>
        <v>0</v>
      </c>
      <c r="N96" s="34">
        <f>IF(Single.Stream!$D$120="No",0,N6+N51)</f>
        <v>0</v>
      </c>
      <c r="O96" s="37">
        <f>IF(Single.Stream!$D$121="No",0,O6+O51)</f>
        <v>0</v>
      </c>
      <c r="P96" s="34">
        <f>IF(Single.Stream!$D$122="No",0,P6+P51)</f>
        <v>9.9999999999999995E-7</v>
      </c>
      <c r="Q96" s="34">
        <f>IF(Single.Stream!$D$123="No",0,Q6+Q51)</f>
        <v>0</v>
      </c>
      <c r="R96" s="34">
        <f>IF(Single.Stream!$D$124="No",0,R6+R51)</f>
        <v>9.9999999999999995E-7</v>
      </c>
      <c r="S96" s="34">
        <f>IF(Single.Stream!$D$125="No",0,S6+S51)</f>
        <v>0</v>
      </c>
      <c r="T96" s="34">
        <f>IF(Single.Stream!$D$126="No",0,T6+T51)</f>
        <v>9.9999999999999995E-7</v>
      </c>
      <c r="U96" s="34">
        <f>IF(Single.Stream!$D$127="No",0,U6+U51)</f>
        <v>0</v>
      </c>
      <c r="V96" s="34">
        <f>IF(Single.Stream!$D$128="No",0,V6+V51)</f>
        <v>9.9999999999999995E-7</v>
      </c>
      <c r="W96" s="35">
        <f>IF(Single.Stream!$D$129="No",0,W6+W51)</f>
        <v>0</v>
      </c>
      <c r="X96" s="34">
        <f>IF(Single.Stream!$D$130="No",0,X6+X51)</f>
        <v>0</v>
      </c>
      <c r="Y96" s="34">
        <f>IF(Single.Stream!$D$131="No",0,Y6+Y51)</f>
        <v>0</v>
      </c>
      <c r="Z96" s="34">
        <f>IF(Single.Stream!$D$132="No",0,Z6+Z51)</f>
        <v>9.9999999999999995E-7</v>
      </c>
      <c r="AB96" s="13"/>
    </row>
    <row r="97" spans="1:28" s="9" customFormat="1" x14ac:dyDescent="0.35">
      <c r="A97" s="13" t="str">
        <f t="shared" si="109"/>
        <v>Food Waste - Non-Vegetable</v>
      </c>
      <c r="B97" s="215">
        <f>'Important variables and results'!H6</f>
        <v>9.9999999999999995E-7</v>
      </c>
      <c r="C97" s="34">
        <f>IF(Single.Stream!$D$109="No",0,C7+C52)</f>
        <v>9.9999999999999995E-7</v>
      </c>
      <c r="D97" s="34">
        <f>IF(Single.Stream!$D$110="No",0,D7+D52)</f>
        <v>9.9999999999999995E-7</v>
      </c>
      <c r="E97" s="35">
        <f>IF(Single.Stream!$D$111="No",0,E7+E52)</f>
        <v>0</v>
      </c>
      <c r="F97" s="34">
        <f>IF(Single.Stream!$D$112="No",0,F7+F52)</f>
        <v>9.9999999999999995E-7</v>
      </c>
      <c r="G97" s="34">
        <f>IF(Single.Stream!$D$113="No",0,G7+G52)</f>
        <v>9.9999999999999995E-7</v>
      </c>
      <c r="H97" s="34">
        <f>IF(Single.Stream!$D$114="No",0,H7+H52)</f>
        <v>9.9999999999999995E-7</v>
      </c>
      <c r="I97" s="35">
        <f>IF(Single.Stream!$D$115="No",0,I7+I52)</f>
        <v>0</v>
      </c>
      <c r="J97" s="36">
        <f>IF(Single.Stream!$D$116="No",0,J7+J52)</f>
        <v>0</v>
      </c>
      <c r="K97" s="37">
        <f>IF(Single.Stream!$D$117="No",0,K7+K52)</f>
        <v>0</v>
      </c>
      <c r="L97" s="34">
        <f>IF(Single.Stream!$D$118="No",0,L7+L52)</f>
        <v>9.9999999999999995E-7</v>
      </c>
      <c r="M97" s="36">
        <f>IF(Single.Stream!$D$119="No",0,M7+M52)</f>
        <v>0</v>
      </c>
      <c r="N97" s="34">
        <f>IF(Single.Stream!$D$120="No",0,N7+N52)</f>
        <v>0</v>
      </c>
      <c r="O97" s="37">
        <f>IF(Single.Stream!$D$121="No",0,O7+O52)</f>
        <v>0</v>
      </c>
      <c r="P97" s="34">
        <f>IF(Single.Stream!$D$122="No",0,P7+P52)</f>
        <v>9.9999999999999995E-7</v>
      </c>
      <c r="Q97" s="34">
        <f>IF(Single.Stream!$D$123="No",0,Q7+Q52)</f>
        <v>0</v>
      </c>
      <c r="R97" s="34">
        <f>IF(Single.Stream!$D$124="No",0,R7+R52)</f>
        <v>9.9999999999999995E-7</v>
      </c>
      <c r="S97" s="34">
        <f>IF(Single.Stream!$D$125="No",0,S7+S52)</f>
        <v>0</v>
      </c>
      <c r="T97" s="34">
        <f>IF(Single.Stream!$D$126="No",0,T7+T52)</f>
        <v>9.9999999999999995E-7</v>
      </c>
      <c r="U97" s="34">
        <f>IF(Single.Stream!$D$127="No",0,U7+U52)</f>
        <v>0</v>
      </c>
      <c r="V97" s="34">
        <f>IF(Single.Stream!$D$128="No",0,V7+V52)</f>
        <v>9.9999999999999995E-7</v>
      </c>
      <c r="W97" s="35">
        <f>IF(Single.Stream!$D$129="No",0,W7+W52)</f>
        <v>0</v>
      </c>
      <c r="X97" s="34">
        <f>IF(Single.Stream!$D$130="No",0,X7+X52)</f>
        <v>0</v>
      </c>
      <c r="Y97" s="34">
        <f>IF(Single.Stream!$D$131="No",0,Y7+Y52)</f>
        <v>0</v>
      </c>
      <c r="Z97" s="34">
        <f>IF(Single.Stream!$D$132="No",0,Z7+Z52)</f>
        <v>9.9999999999999995E-7</v>
      </c>
      <c r="AB97" s="13"/>
    </row>
    <row r="98" spans="1:28" s="9" customFormat="1" x14ac:dyDescent="0.35">
      <c r="A98" s="13" t="str">
        <f t="shared" si="109"/>
        <v>Wood</v>
      </c>
      <c r="B98" s="215">
        <f>'Important variables and results'!H7</f>
        <v>9.9999999999999995E-7</v>
      </c>
      <c r="C98" s="34">
        <f>IF(Single.Stream!$D$109="No",0,C8+C53)</f>
        <v>9.9999999999999995E-7</v>
      </c>
      <c r="D98" s="34">
        <f>IF(Single.Stream!$D$110="No",0,D8+D53)</f>
        <v>9.9999999999999995E-7</v>
      </c>
      <c r="E98" s="35">
        <f>IF(Single.Stream!$D$111="No",0,E8+E53)</f>
        <v>0</v>
      </c>
      <c r="F98" s="34">
        <f>IF(Single.Stream!$D$112="No",0,F8+F53)</f>
        <v>9.9999999999999995E-7</v>
      </c>
      <c r="G98" s="34">
        <f>IF(Single.Stream!$D$113="No",0,G8+G53)</f>
        <v>9.9999999999999995E-7</v>
      </c>
      <c r="H98" s="34">
        <f>IF(Single.Stream!$D$114="No",0,H8+H53)</f>
        <v>9.9999999999999995E-7</v>
      </c>
      <c r="I98" s="35">
        <f>IF(Single.Stream!$D$115="No",0,I8+I53)</f>
        <v>0</v>
      </c>
      <c r="J98" s="36">
        <f>IF(Single.Stream!$D$116="No",0,J8+J53)</f>
        <v>0</v>
      </c>
      <c r="K98" s="37">
        <f>IF(Single.Stream!$D$117="No",0,K8+K53)</f>
        <v>0</v>
      </c>
      <c r="L98" s="34">
        <f>IF(Single.Stream!$D$118="No",0,L8+L53)</f>
        <v>9.9999999999999995E-7</v>
      </c>
      <c r="M98" s="36">
        <f>IF(Single.Stream!$D$119="No",0,M8+M53)</f>
        <v>0</v>
      </c>
      <c r="N98" s="34">
        <f>IF(Single.Stream!$D$120="No",0,N8+N53)</f>
        <v>0</v>
      </c>
      <c r="O98" s="37">
        <f>IF(Single.Stream!$D$121="No",0,O8+O53)</f>
        <v>0</v>
      </c>
      <c r="P98" s="34">
        <f>IF(Single.Stream!$D$122="No",0,P8+P53)</f>
        <v>9.9999999999999995E-7</v>
      </c>
      <c r="Q98" s="34">
        <f>IF(Single.Stream!$D$123="No",0,Q8+Q53)</f>
        <v>0</v>
      </c>
      <c r="R98" s="34">
        <f>IF(Single.Stream!$D$124="No",0,R8+R53)</f>
        <v>9.9999999999999995E-7</v>
      </c>
      <c r="S98" s="34">
        <f>IF(Single.Stream!$D$125="No",0,S8+S53)</f>
        <v>0</v>
      </c>
      <c r="T98" s="34">
        <f>IF(Single.Stream!$D$126="No",0,T8+T53)</f>
        <v>9.9999999999999995E-7</v>
      </c>
      <c r="U98" s="34">
        <f>IF(Single.Stream!$D$127="No",0,U8+U53)</f>
        <v>0</v>
      </c>
      <c r="V98" s="34">
        <f>IF(Single.Stream!$D$128="No",0,V8+V53)</f>
        <v>9.9999999999999995E-7</v>
      </c>
      <c r="W98" s="35">
        <f>IF(Single.Stream!$D$129="No",0,W8+W53)</f>
        <v>0</v>
      </c>
      <c r="X98" s="34">
        <f>IF(Single.Stream!$D$130="No",0,X8+X53)</f>
        <v>0</v>
      </c>
      <c r="Y98" s="34">
        <f>IF(Single.Stream!$D$131="No",0,Y8+Y53)</f>
        <v>0</v>
      </c>
      <c r="Z98" s="34">
        <f>IF(Single.Stream!$D$132="No",0,Z8+Z53)</f>
        <v>9.9999999999999995E-7</v>
      </c>
      <c r="AB98" s="13"/>
    </row>
    <row r="99" spans="1:28" s="9" customFormat="1" x14ac:dyDescent="0.35">
      <c r="A99" s="13" t="str">
        <f t="shared" si="109"/>
        <v>Wood Other</v>
      </c>
      <c r="B99" s="215">
        <f>'Important variables and results'!H8</f>
        <v>9.9999999999999995E-7</v>
      </c>
      <c r="C99" s="34">
        <f>IF(Single.Stream!$D$109="No",0,C9+C54)</f>
        <v>9.9999999999999995E-7</v>
      </c>
      <c r="D99" s="34">
        <f>IF(Single.Stream!$D$110="No",0,D9+D54)</f>
        <v>9.9999999999999995E-7</v>
      </c>
      <c r="E99" s="35">
        <f>IF(Single.Stream!$D$111="No",0,E9+E54)</f>
        <v>0</v>
      </c>
      <c r="F99" s="34">
        <f>IF(Single.Stream!$D$112="No",0,F9+F54)</f>
        <v>9.9999999999999995E-7</v>
      </c>
      <c r="G99" s="34">
        <f>IF(Single.Stream!$D$113="No",0,G9+G54)</f>
        <v>9.9999999999999995E-7</v>
      </c>
      <c r="H99" s="34">
        <f>IF(Single.Stream!$D$114="No",0,H9+H54)</f>
        <v>9.9999999999999995E-7</v>
      </c>
      <c r="I99" s="35">
        <f>IF(Single.Stream!$D$115="No",0,I9+I54)</f>
        <v>0</v>
      </c>
      <c r="J99" s="36">
        <f>IF(Single.Stream!$D$116="No",0,J9+J54)</f>
        <v>0</v>
      </c>
      <c r="K99" s="37">
        <f>IF(Single.Stream!$D$117="No",0,K9+K54)</f>
        <v>0</v>
      </c>
      <c r="L99" s="34">
        <f>IF(Single.Stream!$D$118="No",0,L9+L54)</f>
        <v>9.9999999999999995E-7</v>
      </c>
      <c r="M99" s="36">
        <f>IF(Single.Stream!$D$119="No",0,M9+M54)</f>
        <v>0</v>
      </c>
      <c r="N99" s="34">
        <f>IF(Single.Stream!$D$120="No",0,N9+N54)</f>
        <v>0</v>
      </c>
      <c r="O99" s="37">
        <f>IF(Single.Stream!$D$121="No",0,O9+O54)</f>
        <v>0</v>
      </c>
      <c r="P99" s="34">
        <f>IF(Single.Stream!$D$122="No",0,P9+P54)</f>
        <v>9.9999999999999995E-7</v>
      </c>
      <c r="Q99" s="34">
        <f>IF(Single.Stream!$D$123="No",0,Q9+Q54)</f>
        <v>0</v>
      </c>
      <c r="R99" s="34">
        <f>IF(Single.Stream!$D$124="No",0,R9+R54)</f>
        <v>9.9999999999999995E-7</v>
      </c>
      <c r="S99" s="34">
        <f>IF(Single.Stream!$D$125="No",0,S9+S54)</f>
        <v>0</v>
      </c>
      <c r="T99" s="34">
        <f>IF(Single.Stream!$D$126="No",0,T9+T54)</f>
        <v>9.9999999999999995E-7</v>
      </c>
      <c r="U99" s="34">
        <f>IF(Single.Stream!$D$127="No",0,U9+U54)</f>
        <v>0</v>
      </c>
      <c r="V99" s="34">
        <f>IF(Single.Stream!$D$128="No",0,V9+V54)</f>
        <v>9.9999999999999995E-7</v>
      </c>
      <c r="W99" s="35">
        <f>IF(Single.Stream!$D$129="No",0,W9+W54)</f>
        <v>0</v>
      </c>
      <c r="X99" s="34">
        <f>IF(Single.Stream!$D$130="No",0,X9+X54)</f>
        <v>0</v>
      </c>
      <c r="Y99" s="34">
        <f>IF(Single.Stream!$D$131="No",0,Y9+Y54)</f>
        <v>0</v>
      </c>
      <c r="Z99" s="34">
        <f>IF(Single.Stream!$D$132="No",0,Z9+Z54)</f>
        <v>9.9999999999999995E-7</v>
      </c>
      <c r="AB99" s="13"/>
    </row>
    <row r="100" spans="1:28" s="9" customFormat="1" x14ac:dyDescent="0.35">
      <c r="A100" s="13" t="str">
        <f t="shared" si="109"/>
        <v>Textiles</v>
      </c>
      <c r="B100" s="215">
        <f>'Important variables and results'!H9</f>
        <v>9.9999999999999995E-7</v>
      </c>
      <c r="C100" s="34">
        <f>IF(Single.Stream!$D$109="No",0,C10+C55)</f>
        <v>9.9999999999999995E-7</v>
      </c>
      <c r="D100" s="34">
        <f>IF(Single.Stream!$D$110="No",0,D10+D55)</f>
        <v>9.9999999999999995E-7</v>
      </c>
      <c r="E100" s="35">
        <f>IF(Single.Stream!$D$111="No",0,E10+E55)</f>
        <v>0</v>
      </c>
      <c r="F100" s="34">
        <f>IF(Single.Stream!$D$112="No",0,F10+F55)</f>
        <v>9.9999999999999995E-7</v>
      </c>
      <c r="G100" s="34">
        <f>IF(Single.Stream!$D$113="No",0,G10+G55)</f>
        <v>9.9999999999999995E-7</v>
      </c>
      <c r="H100" s="34">
        <f>IF(Single.Stream!$D$114="No",0,H10+H55)</f>
        <v>9.9999999999999995E-7</v>
      </c>
      <c r="I100" s="35">
        <f>IF(Single.Stream!$D$115="No",0,I10+I55)</f>
        <v>0</v>
      </c>
      <c r="J100" s="36">
        <f>IF(Single.Stream!$D$116="No",0,J10+J55)</f>
        <v>0</v>
      </c>
      <c r="K100" s="37">
        <f>IF(Single.Stream!$D$117="No",0,K10+K55)</f>
        <v>0</v>
      </c>
      <c r="L100" s="34">
        <f>IF(Single.Stream!$D$118="No",0,L10+L55)</f>
        <v>9.9999999999999995E-7</v>
      </c>
      <c r="M100" s="36">
        <f>IF(Single.Stream!$D$119="No",0,M10+M55)</f>
        <v>0</v>
      </c>
      <c r="N100" s="34">
        <f>IF(Single.Stream!$D$120="No",0,N10+N55)</f>
        <v>0</v>
      </c>
      <c r="O100" s="37">
        <f>IF(Single.Stream!$D$121="No",0,O10+O55)</f>
        <v>0</v>
      </c>
      <c r="P100" s="34">
        <f>IF(Single.Stream!$D$122="No",0,P10+P55)</f>
        <v>9.9999999999999995E-7</v>
      </c>
      <c r="Q100" s="34">
        <f>IF(Single.Stream!$D$123="No",0,Q10+Q55)</f>
        <v>0</v>
      </c>
      <c r="R100" s="34">
        <f>IF(Single.Stream!$D$124="No",0,R10+R55)</f>
        <v>9.9999999999999995E-7</v>
      </c>
      <c r="S100" s="34">
        <f>IF(Single.Stream!$D$125="No",0,S10+S55)</f>
        <v>0</v>
      </c>
      <c r="T100" s="34">
        <f>IF(Single.Stream!$D$126="No",0,T10+T55)</f>
        <v>9.9999999999999995E-7</v>
      </c>
      <c r="U100" s="34">
        <f>IF(Single.Stream!$D$127="No",0,U10+U55)</f>
        <v>0</v>
      </c>
      <c r="V100" s="34">
        <f>IF(Single.Stream!$D$128="No",0,V10+V55)</f>
        <v>9.9999999999999995E-7</v>
      </c>
      <c r="W100" s="35">
        <f>IF(Single.Stream!$D$129="No",0,W10+W55)</f>
        <v>0</v>
      </c>
      <c r="X100" s="34">
        <f>IF(Single.Stream!$D$130="No",0,X10+X55)</f>
        <v>0</v>
      </c>
      <c r="Y100" s="34">
        <f>IF(Single.Stream!$D$131="No",0,Y10+Y55)</f>
        <v>0</v>
      </c>
      <c r="Z100" s="34">
        <f>IF(Single.Stream!$D$132="No",0,Z10+Z55)</f>
        <v>9.9999999999999995E-7</v>
      </c>
      <c r="AB100" s="13"/>
    </row>
    <row r="101" spans="1:28" s="9" customFormat="1" x14ac:dyDescent="0.35">
      <c r="A101" s="13" t="str">
        <f t="shared" si="109"/>
        <v>Rubber/Leather</v>
      </c>
      <c r="B101" s="215">
        <f>'Important variables and results'!H10</f>
        <v>9.9999999999999995E-7</v>
      </c>
      <c r="C101" s="34">
        <f>IF(Single.Stream!$D$109="No",0,C11+C56)</f>
        <v>9.9999999999999995E-7</v>
      </c>
      <c r="D101" s="34">
        <f>IF(Single.Stream!$D$110="No",0,D11+D56)</f>
        <v>9.9999999999999995E-7</v>
      </c>
      <c r="E101" s="35">
        <f>IF(Single.Stream!$D$111="No",0,E11+E56)</f>
        <v>0</v>
      </c>
      <c r="F101" s="34">
        <f>IF(Single.Stream!$D$112="No",0,F11+F56)</f>
        <v>9.9999999999999995E-7</v>
      </c>
      <c r="G101" s="34">
        <f>IF(Single.Stream!$D$113="No",0,G11+G56)</f>
        <v>9.9999999999999995E-7</v>
      </c>
      <c r="H101" s="34">
        <f>IF(Single.Stream!$D$114="No",0,H11+H56)</f>
        <v>9.9999999999999995E-7</v>
      </c>
      <c r="I101" s="35">
        <f>IF(Single.Stream!$D$115="No",0,I11+I56)</f>
        <v>0</v>
      </c>
      <c r="J101" s="36">
        <f>IF(Single.Stream!$D$116="No",0,J11+J56)</f>
        <v>0</v>
      </c>
      <c r="K101" s="37">
        <f>IF(Single.Stream!$D$117="No",0,K11+K56)</f>
        <v>0</v>
      </c>
      <c r="L101" s="34">
        <f>IF(Single.Stream!$D$118="No",0,L11+L56)</f>
        <v>9.9999999999999995E-7</v>
      </c>
      <c r="M101" s="36">
        <f>IF(Single.Stream!$D$119="No",0,M11+M56)</f>
        <v>0</v>
      </c>
      <c r="N101" s="34">
        <f>IF(Single.Stream!$D$120="No",0,N11+N56)</f>
        <v>0</v>
      </c>
      <c r="O101" s="37">
        <f>IF(Single.Stream!$D$121="No",0,O11+O56)</f>
        <v>0</v>
      </c>
      <c r="P101" s="34">
        <f>IF(Single.Stream!$D$122="No",0,P11+P56)</f>
        <v>9.9999999999999995E-7</v>
      </c>
      <c r="Q101" s="34">
        <f>IF(Single.Stream!$D$123="No",0,Q11+Q56)</f>
        <v>0</v>
      </c>
      <c r="R101" s="34">
        <f>IF(Single.Stream!$D$124="No",0,R11+R56)</f>
        <v>9.9999999999999995E-7</v>
      </c>
      <c r="S101" s="34">
        <f>IF(Single.Stream!$D$125="No",0,S11+S56)</f>
        <v>0</v>
      </c>
      <c r="T101" s="34">
        <f>IF(Single.Stream!$D$126="No",0,T11+T56)</f>
        <v>9.9999999999999995E-7</v>
      </c>
      <c r="U101" s="34">
        <f>IF(Single.Stream!$D$127="No",0,U11+U56)</f>
        <v>0</v>
      </c>
      <c r="V101" s="34">
        <f>IF(Single.Stream!$D$128="No",0,V11+V56)</f>
        <v>9.9999999999999995E-7</v>
      </c>
      <c r="W101" s="35">
        <f>IF(Single.Stream!$D$129="No",0,W11+W56)</f>
        <v>0</v>
      </c>
      <c r="X101" s="34">
        <f>IF(Single.Stream!$D$130="No",0,X11+X56)</f>
        <v>0</v>
      </c>
      <c r="Y101" s="34">
        <f>IF(Single.Stream!$D$131="No",0,Y11+Y56)</f>
        <v>0</v>
      </c>
      <c r="Z101" s="34">
        <f>IF(Single.Stream!$D$132="No",0,Z11+Z56)</f>
        <v>9.9999999999999995E-7</v>
      </c>
      <c r="AB101" s="13"/>
    </row>
    <row r="102" spans="1:28" s="9" customFormat="1" x14ac:dyDescent="0.35">
      <c r="A102" s="13" t="str">
        <f t="shared" si="109"/>
        <v>Newsprint</v>
      </c>
      <c r="B102" s="215">
        <f>'Important variables and results'!H11</f>
        <v>13.5</v>
      </c>
      <c r="C102" s="34">
        <f>IF(Single.Stream!$D$109="No",0,C12+C57)</f>
        <v>13.5</v>
      </c>
      <c r="D102" s="34">
        <f>IF(Single.Stream!$D$110="No",0,D12+D57)</f>
        <v>13.5</v>
      </c>
      <c r="E102" s="35">
        <f>IF(Single.Stream!$D$111="No",0,E12+E57)</f>
        <v>0</v>
      </c>
      <c r="F102" s="34">
        <f>IF(Single.Stream!$D$112="No",0,F12+F57)</f>
        <v>13.5</v>
      </c>
      <c r="G102" s="34">
        <f>IF(Single.Stream!$D$113="No",0,G12+G57)</f>
        <v>13.5</v>
      </c>
      <c r="H102" s="34">
        <f>IF(Single.Stream!$D$114="No",0,H12+H57)</f>
        <v>2.0250000000000004</v>
      </c>
      <c r="I102" s="35">
        <f>IF(Single.Stream!$D$115="No",0,I12+I57)</f>
        <v>0</v>
      </c>
      <c r="J102" s="36">
        <f>IF(Single.Stream!$D$116="No",0,J12+J57)</f>
        <v>0</v>
      </c>
      <c r="K102" s="37">
        <f>IF(Single.Stream!$D$117="No",0,K12+K57)</f>
        <v>13.31775</v>
      </c>
      <c r="L102" s="34">
        <f>IF(Single.Stream!$D$118="No",0,L12+L57)</f>
        <v>0.18225000000000002</v>
      </c>
      <c r="M102" s="36">
        <f>IF(Single.Stream!$D$119="No",0,M12+M57)</f>
        <v>0</v>
      </c>
      <c r="N102" s="34">
        <f>IF(Single.Stream!$D$120="No",0,N12+N57)</f>
        <v>0</v>
      </c>
      <c r="O102" s="37">
        <f>IF(Single.Stream!$D$121="No",0,O12+O57)</f>
        <v>0</v>
      </c>
      <c r="P102" s="34">
        <f>IF(Single.Stream!$D$122="No",0,P12+P57)</f>
        <v>0.18225000000000002</v>
      </c>
      <c r="Q102" s="34">
        <f>IF(Single.Stream!$D$123="No",0,Q12+Q57)</f>
        <v>0</v>
      </c>
      <c r="R102" s="34">
        <f>IF(Single.Stream!$D$124="No",0,R12+R57)</f>
        <v>0.18225000000000002</v>
      </c>
      <c r="S102" s="34">
        <f>IF(Single.Stream!$D$125="No",0,S12+S57)</f>
        <v>0</v>
      </c>
      <c r="T102" s="34">
        <f>IF(Single.Stream!$D$126="No",0,T12+T57)</f>
        <v>0.18225000000000002</v>
      </c>
      <c r="U102" s="34">
        <f>IF(Single.Stream!$D$127="No",0,U12+U57)</f>
        <v>0</v>
      </c>
      <c r="V102" s="34">
        <f>IF(Single.Stream!$D$128="No",0,V12+V57)</f>
        <v>0.18225000000000002</v>
      </c>
      <c r="W102" s="35">
        <f>IF(Single.Stream!$D$129="No",0,W12+W57)</f>
        <v>0</v>
      </c>
      <c r="X102" s="34">
        <f>IF(Single.Stream!$D$130="No",0,X12+X57)</f>
        <v>0</v>
      </c>
      <c r="Y102" s="34">
        <f>IF(Single.Stream!$D$131="No",0,Y12+Y57)</f>
        <v>0</v>
      </c>
      <c r="Z102" s="34">
        <f>IF(Single.Stream!$D$132="No",0,Z12+Z57)</f>
        <v>13.5</v>
      </c>
      <c r="AB102" s="13"/>
    </row>
    <row r="103" spans="1:28" s="9" customFormat="1" x14ac:dyDescent="0.35">
      <c r="A103" s="13" t="str">
        <f t="shared" si="109"/>
        <v>Corr. Cardboard</v>
      </c>
      <c r="B103" s="215">
        <f>'Important variables and results'!H12</f>
        <v>39.799999999999997</v>
      </c>
      <c r="C103" s="34">
        <f>IF(Single.Stream!$D$109="No",0,C13+C58)</f>
        <v>39.799999999999997</v>
      </c>
      <c r="D103" s="34">
        <f>IF(Single.Stream!$D$110="No",0,D13+D58)</f>
        <v>39.799999999999997</v>
      </c>
      <c r="E103" s="35">
        <f>IF(Single.Stream!$D$111="No",0,E13+E58)</f>
        <v>0</v>
      </c>
      <c r="F103" s="34">
        <f>IF(Single.Stream!$D$112="No",0,F13+F58)</f>
        <v>39.799999999999997</v>
      </c>
      <c r="G103" s="34">
        <f>IF(Single.Stream!$D$113="No",0,G13+G58)</f>
        <v>11.940000000000001</v>
      </c>
      <c r="H103" s="34">
        <f>IF(Single.Stream!$D$114="No",0,H13+H58)</f>
        <v>1.7910000000000004</v>
      </c>
      <c r="I103" s="35">
        <f>IF(Single.Stream!$D$115="No",0,I13+I58)</f>
        <v>0</v>
      </c>
      <c r="J103" s="36">
        <f>IF(Single.Stream!$D$116="No",0,J13+J58)</f>
        <v>0</v>
      </c>
      <c r="K103" s="37">
        <f>IF(Single.Stream!$D$117="No",0,K13+K58)</f>
        <v>39.638809999999999</v>
      </c>
      <c r="L103" s="34">
        <f>IF(Single.Stream!$D$118="No",0,L13+L58)</f>
        <v>0.16118999999999994</v>
      </c>
      <c r="M103" s="36">
        <f>IF(Single.Stream!$D$119="No",0,M13+M58)</f>
        <v>0</v>
      </c>
      <c r="N103" s="34">
        <f>IF(Single.Stream!$D$120="No",0,N13+N58)</f>
        <v>0</v>
      </c>
      <c r="O103" s="37">
        <f>IF(Single.Stream!$D$121="No",0,O13+O58)</f>
        <v>0</v>
      </c>
      <c r="P103" s="34">
        <f>IF(Single.Stream!$D$122="No",0,P13+P58)</f>
        <v>0.16118999999999994</v>
      </c>
      <c r="Q103" s="34">
        <f>IF(Single.Stream!$D$123="No",0,Q13+Q58)</f>
        <v>0</v>
      </c>
      <c r="R103" s="34">
        <f>IF(Single.Stream!$D$124="No",0,R13+R58)</f>
        <v>0.16118999999999994</v>
      </c>
      <c r="S103" s="34">
        <f>IF(Single.Stream!$D$125="No",0,S13+S58)</f>
        <v>0</v>
      </c>
      <c r="T103" s="34">
        <f>IF(Single.Stream!$D$126="No",0,T13+T58)</f>
        <v>0.16118999999999994</v>
      </c>
      <c r="U103" s="34">
        <f>IF(Single.Stream!$D$127="No",0,U13+U58)</f>
        <v>0</v>
      </c>
      <c r="V103" s="34">
        <f>IF(Single.Stream!$D$128="No",0,V13+V58)</f>
        <v>0.16118999999999994</v>
      </c>
      <c r="W103" s="35">
        <f>IF(Single.Stream!$D$129="No",0,W13+W58)</f>
        <v>0</v>
      </c>
      <c r="X103" s="34">
        <f>IF(Single.Stream!$D$130="No",0,X13+X58)</f>
        <v>0</v>
      </c>
      <c r="Y103" s="34">
        <f>IF(Single.Stream!$D$131="No",0,Y13+Y58)</f>
        <v>0</v>
      </c>
      <c r="Z103" s="34">
        <f>IF(Single.Stream!$D$132="No",0,Z13+Z58)</f>
        <v>39.799999999999997</v>
      </c>
      <c r="AB103" s="13"/>
    </row>
    <row r="104" spans="1:28" s="9" customFormat="1" x14ac:dyDescent="0.35">
      <c r="A104" s="13" t="str">
        <f t="shared" si="109"/>
        <v>Office Paper</v>
      </c>
      <c r="B104" s="215">
        <f>'Important variables and results'!H13</f>
        <v>7.2</v>
      </c>
      <c r="C104" s="34">
        <f>IF(Single.Stream!$D$109="No",0,C14+C59)</f>
        <v>7.2</v>
      </c>
      <c r="D104" s="34">
        <f>IF(Single.Stream!$D$110="No",0,D14+D59)</f>
        <v>7.2</v>
      </c>
      <c r="E104" s="35">
        <f>IF(Single.Stream!$D$111="No",0,E14+E59)</f>
        <v>0</v>
      </c>
      <c r="F104" s="34">
        <f>IF(Single.Stream!$D$112="No",0,F14+F59)</f>
        <v>7.2</v>
      </c>
      <c r="G104" s="34">
        <f>IF(Single.Stream!$D$113="No",0,G14+G59)</f>
        <v>7.2</v>
      </c>
      <c r="H104" s="34">
        <f>IF(Single.Stream!$D$114="No",0,H14+H59)</f>
        <v>1.08</v>
      </c>
      <c r="I104" s="35">
        <f>IF(Single.Stream!$D$115="No",0,I14+I59)</f>
        <v>0</v>
      </c>
      <c r="J104" s="36">
        <f>IF(Single.Stream!$D$116="No",0,J14+J59)</f>
        <v>0</v>
      </c>
      <c r="K104" s="37">
        <f>IF(Single.Stream!$D$117="No",0,K14+K59)</f>
        <v>7.1028000000000002</v>
      </c>
      <c r="L104" s="34">
        <f>IF(Single.Stream!$D$118="No",0,L14+L59)</f>
        <v>9.7199999999999953E-2</v>
      </c>
      <c r="M104" s="36">
        <f>IF(Single.Stream!$D$119="No",0,M14+M59)</f>
        <v>0</v>
      </c>
      <c r="N104" s="34">
        <f>IF(Single.Stream!$D$120="No",0,N14+N59)</f>
        <v>0</v>
      </c>
      <c r="O104" s="37">
        <f>IF(Single.Stream!$D$121="No",0,O14+O59)</f>
        <v>0</v>
      </c>
      <c r="P104" s="34">
        <f>IF(Single.Stream!$D$122="No",0,P14+P59)</f>
        <v>9.7199999999999953E-2</v>
      </c>
      <c r="Q104" s="34">
        <f>IF(Single.Stream!$D$123="No",0,Q14+Q59)</f>
        <v>0</v>
      </c>
      <c r="R104" s="34">
        <f>IF(Single.Stream!$D$124="No",0,R14+R59)</f>
        <v>9.7199999999999953E-2</v>
      </c>
      <c r="S104" s="34">
        <f>IF(Single.Stream!$D$125="No",0,S14+S59)</f>
        <v>0</v>
      </c>
      <c r="T104" s="34">
        <f>IF(Single.Stream!$D$126="No",0,T14+T59)</f>
        <v>9.7199999999999953E-2</v>
      </c>
      <c r="U104" s="34">
        <f>IF(Single.Stream!$D$127="No",0,U14+U59)</f>
        <v>0</v>
      </c>
      <c r="V104" s="34">
        <f>IF(Single.Stream!$D$128="No",0,V14+V59)</f>
        <v>9.7199999999999953E-2</v>
      </c>
      <c r="W104" s="35">
        <f>IF(Single.Stream!$D$129="No",0,W14+W59)</f>
        <v>0</v>
      </c>
      <c r="X104" s="34">
        <f>IF(Single.Stream!$D$130="No",0,X14+X59)</f>
        <v>0</v>
      </c>
      <c r="Y104" s="34">
        <f>IF(Single.Stream!$D$131="No",0,Y14+Y59)</f>
        <v>0</v>
      </c>
      <c r="Z104" s="34">
        <f>IF(Single.Stream!$D$132="No",0,Z14+Z59)</f>
        <v>7.2</v>
      </c>
      <c r="AB104" s="13"/>
    </row>
    <row r="105" spans="1:28" s="9" customFormat="1" x14ac:dyDescent="0.35">
      <c r="A105" s="13" t="str">
        <f t="shared" si="109"/>
        <v xml:space="preserve">Magazines </v>
      </c>
      <c r="B105" s="215">
        <f>'Important variables and results'!H14</f>
        <v>2.2000000000000002</v>
      </c>
      <c r="C105" s="34">
        <f>IF(Single.Stream!$D$109="No",0,C15+C60)</f>
        <v>2.2000000000000002</v>
      </c>
      <c r="D105" s="34">
        <f>IF(Single.Stream!$D$110="No",0,D15+D60)</f>
        <v>2.2000000000000002</v>
      </c>
      <c r="E105" s="35">
        <f>IF(Single.Stream!$D$111="No",0,E15+E60)</f>
        <v>0</v>
      </c>
      <c r="F105" s="34">
        <f>IF(Single.Stream!$D$112="No",0,F15+F60)</f>
        <v>2.2000000000000002</v>
      </c>
      <c r="G105" s="34">
        <f>IF(Single.Stream!$D$113="No",0,G15+G60)</f>
        <v>2.2000000000000002</v>
      </c>
      <c r="H105" s="34">
        <f>IF(Single.Stream!$D$114="No",0,H15+H60)</f>
        <v>0.33000000000000007</v>
      </c>
      <c r="I105" s="35">
        <f>IF(Single.Stream!$D$115="No",0,I15+I60)</f>
        <v>0</v>
      </c>
      <c r="J105" s="36">
        <f>IF(Single.Stream!$D$116="No",0,J15+J60)</f>
        <v>0</v>
      </c>
      <c r="K105" s="37">
        <f>IF(Single.Stream!$D$117="No",0,K15+K60)</f>
        <v>2.1703000000000001</v>
      </c>
      <c r="L105" s="34">
        <f>IF(Single.Stream!$D$118="No",0,L15+L60)</f>
        <v>2.9700000000000004E-2</v>
      </c>
      <c r="M105" s="36">
        <f>IF(Single.Stream!$D$119="No",0,M15+M60)</f>
        <v>0</v>
      </c>
      <c r="N105" s="34">
        <f>IF(Single.Stream!$D$120="No",0,N15+N60)</f>
        <v>0</v>
      </c>
      <c r="O105" s="37">
        <f>IF(Single.Stream!$D$121="No",0,O15+O60)</f>
        <v>0</v>
      </c>
      <c r="P105" s="34">
        <f>IF(Single.Stream!$D$122="No",0,P15+P60)</f>
        <v>2.9700000000000004E-2</v>
      </c>
      <c r="Q105" s="34">
        <f>IF(Single.Stream!$D$123="No",0,Q15+Q60)</f>
        <v>0</v>
      </c>
      <c r="R105" s="34">
        <f>IF(Single.Stream!$D$124="No",0,R15+R60)</f>
        <v>2.9700000000000004E-2</v>
      </c>
      <c r="S105" s="34">
        <f>IF(Single.Stream!$D$125="No",0,S15+S60)</f>
        <v>0</v>
      </c>
      <c r="T105" s="34">
        <f>IF(Single.Stream!$D$126="No",0,T15+T60)</f>
        <v>2.9700000000000004E-2</v>
      </c>
      <c r="U105" s="34">
        <f>IF(Single.Stream!$D$127="No",0,U15+U60)</f>
        <v>0</v>
      </c>
      <c r="V105" s="34">
        <f>IF(Single.Stream!$D$128="No",0,V15+V60)</f>
        <v>2.9700000000000004E-2</v>
      </c>
      <c r="W105" s="35">
        <f>IF(Single.Stream!$D$129="No",0,W15+W60)</f>
        <v>0</v>
      </c>
      <c r="X105" s="34">
        <f>IF(Single.Stream!$D$130="No",0,X15+X60)</f>
        <v>0</v>
      </c>
      <c r="Y105" s="34">
        <f>IF(Single.Stream!$D$131="No",0,Y15+Y60)</f>
        <v>0</v>
      </c>
      <c r="Z105" s="34">
        <f>IF(Single.Stream!$D$132="No",0,Z15+Z60)</f>
        <v>2.2000000000000002</v>
      </c>
      <c r="AB105" s="13"/>
    </row>
    <row r="106" spans="1:28" s="9" customFormat="1" x14ac:dyDescent="0.35">
      <c r="A106" s="13" t="str">
        <f t="shared" si="109"/>
        <v>3rd Class Mail</v>
      </c>
      <c r="B106" s="215">
        <f>'Important variables and results'!H15</f>
        <v>5.9</v>
      </c>
      <c r="C106" s="34">
        <f>IF(Single.Stream!$D$109="No",0,C16+C61)</f>
        <v>5.9</v>
      </c>
      <c r="D106" s="34">
        <f>IF(Single.Stream!$D$110="No",0,D16+D61)</f>
        <v>5.9</v>
      </c>
      <c r="E106" s="35">
        <f>IF(Single.Stream!$D$111="No",0,E16+E61)</f>
        <v>0</v>
      </c>
      <c r="F106" s="34">
        <f>IF(Single.Stream!$D$112="No",0,F16+F61)</f>
        <v>5.9</v>
      </c>
      <c r="G106" s="34">
        <f>IF(Single.Stream!$D$113="No",0,G16+G61)</f>
        <v>5.9</v>
      </c>
      <c r="H106" s="34">
        <f>IF(Single.Stream!$D$114="No",0,H16+H61)</f>
        <v>0.88499999999999979</v>
      </c>
      <c r="I106" s="35">
        <f>IF(Single.Stream!$D$115="No",0,I16+I61)</f>
        <v>0</v>
      </c>
      <c r="J106" s="36">
        <f>IF(Single.Stream!$D$116="No",0,J16+J61)</f>
        <v>0</v>
      </c>
      <c r="K106" s="37">
        <f>IF(Single.Stream!$D$117="No",0,K16+K61)</f>
        <v>5.8203500000000004</v>
      </c>
      <c r="L106" s="34">
        <f>IF(Single.Stream!$D$118="No",0,L16+L61)</f>
        <v>7.9649999999999999E-2</v>
      </c>
      <c r="M106" s="36">
        <f>IF(Single.Stream!$D$119="No",0,M16+M61)</f>
        <v>0</v>
      </c>
      <c r="N106" s="34">
        <f>IF(Single.Stream!$D$120="No",0,N16+N61)</f>
        <v>0</v>
      </c>
      <c r="O106" s="37">
        <f>IF(Single.Stream!$D$121="No",0,O16+O61)</f>
        <v>0</v>
      </c>
      <c r="P106" s="34">
        <f>IF(Single.Stream!$D$122="No",0,P16+P61)</f>
        <v>7.9649999999999999E-2</v>
      </c>
      <c r="Q106" s="34">
        <f>IF(Single.Stream!$D$123="No",0,Q16+Q61)</f>
        <v>0</v>
      </c>
      <c r="R106" s="34">
        <f>IF(Single.Stream!$D$124="No",0,R16+R61)</f>
        <v>7.9649999999999999E-2</v>
      </c>
      <c r="S106" s="34">
        <f>IF(Single.Stream!$D$125="No",0,S16+S61)</f>
        <v>0</v>
      </c>
      <c r="T106" s="34">
        <f>IF(Single.Stream!$D$126="No",0,T16+T61)</f>
        <v>7.9649999999999999E-2</v>
      </c>
      <c r="U106" s="34">
        <f>IF(Single.Stream!$D$127="No",0,U16+U61)</f>
        <v>0</v>
      </c>
      <c r="V106" s="34">
        <f>IF(Single.Stream!$D$128="No",0,V16+V61)</f>
        <v>7.9649999999999999E-2</v>
      </c>
      <c r="W106" s="35">
        <f>IF(Single.Stream!$D$129="No",0,W16+W61)</f>
        <v>0</v>
      </c>
      <c r="X106" s="34">
        <f>IF(Single.Stream!$D$130="No",0,X16+X61)</f>
        <v>0</v>
      </c>
      <c r="Y106" s="34">
        <f>IF(Single.Stream!$D$131="No",0,Y16+Y61)</f>
        <v>0</v>
      </c>
      <c r="Z106" s="34">
        <f>IF(Single.Stream!$D$132="No",0,Z16+Z61)</f>
        <v>5.9</v>
      </c>
      <c r="AB106" s="13"/>
    </row>
    <row r="107" spans="1:28" s="9" customFormat="1" x14ac:dyDescent="0.35">
      <c r="A107" s="13" t="str">
        <f t="shared" si="109"/>
        <v>Folding Containers</v>
      </c>
      <c r="B107" s="215">
        <f>'Important variables and results'!H16</f>
        <v>9.9999999999999995E-7</v>
      </c>
      <c r="C107" s="34">
        <f>IF(Single.Stream!$D$109="No",0,C17+C62)</f>
        <v>9.9999999999999995E-7</v>
      </c>
      <c r="D107" s="34">
        <f>IF(Single.Stream!$D$110="No",0,D17+D62)</f>
        <v>9.9999999999999995E-7</v>
      </c>
      <c r="E107" s="35">
        <f>IF(Single.Stream!$D$111="No",0,E17+E62)</f>
        <v>0</v>
      </c>
      <c r="F107" s="34">
        <f>IF(Single.Stream!$D$112="No",0,F17+F62)</f>
        <v>9.9999999999999995E-7</v>
      </c>
      <c r="G107" s="34">
        <f>IF(Single.Stream!$D$113="No",0,G17+G62)</f>
        <v>9.9999999999999995E-7</v>
      </c>
      <c r="H107" s="34">
        <f>IF(Single.Stream!$D$114="No",0,H17+H62)</f>
        <v>1.5000000000000005E-7</v>
      </c>
      <c r="I107" s="35">
        <f>IF(Single.Stream!$D$115="No",0,I17+I62)</f>
        <v>0</v>
      </c>
      <c r="J107" s="36">
        <f>IF(Single.Stream!$D$116="No",0,J17+J62)</f>
        <v>0</v>
      </c>
      <c r="K107" s="37">
        <f>IF(Single.Stream!$D$117="No",0,K17+K62)</f>
        <v>9.865E-7</v>
      </c>
      <c r="L107" s="34">
        <f>IF(Single.Stream!$D$118="No",0,L17+L62)</f>
        <v>1.3500000000000008E-8</v>
      </c>
      <c r="M107" s="36">
        <f>IF(Single.Stream!$D$119="No",0,M17+M62)</f>
        <v>0</v>
      </c>
      <c r="N107" s="34">
        <f>IF(Single.Stream!$D$120="No",0,N17+N62)</f>
        <v>0</v>
      </c>
      <c r="O107" s="37">
        <f>IF(Single.Stream!$D$121="No",0,O17+O62)</f>
        <v>0</v>
      </c>
      <c r="P107" s="34">
        <f>IF(Single.Stream!$D$122="No",0,P17+P62)</f>
        <v>1.3500000000000008E-8</v>
      </c>
      <c r="Q107" s="34">
        <f>IF(Single.Stream!$D$123="No",0,Q17+Q62)</f>
        <v>0</v>
      </c>
      <c r="R107" s="34">
        <f>IF(Single.Stream!$D$124="No",0,R17+R62)</f>
        <v>1.3500000000000008E-8</v>
      </c>
      <c r="S107" s="34">
        <f>IF(Single.Stream!$D$125="No",0,S17+S62)</f>
        <v>0</v>
      </c>
      <c r="T107" s="34">
        <f>IF(Single.Stream!$D$126="No",0,T17+T62)</f>
        <v>1.3500000000000008E-8</v>
      </c>
      <c r="U107" s="34">
        <f>IF(Single.Stream!$D$127="No",0,U17+U62)</f>
        <v>0</v>
      </c>
      <c r="V107" s="34">
        <f>IF(Single.Stream!$D$128="No",0,V17+V62)</f>
        <v>1.3500000000000008E-8</v>
      </c>
      <c r="W107" s="35">
        <f>IF(Single.Stream!$D$129="No",0,W17+W62)</f>
        <v>0</v>
      </c>
      <c r="X107" s="34">
        <f>IF(Single.Stream!$D$130="No",0,X17+X62)</f>
        <v>0</v>
      </c>
      <c r="Y107" s="34">
        <f>IF(Single.Stream!$D$131="No",0,Y17+Y62)</f>
        <v>0</v>
      </c>
      <c r="Z107" s="34">
        <f>IF(Single.Stream!$D$132="No",0,Z17+Z62)</f>
        <v>9.9999999999999995E-7</v>
      </c>
      <c r="AB107" s="13"/>
    </row>
    <row r="108" spans="1:28" s="9" customFormat="1" x14ac:dyDescent="0.35">
      <c r="A108" s="13" t="str">
        <f t="shared" si="109"/>
        <v xml:space="preserve">Paper Bags </v>
      </c>
      <c r="B108" s="215">
        <f>'Important variables and results'!H17</f>
        <v>9.9999999999999995E-7</v>
      </c>
      <c r="C108" s="34">
        <f>IF(Single.Stream!$D$109="No",0,C18+C63)</f>
        <v>9.9999999999999995E-7</v>
      </c>
      <c r="D108" s="34">
        <f>IF(Single.Stream!$D$110="No",0,D18+D63)</f>
        <v>9.9999999999999995E-7</v>
      </c>
      <c r="E108" s="35">
        <f>IF(Single.Stream!$D$111="No",0,E18+E63)</f>
        <v>0</v>
      </c>
      <c r="F108" s="34">
        <f>IF(Single.Stream!$D$112="No",0,F18+F63)</f>
        <v>9.9999999999999995E-7</v>
      </c>
      <c r="G108" s="34">
        <f>IF(Single.Stream!$D$113="No",0,G18+G63)</f>
        <v>9.9999999999999995E-7</v>
      </c>
      <c r="H108" s="34">
        <f>IF(Single.Stream!$D$114="No",0,H18+H63)</f>
        <v>1.5000000000000005E-7</v>
      </c>
      <c r="I108" s="35">
        <f>IF(Single.Stream!$D$115="No",0,I18+I63)</f>
        <v>0</v>
      </c>
      <c r="J108" s="36">
        <f>IF(Single.Stream!$D$116="No",0,J18+J63)</f>
        <v>0</v>
      </c>
      <c r="K108" s="37">
        <f>IF(Single.Stream!$D$117="No",0,K18+K63)</f>
        <v>9.865E-7</v>
      </c>
      <c r="L108" s="34">
        <f>IF(Single.Stream!$D$118="No",0,L18+L63)</f>
        <v>1.3500000000000008E-8</v>
      </c>
      <c r="M108" s="36">
        <f>IF(Single.Stream!$D$119="No",0,M18+M63)</f>
        <v>0</v>
      </c>
      <c r="N108" s="34">
        <f>IF(Single.Stream!$D$120="No",0,N18+N63)</f>
        <v>0</v>
      </c>
      <c r="O108" s="37">
        <f>IF(Single.Stream!$D$121="No",0,O18+O63)</f>
        <v>0</v>
      </c>
      <c r="P108" s="34">
        <f>IF(Single.Stream!$D$122="No",0,P18+P63)</f>
        <v>1.3500000000000008E-8</v>
      </c>
      <c r="Q108" s="34">
        <f>IF(Single.Stream!$D$123="No",0,Q18+Q63)</f>
        <v>0</v>
      </c>
      <c r="R108" s="34">
        <f>IF(Single.Stream!$D$124="No",0,R18+R63)</f>
        <v>1.3500000000000008E-8</v>
      </c>
      <c r="S108" s="34">
        <f>IF(Single.Stream!$D$125="No",0,S18+S63)</f>
        <v>0</v>
      </c>
      <c r="T108" s="34">
        <f>IF(Single.Stream!$D$126="No",0,T18+T63)</f>
        <v>1.3500000000000008E-8</v>
      </c>
      <c r="U108" s="34">
        <f>IF(Single.Stream!$D$127="No",0,U18+U63)</f>
        <v>0</v>
      </c>
      <c r="V108" s="34">
        <f>IF(Single.Stream!$D$128="No",0,V18+V63)</f>
        <v>1.3500000000000008E-8</v>
      </c>
      <c r="W108" s="35">
        <f>IF(Single.Stream!$D$129="No",0,W18+W63)</f>
        <v>0</v>
      </c>
      <c r="X108" s="34">
        <f>IF(Single.Stream!$D$130="No",0,X18+X63)</f>
        <v>0</v>
      </c>
      <c r="Y108" s="34">
        <f>IF(Single.Stream!$D$131="No",0,Y18+Y63)</f>
        <v>0</v>
      </c>
      <c r="Z108" s="34">
        <f>IF(Single.Stream!$D$132="No",0,Z18+Z63)</f>
        <v>9.9999999999999995E-7</v>
      </c>
      <c r="AB108" s="13"/>
    </row>
    <row r="109" spans="1:28" s="9" customFormat="1" x14ac:dyDescent="0.35">
      <c r="A109" s="13" t="str">
        <f t="shared" si="109"/>
        <v>Mixed Paper</v>
      </c>
      <c r="B109" s="215">
        <f>'Important variables and results'!H18</f>
        <v>9.9999999999999995E-7</v>
      </c>
      <c r="C109" s="34">
        <f>IF(Single.Stream!$D$109="No",0,C19+C64)</f>
        <v>9.9999999999999995E-7</v>
      </c>
      <c r="D109" s="34">
        <f>IF(Single.Stream!$D$110="No",0,D19+D64)</f>
        <v>9.9999999999999995E-7</v>
      </c>
      <c r="E109" s="35">
        <f>IF(Single.Stream!$D$111="No",0,E19+E64)</f>
        <v>0</v>
      </c>
      <c r="F109" s="34">
        <f>IF(Single.Stream!$D$112="No",0,F19+F64)</f>
        <v>9.9999999999999995E-7</v>
      </c>
      <c r="G109" s="34">
        <f>IF(Single.Stream!$D$113="No",0,G19+G64)</f>
        <v>9.9999999999999995E-7</v>
      </c>
      <c r="H109" s="34">
        <f>IF(Single.Stream!$D$114="No",0,H19+H64)</f>
        <v>1.5000000000000005E-7</v>
      </c>
      <c r="I109" s="35">
        <f>IF(Single.Stream!$D$115="No",0,I19+I64)</f>
        <v>0</v>
      </c>
      <c r="J109" s="36">
        <f>IF(Single.Stream!$D$116="No",0,J19+J64)</f>
        <v>0</v>
      </c>
      <c r="K109" s="37">
        <f>IF(Single.Stream!$D$117="No",0,K19+K64)</f>
        <v>9.865E-7</v>
      </c>
      <c r="L109" s="34">
        <f>IF(Single.Stream!$D$118="No",0,L19+L64)</f>
        <v>1.3500000000000008E-8</v>
      </c>
      <c r="M109" s="36">
        <f>IF(Single.Stream!$D$119="No",0,M19+M64)</f>
        <v>0</v>
      </c>
      <c r="N109" s="34">
        <f>IF(Single.Stream!$D$120="No",0,N19+N64)</f>
        <v>0</v>
      </c>
      <c r="O109" s="37">
        <f>IF(Single.Stream!$D$121="No",0,O19+O64)</f>
        <v>0</v>
      </c>
      <c r="P109" s="34">
        <f>IF(Single.Stream!$D$122="No",0,P19+P64)</f>
        <v>1.3500000000000008E-8</v>
      </c>
      <c r="Q109" s="34">
        <f>IF(Single.Stream!$D$123="No",0,Q19+Q64)</f>
        <v>0</v>
      </c>
      <c r="R109" s="34">
        <f>IF(Single.Stream!$D$124="No",0,R19+R64)</f>
        <v>1.3500000000000008E-8</v>
      </c>
      <c r="S109" s="34">
        <f>IF(Single.Stream!$D$125="No",0,S19+S64)</f>
        <v>0</v>
      </c>
      <c r="T109" s="34">
        <f>IF(Single.Stream!$D$126="No",0,T19+T64)</f>
        <v>1.3500000000000008E-8</v>
      </c>
      <c r="U109" s="34">
        <f>IF(Single.Stream!$D$127="No",0,U19+U64)</f>
        <v>0</v>
      </c>
      <c r="V109" s="34">
        <f>IF(Single.Stream!$D$128="No",0,V19+V64)</f>
        <v>1.3500000000000008E-8</v>
      </c>
      <c r="W109" s="35">
        <f>IF(Single.Stream!$D$129="No",0,W19+W64)</f>
        <v>0</v>
      </c>
      <c r="X109" s="34">
        <f>IF(Single.Stream!$D$130="No",0,X19+X64)</f>
        <v>0</v>
      </c>
      <c r="Y109" s="34">
        <f>IF(Single.Stream!$D$131="No",0,Y19+Y64)</f>
        <v>0</v>
      </c>
      <c r="Z109" s="34">
        <f>IF(Single.Stream!$D$132="No",0,Z19+Z64)</f>
        <v>9.9999999999999995E-7</v>
      </c>
      <c r="AB109" s="13"/>
    </row>
    <row r="110" spans="1:28" s="9" customFormat="1" x14ac:dyDescent="0.35">
      <c r="A110" s="13" t="str">
        <f t="shared" si="109"/>
        <v>Paper - Non-recyclable</v>
      </c>
      <c r="B110" s="215">
        <f>'Important variables and results'!H19</f>
        <v>9.9999999999999995E-7</v>
      </c>
      <c r="C110" s="34">
        <f>IF(Single.Stream!$D$109="No",0,C20+C65)</f>
        <v>9.9999999999999995E-7</v>
      </c>
      <c r="D110" s="34">
        <f>IF(Single.Stream!$D$110="No",0,D20+D65)</f>
        <v>9.9999999999999995E-7</v>
      </c>
      <c r="E110" s="35">
        <f>IF(Single.Stream!$D$111="No",0,E20+E65)</f>
        <v>0</v>
      </c>
      <c r="F110" s="34">
        <f>IF(Single.Stream!$D$112="No",0,F20+F65)</f>
        <v>9.9999999999999995E-7</v>
      </c>
      <c r="G110" s="34">
        <f>IF(Single.Stream!$D$113="No",0,G20+G65)</f>
        <v>9.9999999999999995E-7</v>
      </c>
      <c r="H110" s="34">
        <f>IF(Single.Stream!$D$114="No",0,H20+H65)</f>
        <v>9.9999999999999995E-7</v>
      </c>
      <c r="I110" s="35">
        <f>IF(Single.Stream!$D$115="No",0,I20+I65)</f>
        <v>0</v>
      </c>
      <c r="J110" s="36">
        <f>IF(Single.Stream!$D$116="No",0,J20+J65)</f>
        <v>0</v>
      </c>
      <c r="K110" s="37">
        <f>IF(Single.Stream!$D$117="No",0,K20+K65)</f>
        <v>0</v>
      </c>
      <c r="L110" s="34">
        <f>IF(Single.Stream!$D$118="No",0,L20+L65)</f>
        <v>9.9999999999999995E-7</v>
      </c>
      <c r="M110" s="36">
        <f>IF(Single.Stream!$D$119="No",0,M20+M65)</f>
        <v>0</v>
      </c>
      <c r="N110" s="34">
        <f>IF(Single.Stream!$D$120="No",0,N20+N65)</f>
        <v>0</v>
      </c>
      <c r="O110" s="37">
        <f>IF(Single.Stream!$D$121="No",0,O20+O65)</f>
        <v>0</v>
      </c>
      <c r="P110" s="34">
        <f>IF(Single.Stream!$D$122="No",0,P20+P65)</f>
        <v>9.9999999999999995E-7</v>
      </c>
      <c r="Q110" s="34">
        <f>IF(Single.Stream!$D$123="No",0,Q20+Q65)</f>
        <v>0</v>
      </c>
      <c r="R110" s="34">
        <f>IF(Single.Stream!$D$124="No",0,R20+R65)</f>
        <v>9.9999999999999995E-7</v>
      </c>
      <c r="S110" s="34">
        <f>IF(Single.Stream!$D$125="No",0,S20+S65)</f>
        <v>0</v>
      </c>
      <c r="T110" s="34">
        <f>IF(Single.Stream!$D$126="No",0,T20+T65)</f>
        <v>9.9999999999999995E-7</v>
      </c>
      <c r="U110" s="34">
        <f>IF(Single.Stream!$D$127="No",0,U20+U65)</f>
        <v>0</v>
      </c>
      <c r="V110" s="34">
        <f>IF(Single.Stream!$D$128="No",0,V20+V65)</f>
        <v>9.9999999999999995E-7</v>
      </c>
      <c r="W110" s="35">
        <f>IF(Single.Stream!$D$129="No",0,W20+W65)</f>
        <v>0</v>
      </c>
      <c r="X110" s="34">
        <f>IF(Single.Stream!$D$130="No",0,X20+X65)</f>
        <v>0</v>
      </c>
      <c r="Y110" s="34">
        <f>IF(Single.Stream!$D$131="No",0,Y20+Y65)</f>
        <v>0</v>
      </c>
      <c r="Z110" s="34">
        <f>IF(Single.Stream!$D$132="No",0,Z20+Z65)</f>
        <v>9.9999999999999995E-7</v>
      </c>
      <c r="AB110" s="13"/>
    </row>
    <row r="111" spans="1:28" s="9" customFormat="1" x14ac:dyDescent="0.35">
      <c r="A111" s="13" t="str">
        <f t="shared" si="109"/>
        <v>HDPE - Translucent Containers</v>
      </c>
      <c r="B111" s="215">
        <f>'Important variables and results'!H20</f>
        <v>1.1000000000000001</v>
      </c>
      <c r="C111" s="34">
        <f>IF(Single.Stream!$D$109="No",0,C21+C66)</f>
        <v>1.1000000000000001</v>
      </c>
      <c r="D111" s="34">
        <f>IF(Single.Stream!$D$110="No",0,D21+D66)</f>
        <v>1.1000000000000001</v>
      </c>
      <c r="E111" s="35">
        <f>IF(Single.Stream!$D$111="No",0,E21+E66)</f>
        <v>0</v>
      </c>
      <c r="F111" s="34">
        <f>IF(Single.Stream!$D$112="No",0,F21+F66)</f>
        <v>1.1000000000000001</v>
      </c>
      <c r="G111" s="34">
        <f>IF(Single.Stream!$D$113="No",0,G21+G66)</f>
        <v>1.1000000000000001</v>
      </c>
      <c r="H111" s="34">
        <f>IF(Single.Stream!$D$114="No",0,H21+H66)</f>
        <v>1.1000000000000001</v>
      </c>
      <c r="I111" s="35">
        <f>IF(Single.Stream!$D$115="No",0,I21+I66)</f>
        <v>0</v>
      </c>
      <c r="J111" s="36">
        <f>IF(Single.Stream!$D$116="No",0,J21+J66)</f>
        <v>0</v>
      </c>
      <c r="K111" s="37">
        <f>IF(Single.Stream!$D$117="No",0,K21+K66)</f>
        <v>0</v>
      </c>
      <c r="L111" s="34">
        <f>IF(Single.Stream!$D$118="No",0,L21+L66)</f>
        <v>1.1000000000000001</v>
      </c>
      <c r="M111" s="36">
        <f>IF(Single.Stream!$D$119="No",0,M21+M66)</f>
        <v>5.5000000000000007E-2</v>
      </c>
      <c r="N111" s="34">
        <f>IF(Single.Stream!$D$120="No",0,N21+N66)</f>
        <v>0</v>
      </c>
      <c r="O111" s="37">
        <f>IF(Single.Stream!$D$121="No",0,O21+O66)</f>
        <v>0</v>
      </c>
      <c r="P111" s="34">
        <f>IF(Single.Stream!$D$122="No",0,P21+P66)</f>
        <v>1.0983500000000002</v>
      </c>
      <c r="Q111" s="34">
        <f>IF(Single.Stream!$D$123="No",0,Q21+Q66)</f>
        <v>0</v>
      </c>
      <c r="R111" s="34">
        <f>IF(Single.Stream!$D$124="No",0,R21+R66)</f>
        <v>1.0983500000000002</v>
      </c>
      <c r="S111" s="34">
        <f>IF(Single.Stream!$D$125="No",0,S21+S66)</f>
        <v>0</v>
      </c>
      <c r="T111" s="34">
        <f>IF(Single.Stream!$D$126="No",0,T21+T66)</f>
        <v>2.196700000000007E-2</v>
      </c>
      <c r="U111" s="34">
        <f>IF(Single.Stream!$D$127="No",0,U21+U66)</f>
        <v>0</v>
      </c>
      <c r="V111" s="34">
        <f>IF(Single.Stream!$D$128="No",0,V21+V66)</f>
        <v>2.196700000000007E-2</v>
      </c>
      <c r="W111" s="35">
        <f>IF(Single.Stream!$D$129="No",0,W21+W66)</f>
        <v>0</v>
      </c>
      <c r="X111" s="34">
        <f>IF(Single.Stream!$D$130="No",0,X21+X66)</f>
        <v>0</v>
      </c>
      <c r="Y111" s="34">
        <f>IF(Single.Stream!$D$131="No",0,Y21+Y66)</f>
        <v>1.0763830000000001</v>
      </c>
      <c r="Z111" s="34">
        <f>IF(Single.Stream!$D$132="No",0,Z21+Z66)</f>
        <v>1.1000000000000001</v>
      </c>
      <c r="AB111" s="13"/>
    </row>
    <row r="112" spans="1:28" s="9" customFormat="1" x14ac:dyDescent="0.35">
      <c r="A112" s="13" t="str">
        <f t="shared" si="109"/>
        <v>HDPE - Pigmented Containers</v>
      </c>
      <c r="B112" s="215">
        <f>'Important variables and results'!H21</f>
        <v>2</v>
      </c>
      <c r="C112" s="34">
        <f>IF(Single.Stream!$D$109="No",0,C22+C67)</f>
        <v>2</v>
      </c>
      <c r="D112" s="34">
        <f>IF(Single.Stream!$D$110="No",0,D22+D67)</f>
        <v>2</v>
      </c>
      <c r="E112" s="35">
        <f>IF(Single.Stream!$D$111="No",0,E22+E67)</f>
        <v>0</v>
      </c>
      <c r="F112" s="34">
        <f>IF(Single.Stream!$D$112="No",0,F22+F67)</f>
        <v>2</v>
      </c>
      <c r="G112" s="34">
        <f>IF(Single.Stream!$D$113="No",0,G22+G67)</f>
        <v>2</v>
      </c>
      <c r="H112" s="34">
        <f>IF(Single.Stream!$D$114="No",0,H22+H67)</f>
        <v>2</v>
      </c>
      <c r="I112" s="35">
        <f>IF(Single.Stream!$D$115="No",0,I22+I67)</f>
        <v>0</v>
      </c>
      <c r="J112" s="36">
        <f>IF(Single.Stream!$D$116="No",0,J22+J67)</f>
        <v>0</v>
      </c>
      <c r="K112" s="37">
        <f>IF(Single.Stream!$D$117="No",0,K22+K67)</f>
        <v>0</v>
      </c>
      <c r="L112" s="34">
        <f>IF(Single.Stream!$D$118="No",0,L22+L67)</f>
        <v>2</v>
      </c>
      <c r="M112" s="36">
        <f>IF(Single.Stream!$D$119="No",0,M22+M67)</f>
        <v>0.1</v>
      </c>
      <c r="N112" s="34">
        <f>IF(Single.Stream!$D$120="No",0,N22+N67)</f>
        <v>0</v>
      </c>
      <c r="O112" s="37">
        <f>IF(Single.Stream!$D$121="No",0,O22+O67)</f>
        <v>0</v>
      </c>
      <c r="P112" s="34">
        <f>IF(Single.Stream!$D$122="No",0,P22+P67)</f>
        <v>1.9969999999999999</v>
      </c>
      <c r="Q112" s="34">
        <f>IF(Single.Stream!$D$123="No",0,Q22+Q67)</f>
        <v>0</v>
      </c>
      <c r="R112" s="34">
        <f>IF(Single.Stream!$D$124="No",0,R22+R67)</f>
        <v>1.9969999999999999</v>
      </c>
      <c r="S112" s="34">
        <f>IF(Single.Stream!$D$125="No",0,S22+S67)</f>
        <v>0</v>
      </c>
      <c r="T112" s="34">
        <f>IF(Single.Stream!$D$126="No",0,T22+T67)</f>
        <v>3.9940000000000087E-2</v>
      </c>
      <c r="U112" s="34">
        <f>IF(Single.Stream!$D$127="No",0,U22+U67)</f>
        <v>0</v>
      </c>
      <c r="V112" s="34">
        <f>IF(Single.Stream!$D$128="No",0,V22+V67)</f>
        <v>3.9940000000000087E-2</v>
      </c>
      <c r="W112" s="35">
        <f>IF(Single.Stream!$D$129="No",0,W22+W67)</f>
        <v>0</v>
      </c>
      <c r="X112" s="34">
        <f>IF(Single.Stream!$D$130="No",0,X22+X67)</f>
        <v>0</v>
      </c>
      <c r="Y112" s="34">
        <f>IF(Single.Stream!$D$131="No",0,Y22+Y67)</f>
        <v>1.9570599999999998</v>
      </c>
      <c r="Z112" s="34">
        <f>IF(Single.Stream!$D$132="No",0,Z22+Z67)</f>
        <v>2</v>
      </c>
      <c r="AB112" s="13"/>
    </row>
    <row r="113" spans="1:28" s="9" customFormat="1" x14ac:dyDescent="0.35">
      <c r="A113" s="13" t="str">
        <f t="shared" si="109"/>
        <v>PET - Containers</v>
      </c>
      <c r="B113" s="215">
        <f>'Important variables and results'!H22</f>
        <v>3.7</v>
      </c>
      <c r="C113" s="34">
        <f>IF(Single.Stream!$D$109="No",0,C23+C68)</f>
        <v>3.7</v>
      </c>
      <c r="D113" s="34">
        <f>IF(Single.Stream!$D$110="No",0,D23+D68)</f>
        <v>3.7</v>
      </c>
      <c r="E113" s="35">
        <f>IF(Single.Stream!$D$111="No",0,E23+E68)</f>
        <v>0</v>
      </c>
      <c r="F113" s="34">
        <f>IF(Single.Stream!$D$112="No",0,F23+F68)</f>
        <v>3.7</v>
      </c>
      <c r="G113" s="34">
        <f>IF(Single.Stream!$D$113="No",0,G23+G68)</f>
        <v>3.7</v>
      </c>
      <c r="H113" s="34">
        <f>IF(Single.Stream!$D$114="No",0,H23+H68)</f>
        <v>3.7</v>
      </c>
      <c r="I113" s="35">
        <f>IF(Single.Stream!$D$115="No",0,I23+I68)</f>
        <v>0</v>
      </c>
      <c r="J113" s="36">
        <f>IF(Single.Stream!$D$116="No",0,J23+J68)</f>
        <v>0</v>
      </c>
      <c r="K113" s="37">
        <f>IF(Single.Stream!$D$117="No",0,K23+K68)</f>
        <v>0</v>
      </c>
      <c r="L113" s="34">
        <f>IF(Single.Stream!$D$118="No",0,L23+L68)</f>
        <v>3.7</v>
      </c>
      <c r="M113" s="36">
        <f>IF(Single.Stream!$D$119="No",0,M23+M68)</f>
        <v>0.18500000000000003</v>
      </c>
      <c r="N113" s="34">
        <f>IF(Single.Stream!$D$120="No",0,N23+N68)</f>
        <v>0</v>
      </c>
      <c r="O113" s="37">
        <f>IF(Single.Stream!$D$121="No",0,O23+O68)</f>
        <v>0</v>
      </c>
      <c r="P113" s="34">
        <f>IF(Single.Stream!$D$122="No",0,P23+P68)</f>
        <v>3.6944500000000002</v>
      </c>
      <c r="Q113" s="34">
        <f>IF(Single.Stream!$D$123="No",0,Q23+Q68)</f>
        <v>0</v>
      </c>
      <c r="R113" s="34">
        <f>IF(Single.Stream!$D$124="No",0,R23+R68)</f>
        <v>7.3888999999999871E-2</v>
      </c>
      <c r="S113" s="34">
        <f>IF(Single.Stream!$D$125="No",0,S23+S68)</f>
        <v>0</v>
      </c>
      <c r="T113" s="34">
        <f>IF(Single.Stream!$D$126="No",0,T23+T68)</f>
        <v>7.3888999999999871E-2</v>
      </c>
      <c r="U113" s="34">
        <f>IF(Single.Stream!$D$127="No",0,U23+U68)</f>
        <v>0</v>
      </c>
      <c r="V113" s="34">
        <f>IF(Single.Stream!$D$128="No",0,V23+V68)</f>
        <v>7.3888999999999871E-2</v>
      </c>
      <c r="W113" s="35">
        <f>IF(Single.Stream!$D$129="No",0,W23+W68)</f>
        <v>0</v>
      </c>
      <c r="X113" s="34">
        <f>IF(Single.Stream!$D$130="No",0,X23+X68)</f>
        <v>0</v>
      </c>
      <c r="Y113" s="34">
        <f>IF(Single.Stream!$D$131="No",0,Y23+Y68)</f>
        <v>3.6205610000000004</v>
      </c>
      <c r="Z113" s="34">
        <f>IF(Single.Stream!$D$132="No",0,Z23+Z68)</f>
        <v>3.7</v>
      </c>
      <c r="AB113" s="13"/>
    </row>
    <row r="114" spans="1:28" s="9" customFormat="1" x14ac:dyDescent="0.35">
      <c r="A114" s="13" t="str">
        <f t="shared" si="109"/>
        <v>Plastic - Other # 1, Polypropylene</v>
      </c>
      <c r="B114" s="215">
        <f>'Important variables and results'!H23</f>
        <v>9.9999999999999995E-7</v>
      </c>
      <c r="C114" s="34">
        <f>IF(Single.Stream!$D$109="No",0,C24+C69)</f>
        <v>9.9999999999999995E-7</v>
      </c>
      <c r="D114" s="34">
        <f>IF(Single.Stream!$D$110="No",0,D24+D69)</f>
        <v>9.9999999999999995E-7</v>
      </c>
      <c r="E114" s="35">
        <f>IF(Single.Stream!$D$111="No",0,E24+E69)</f>
        <v>0</v>
      </c>
      <c r="F114" s="34">
        <f>IF(Single.Stream!$D$112="No",0,F24+F69)</f>
        <v>9.9999999999999995E-7</v>
      </c>
      <c r="G114" s="34">
        <f>IF(Single.Stream!$D$113="No",0,G24+G69)</f>
        <v>9.9999999999999995E-7</v>
      </c>
      <c r="H114" s="34">
        <f>IF(Single.Stream!$D$114="No",0,H24+H69)</f>
        <v>9.9999999999999995E-7</v>
      </c>
      <c r="I114" s="35">
        <f>IF(Single.Stream!$D$115="No",0,I24+I69)</f>
        <v>0</v>
      </c>
      <c r="J114" s="36">
        <f>IF(Single.Stream!$D$116="No",0,J24+J69)</f>
        <v>0</v>
      </c>
      <c r="K114" s="37">
        <f>IF(Single.Stream!$D$117="No",0,K24+K69)</f>
        <v>0</v>
      </c>
      <c r="L114" s="34">
        <f>IF(Single.Stream!$D$118="No",0,L24+L69)</f>
        <v>9.9999999999999995E-7</v>
      </c>
      <c r="M114" s="36">
        <f>IF(Single.Stream!$D$119="No",0,M24+M69)</f>
        <v>4.9999999999999998E-8</v>
      </c>
      <c r="N114" s="34">
        <f>IF(Single.Stream!$D$120="No",0,N24+N69)</f>
        <v>0</v>
      </c>
      <c r="O114" s="37">
        <f>IF(Single.Stream!$D$121="No",0,O24+O69)</f>
        <v>0</v>
      </c>
      <c r="P114" s="34">
        <f>IF(Single.Stream!$D$122="No",0,P24+P69)</f>
        <v>9.9850000000000005E-7</v>
      </c>
      <c r="Q114" s="34">
        <f>IF(Single.Stream!$D$123="No",0,Q24+Q69)</f>
        <v>0</v>
      </c>
      <c r="R114" s="34">
        <f>IF(Single.Stream!$D$124="No",0,R24+R69)</f>
        <v>9.9850000000000005E-7</v>
      </c>
      <c r="S114" s="34">
        <f>IF(Single.Stream!$D$125="No",0,S24+S69)</f>
        <v>0</v>
      </c>
      <c r="T114" s="34">
        <f>IF(Single.Stream!$D$126="No",0,T24+T69)</f>
        <v>9.9850000000000005E-7</v>
      </c>
      <c r="U114" s="34">
        <f>IF(Single.Stream!$D$127="No",0,U24+U69)</f>
        <v>0</v>
      </c>
      <c r="V114" s="34">
        <f>IF(Single.Stream!$D$128="No",0,V24+V69)</f>
        <v>9.9850000000000005E-7</v>
      </c>
      <c r="W114" s="35">
        <f>IF(Single.Stream!$D$129="No",0,W24+W69)</f>
        <v>0</v>
      </c>
      <c r="X114" s="34">
        <f>IF(Single.Stream!$D$130="No",0,X24+X69)</f>
        <v>0</v>
      </c>
      <c r="Y114" s="34">
        <f>IF(Single.Stream!$D$131="No",0,Y24+Y69)</f>
        <v>0</v>
      </c>
      <c r="Z114" s="34">
        <f>IF(Single.Stream!$D$132="No",0,Z24+Z69)</f>
        <v>9.9999999999999995E-7</v>
      </c>
      <c r="AB114" s="13"/>
    </row>
    <row r="115" spans="1:28" s="9" customFormat="1" x14ac:dyDescent="0.35">
      <c r="A115" s="13" t="str">
        <f t="shared" si="109"/>
        <v>Plastic - Other # 2</v>
      </c>
      <c r="B115" s="215">
        <f>'Important variables and results'!H24</f>
        <v>9.9999999999999995E-7</v>
      </c>
      <c r="C115" s="34">
        <f>IF(Single.Stream!$D$109="No",0,C25+C70)</f>
        <v>9.9999999999999995E-7</v>
      </c>
      <c r="D115" s="34">
        <f>IF(Single.Stream!$D$110="No",0,D25+D70)</f>
        <v>9.9999999999999995E-7</v>
      </c>
      <c r="E115" s="35">
        <f>IF(Single.Stream!$D$111="No",0,E25+E70)</f>
        <v>0</v>
      </c>
      <c r="F115" s="34">
        <f>IF(Single.Stream!$D$112="No",0,F25+F70)</f>
        <v>9.9999999999999995E-7</v>
      </c>
      <c r="G115" s="34">
        <f>IF(Single.Stream!$D$113="No",0,G25+G70)</f>
        <v>9.9999999999999995E-7</v>
      </c>
      <c r="H115" s="34">
        <f>IF(Single.Stream!$D$114="No",0,H25+H70)</f>
        <v>9.9999999999999995E-7</v>
      </c>
      <c r="I115" s="35">
        <f>IF(Single.Stream!$D$115="No",0,I25+I70)</f>
        <v>0</v>
      </c>
      <c r="J115" s="36">
        <f>IF(Single.Stream!$D$116="No",0,J25+J70)</f>
        <v>0</v>
      </c>
      <c r="K115" s="37">
        <f>IF(Single.Stream!$D$117="No",0,K25+K70)</f>
        <v>0</v>
      </c>
      <c r="L115" s="34">
        <f>IF(Single.Stream!$D$118="No",0,L25+L70)</f>
        <v>9.9999999999999995E-7</v>
      </c>
      <c r="M115" s="36">
        <f>IF(Single.Stream!$D$119="No",0,M25+M70)</f>
        <v>4.9999999999999998E-8</v>
      </c>
      <c r="N115" s="34">
        <f>IF(Single.Stream!$D$120="No",0,N25+N70)</f>
        <v>0</v>
      </c>
      <c r="O115" s="37">
        <f>IF(Single.Stream!$D$121="No",0,O25+O70)</f>
        <v>0</v>
      </c>
      <c r="P115" s="34">
        <f>IF(Single.Stream!$D$122="No",0,P25+P70)</f>
        <v>9.9850000000000005E-7</v>
      </c>
      <c r="Q115" s="34">
        <f>IF(Single.Stream!$D$123="No",0,Q25+Q70)</f>
        <v>0</v>
      </c>
      <c r="R115" s="34">
        <f>IF(Single.Stream!$D$124="No",0,R25+R70)</f>
        <v>9.9850000000000005E-7</v>
      </c>
      <c r="S115" s="34">
        <f>IF(Single.Stream!$D$125="No",0,S25+S70)</f>
        <v>0</v>
      </c>
      <c r="T115" s="34">
        <f>IF(Single.Stream!$D$126="No",0,T25+T70)</f>
        <v>9.9850000000000005E-7</v>
      </c>
      <c r="U115" s="34">
        <f>IF(Single.Stream!$D$127="No",0,U25+U70)</f>
        <v>0</v>
      </c>
      <c r="V115" s="34">
        <f>IF(Single.Stream!$D$128="No",0,V25+V70)</f>
        <v>9.9850000000000005E-7</v>
      </c>
      <c r="W115" s="35">
        <f>IF(Single.Stream!$D$129="No",0,W25+W70)</f>
        <v>0</v>
      </c>
      <c r="X115" s="34">
        <f>IF(Single.Stream!$D$130="No",0,X25+X70)</f>
        <v>0</v>
      </c>
      <c r="Y115" s="34">
        <f>IF(Single.Stream!$D$131="No",0,Y25+Y70)</f>
        <v>0</v>
      </c>
      <c r="Z115" s="34">
        <f>IF(Single.Stream!$D$132="No",0,Z25+Z70)</f>
        <v>9.9999999999999995E-7</v>
      </c>
      <c r="AB115" s="13"/>
    </row>
    <row r="116" spans="1:28" s="9" customFormat="1" x14ac:dyDescent="0.35">
      <c r="A116" s="13" t="str">
        <f t="shared" si="109"/>
        <v>Mixed Plastic</v>
      </c>
      <c r="B116" s="215">
        <f>'Important variables and results'!H25</f>
        <v>9.9999999999999995E-7</v>
      </c>
      <c r="C116" s="34">
        <f>IF(Single.Stream!$D$109="No",0,C26+C71)</f>
        <v>9.9999999999999995E-7</v>
      </c>
      <c r="D116" s="34">
        <f>IF(Single.Stream!$D$110="No",0,D26+D71)</f>
        <v>9.9999999999999995E-7</v>
      </c>
      <c r="E116" s="35">
        <f>IF(Single.Stream!$D$111="No",0,E26+E71)</f>
        <v>0</v>
      </c>
      <c r="F116" s="34">
        <f>IF(Single.Stream!$D$112="No",0,F26+F71)</f>
        <v>9.9999999999999995E-7</v>
      </c>
      <c r="G116" s="34">
        <f>IF(Single.Stream!$D$113="No",0,G26+G71)</f>
        <v>9.9999999999999995E-7</v>
      </c>
      <c r="H116" s="34">
        <f>IF(Single.Stream!$D$114="No",0,H26+H71)</f>
        <v>9.9999999999999995E-7</v>
      </c>
      <c r="I116" s="35">
        <f>IF(Single.Stream!$D$115="No",0,I26+I71)</f>
        <v>0</v>
      </c>
      <c r="J116" s="36">
        <f>IF(Single.Stream!$D$116="No",0,J26+J71)</f>
        <v>0</v>
      </c>
      <c r="K116" s="37">
        <f>IF(Single.Stream!$D$117="No",0,K26+K71)</f>
        <v>0</v>
      </c>
      <c r="L116" s="34">
        <f>IF(Single.Stream!$D$118="No",0,L26+L71)</f>
        <v>9.9999999999999995E-7</v>
      </c>
      <c r="M116" s="36">
        <f>IF(Single.Stream!$D$119="No",0,M26+M71)</f>
        <v>4.9999999999999998E-8</v>
      </c>
      <c r="N116" s="34">
        <f>IF(Single.Stream!$D$120="No",0,N26+N71)</f>
        <v>0</v>
      </c>
      <c r="O116" s="37">
        <f>IF(Single.Stream!$D$121="No",0,O26+O71)</f>
        <v>0</v>
      </c>
      <c r="P116" s="34">
        <f>IF(Single.Stream!$D$122="No",0,P26+P71)</f>
        <v>9.9850000000000005E-7</v>
      </c>
      <c r="Q116" s="34">
        <f>IF(Single.Stream!$D$123="No",0,Q26+Q71)</f>
        <v>0</v>
      </c>
      <c r="R116" s="34">
        <f>IF(Single.Stream!$D$124="No",0,R26+R71)</f>
        <v>9.9850000000000005E-7</v>
      </c>
      <c r="S116" s="34">
        <f>IF(Single.Stream!$D$125="No",0,S26+S71)</f>
        <v>0</v>
      </c>
      <c r="T116" s="34">
        <f>IF(Single.Stream!$D$126="No",0,T26+T71)</f>
        <v>9.9850000000000005E-7</v>
      </c>
      <c r="U116" s="34">
        <f>IF(Single.Stream!$D$127="No",0,U26+U71)</f>
        <v>0</v>
      </c>
      <c r="V116" s="34">
        <f>IF(Single.Stream!$D$128="No",0,V26+V71)</f>
        <v>9.9850000000000005E-7</v>
      </c>
      <c r="W116" s="35">
        <f>IF(Single.Stream!$D$129="No",0,W26+W71)</f>
        <v>0</v>
      </c>
      <c r="X116" s="34">
        <f>IF(Single.Stream!$D$130="No",0,X26+X71)</f>
        <v>0</v>
      </c>
      <c r="Y116" s="34">
        <f>IF(Single.Stream!$D$131="No",0,Y26+Y71)</f>
        <v>0</v>
      </c>
      <c r="Z116" s="34">
        <f>IF(Single.Stream!$D$132="No",0,Z26+Z71)</f>
        <v>9.9999999999999995E-7</v>
      </c>
      <c r="AB116" s="13"/>
    </row>
    <row r="117" spans="1:28" s="9" customFormat="1" x14ac:dyDescent="0.35">
      <c r="A117" s="13" t="str">
        <f t="shared" si="109"/>
        <v>Plastic Film</v>
      </c>
      <c r="B117" s="215">
        <f>'Important variables and results'!H26</f>
        <v>5.4</v>
      </c>
      <c r="C117" s="34">
        <f>IF(Single.Stream!$D$109="No",0,C27+C72)</f>
        <v>5.4</v>
      </c>
      <c r="D117" s="34">
        <f>IF(Single.Stream!$D$110="No",0,D27+D72)</f>
        <v>5.4</v>
      </c>
      <c r="E117" s="35">
        <f>IF(Single.Stream!$D$111="No",0,E27+E72)</f>
        <v>4.8600000000000003</v>
      </c>
      <c r="F117" s="34">
        <f>IF(Single.Stream!$D$112="No",0,F27+F72)</f>
        <v>0.54</v>
      </c>
      <c r="G117" s="34">
        <f>IF(Single.Stream!$D$113="No",0,G27+G72)</f>
        <v>0.54</v>
      </c>
      <c r="H117" s="34">
        <f>IF(Single.Stream!$D$114="No",0,H27+H72)</f>
        <v>0.54</v>
      </c>
      <c r="I117" s="35">
        <f>IF(Single.Stream!$D$115="No",0,I27+I72)</f>
        <v>0</v>
      </c>
      <c r="J117" s="36">
        <f>IF(Single.Stream!$D$116="No",0,J27+J72)</f>
        <v>0</v>
      </c>
      <c r="K117" s="37">
        <f>IF(Single.Stream!$D$117="No",0,K27+K72)</f>
        <v>0</v>
      </c>
      <c r="L117" s="34">
        <f>IF(Single.Stream!$D$118="No",0,L27+L72)</f>
        <v>0.54</v>
      </c>
      <c r="M117" s="36">
        <f>IF(Single.Stream!$D$119="No",0,M27+M72)</f>
        <v>0</v>
      </c>
      <c r="N117" s="34">
        <f>IF(Single.Stream!$D$120="No",0,N27+N72)</f>
        <v>0</v>
      </c>
      <c r="O117" s="37">
        <f>IF(Single.Stream!$D$121="No",0,O27+O72)</f>
        <v>0</v>
      </c>
      <c r="P117" s="34">
        <f>IF(Single.Stream!$D$122="No",0,P27+P72)</f>
        <v>0.54</v>
      </c>
      <c r="Q117" s="34">
        <f>IF(Single.Stream!$D$123="No",0,Q27+Q72)</f>
        <v>0</v>
      </c>
      <c r="R117" s="34">
        <f>IF(Single.Stream!$D$124="No",0,R27+R72)</f>
        <v>0.54</v>
      </c>
      <c r="S117" s="34">
        <f>IF(Single.Stream!$D$125="No",0,S27+S72)</f>
        <v>0</v>
      </c>
      <c r="T117" s="34">
        <f>IF(Single.Stream!$D$126="No",0,T27+T72)</f>
        <v>0.54</v>
      </c>
      <c r="U117" s="34">
        <f>IF(Single.Stream!$D$127="No",0,U27+U72)</f>
        <v>0</v>
      </c>
      <c r="V117" s="34">
        <f>IF(Single.Stream!$D$128="No",0,V27+V72)</f>
        <v>0.54</v>
      </c>
      <c r="W117" s="35">
        <f>IF(Single.Stream!$D$129="No",0,W27+W72)</f>
        <v>0</v>
      </c>
      <c r="X117" s="34">
        <f>IF(Single.Stream!$D$130="No",0,X27+X72)</f>
        <v>0</v>
      </c>
      <c r="Y117" s="34">
        <f>IF(Single.Stream!$D$131="No",0,Y27+Y72)</f>
        <v>4.8600000000000003</v>
      </c>
      <c r="Z117" s="34">
        <f>IF(Single.Stream!$D$132="No",0,Z27+Z72)</f>
        <v>5.4</v>
      </c>
      <c r="AB117" s="13"/>
    </row>
    <row r="118" spans="1:28" s="9" customFormat="1" x14ac:dyDescent="0.35">
      <c r="A118" s="13" t="str">
        <f t="shared" si="109"/>
        <v xml:space="preserve">Plastic - Non-Recyclable </v>
      </c>
      <c r="B118" s="215">
        <f>'Important variables and results'!H27</f>
        <v>9.9999999999999995E-7</v>
      </c>
      <c r="C118" s="34">
        <f>IF(Single.Stream!$D$109="No",0,C28+C73)</f>
        <v>9.9999999999999995E-7</v>
      </c>
      <c r="D118" s="34">
        <f>IF(Single.Stream!$D$110="No",0,D28+D73)</f>
        <v>9.9999999999999995E-7</v>
      </c>
      <c r="E118" s="35">
        <f>IF(Single.Stream!$D$111="No",0,E28+E73)</f>
        <v>0</v>
      </c>
      <c r="F118" s="34">
        <f>IF(Single.Stream!$D$112="No",0,F28+F73)</f>
        <v>9.9999999999999995E-7</v>
      </c>
      <c r="G118" s="34">
        <f>IF(Single.Stream!$D$113="No",0,G28+G73)</f>
        <v>9.9999999999999995E-7</v>
      </c>
      <c r="H118" s="34">
        <f>IF(Single.Stream!$D$114="No",0,H28+H73)</f>
        <v>9.9999999999999995E-7</v>
      </c>
      <c r="I118" s="35">
        <f>IF(Single.Stream!$D$115="No",0,I28+I73)</f>
        <v>0</v>
      </c>
      <c r="J118" s="36">
        <f>IF(Single.Stream!$D$116="No",0,J28+J73)</f>
        <v>0</v>
      </c>
      <c r="K118" s="37">
        <f>IF(Single.Stream!$D$117="No",0,K28+K73)</f>
        <v>0</v>
      </c>
      <c r="L118" s="34">
        <f>IF(Single.Stream!$D$118="No",0,L28+L73)</f>
        <v>9.9999999999999995E-7</v>
      </c>
      <c r="M118" s="36">
        <f>IF(Single.Stream!$D$119="No",0,M28+M73)</f>
        <v>0</v>
      </c>
      <c r="N118" s="34">
        <f>IF(Single.Stream!$D$120="No",0,N28+N73)</f>
        <v>0</v>
      </c>
      <c r="O118" s="37">
        <f>IF(Single.Stream!$D$121="No",0,O28+O73)</f>
        <v>0</v>
      </c>
      <c r="P118" s="34">
        <f>IF(Single.Stream!$D$122="No",0,P28+P73)</f>
        <v>9.9999999999999995E-7</v>
      </c>
      <c r="Q118" s="34">
        <f>IF(Single.Stream!$D$123="No",0,Q28+Q73)</f>
        <v>0</v>
      </c>
      <c r="R118" s="34">
        <f>IF(Single.Stream!$D$124="No",0,R28+R73)</f>
        <v>9.9999999999999995E-7</v>
      </c>
      <c r="S118" s="34">
        <f>IF(Single.Stream!$D$125="No",0,S28+S73)</f>
        <v>0</v>
      </c>
      <c r="T118" s="34">
        <f>IF(Single.Stream!$D$126="No",0,T28+T73)</f>
        <v>9.9999999999999995E-7</v>
      </c>
      <c r="U118" s="34">
        <f>IF(Single.Stream!$D$127="No",0,U28+U73)</f>
        <v>0</v>
      </c>
      <c r="V118" s="34">
        <f>IF(Single.Stream!$D$128="No",0,V28+V73)</f>
        <v>9.9999999999999995E-7</v>
      </c>
      <c r="W118" s="35">
        <f>IF(Single.Stream!$D$129="No",0,W28+W73)</f>
        <v>0</v>
      </c>
      <c r="X118" s="34">
        <f>IF(Single.Stream!$D$130="No",0,X28+X73)</f>
        <v>0</v>
      </c>
      <c r="Y118" s="34">
        <f>IF(Single.Stream!$D$131="No",0,Y28+Y73)</f>
        <v>0</v>
      </c>
      <c r="Z118" s="34">
        <f>IF(Single.Stream!$D$132="No",0,Z28+Z73)</f>
        <v>9.9999999999999995E-7</v>
      </c>
      <c r="AB118" s="13"/>
    </row>
    <row r="119" spans="1:28" s="9" customFormat="1" x14ac:dyDescent="0.35">
      <c r="A119" s="13" t="str">
        <f t="shared" si="109"/>
        <v>Ferrous Cans</v>
      </c>
      <c r="B119" s="215">
        <f>'Important variables and results'!H28</f>
        <v>3.2</v>
      </c>
      <c r="C119" s="34">
        <f>IF(Single.Stream!$D$109="No",0,C29+C74)</f>
        <v>3.2</v>
      </c>
      <c r="D119" s="34">
        <f>IF(Single.Stream!$D$110="No",0,D29+D74)</f>
        <v>3.2</v>
      </c>
      <c r="E119" s="35">
        <f>IF(Single.Stream!$D$111="No",0,E29+E74)</f>
        <v>0</v>
      </c>
      <c r="F119" s="34">
        <f>IF(Single.Stream!$D$112="No",0,F29+F74)</f>
        <v>3.2</v>
      </c>
      <c r="G119" s="34">
        <f>IF(Single.Stream!$D$113="No",0,G29+G74)</f>
        <v>3.2</v>
      </c>
      <c r="H119" s="34">
        <f>IF(Single.Stream!$D$114="No",0,H29+H74)</f>
        <v>3.2</v>
      </c>
      <c r="I119" s="35">
        <f>IF(Single.Stream!$D$115="No",0,I29+I74)</f>
        <v>0</v>
      </c>
      <c r="J119" s="36">
        <f>IF(Single.Stream!$D$116="No",0,J29+J74)</f>
        <v>0</v>
      </c>
      <c r="K119" s="37">
        <f>IF(Single.Stream!$D$117="No",0,K29+K74)</f>
        <v>0</v>
      </c>
      <c r="L119" s="34">
        <f>IF(Single.Stream!$D$118="No",0,L29+L74)</f>
        <v>3.2</v>
      </c>
      <c r="M119" s="36">
        <f>IF(Single.Stream!$D$119="No",0,M29+M74)</f>
        <v>0</v>
      </c>
      <c r="N119" s="34">
        <f>IF(Single.Stream!$D$120="No",0,N29+N74)</f>
        <v>0</v>
      </c>
      <c r="O119" s="37">
        <f>IF(Single.Stream!$D$121="No",0,O29+O74)</f>
        <v>0</v>
      </c>
      <c r="P119" s="34">
        <f>IF(Single.Stream!$D$122="No",0,P29+P74)</f>
        <v>3.2</v>
      </c>
      <c r="Q119" s="34">
        <f>IF(Single.Stream!$D$123="No",0,Q29+Q74)</f>
        <v>0</v>
      </c>
      <c r="R119" s="34">
        <f>IF(Single.Stream!$D$124="No",0,R29+R74)</f>
        <v>3.2</v>
      </c>
      <c r="S119" s="34">
        <f>IF(Single.Stream!$D$125="No",0,S29+S74)</f>
        <v>0</v>
      </c>
      <c r="T119" s="34">
        <f>IF(Single.Stream!$D$126="No",0,T29+T74)</f>
        <v>3.2</v>
      </c>
      <c r="U119" s="34">
        <f>IF(Single.Stream!$D$127="No",0,U29+U74)</f>
        <v>0</v>
      </c>
      <c r="V119" s="34">
        <f>IF(Single.Stream!$D$128="No",0,V29+V74)</f>
        <v>6.4000000000000057E-2</v>
      </c>
      <c r="W119" s="35">
        <f>IF(Single.Stream!$D$129="No",0,W29+W74)</f>
        <v>0</v>
      </c>
      <c r="X119" s="34">
        <f>IF(Single.Stream!$D$130="No",0,X29+X74)</f>
        <v>0</v>
      </c>
      <c r="Y119" s="34">
        <f>IF(Single.Stream!$D$131="No",0,Y29+Y74)</f>
        <v>3.1360000000000001</v>
      </c>
      <c r="Z119" s="34">
        <f>IF(Single.Stream!$D$132="No",0,Z29+Z74)</f>
        <v>3.2</v>
      </c>
      <c r="AB119" s="13"/>
    </row>
    <row r="120" spans="1:28" s="9" customFormat="1" x14ac:dyDescent="0.35">
      <c r="A120" s="13" t="str">
        <f t="shared" si="109"/>
        <v>Ferrous Metal - Other</v>
      </c>
      <c r="B120" s="215">
        <f>'Important variables and results'!H29</f>
        <v>0.6</v>
      </c>
      <c r="C120" s="34">
        <f>IF(Single.Stream!$D$109="No",0,C30+C75)</f>
        <v>0.6</v>
      </c>
      <c r="D120" s="34">
        <f>IF(Single.Stream!$D$110="No",0,D30+D75)</f>
        <v>0.6</v>
      </c>
      <c r="E120" s="35">
        <f>IF(Single.Stream!$D$111="No",0,E30+E75)</f>
        <v>0</v>
      </c>
      <c r="F120" s="34">
        <f>IF(Single.Stream!$D$112="No",0,F30+F75)</f>
        <v>0.6</v>
      </c>
      <c r="G120" s="34">
        <f>IF(Single.Stream!$D$113="No",0,G30+G75)</f>
        <v>0.6</v>
      </c>
      <c r="H120" s="34">
        <f>IF(Single.Stream!$D$114="No",0,H30+H75)</f>
        <v>0.6</v>
      </c>
      <c r="I120" s="35">
        <f>IF(Single.Stream!$D$115="No",0,I30+I75)</f>
        <v>0</v>
      </c>
      <c r="J120" s="36">
        <f>IF(Single.Stream!$D$116="No",0,J30+J75)</f>
        <v>0</v>
      </c>
      <c r="K120" s="37">
        <f>IF(Single.Stream!$D$117="No",0,K30+K75)</f>
        <v>0</v>
      </c>
      <c r="L120" s="34">
        <f>IF(Single.Stream!$D$118="No",0,L30+L75)</f>
        <v>0.6</v>
      </c>
      <c r="M120" s="36">
        <f>IF(Single.Stream!$D$119="No",0,M30+M75)</f>
        <v>0</v>
      </c>
      <c r="N120" s="34">
        <f>IF(Single.Stream!$D$120="No",0,N30+N75)</f>
        <v>0</v>
      </c>
      <c r="O120" s="37">
        <f>IF(Single.Stream!$D$121="No",0,O30+O75)</f>
        <v>0</v>
      </c>
      <c r="P120" s="34">
        <f>IF(Single.Stream!$D$122="No",0,P30+P75)</f>
        <v>0.6</v>
      </c>
      <c r="Q120" s="34">
        <f>IF(Single.Stream!$D$123="No",0,Q30+Q75)</f>
        <v>0</v>
      </c>
      <c r="R120" s="34">
        <f>IF(Single.Stream!$D$124="No",0,R30+R75)</f>
        <v>0.6</v>
      </c>
      <c r="S120" s="34">
        <f>IF(Single.Stream!$D$125="No",0,S30+S75)</f>
        <v>0</v>
      </c>
      <c r="T120" s="34">
        <f>IF(Single.Stream!$D$126="No",0,T30+T75)</f>
        <v>0.6</v>
      </c>
      <c r="U120" s="34">
        <f>IF(Single.Stream!$D$127="No",0,U30+U75)</f>
        <v>0</v>
      </c>
      <c r="V120" s="34">
        <f>IF(Single.Stream!$D$128="No",0,V30+V75)</f>
        <v>1.2000000000000011E-2</v>
      </c>
      <c r="W120" s="35">
        <f>IF(Single.Stream!$D$129="No",0,W30+W75)</f>
        <v>0</v>
      </c>
      <c r="X120" s="34">
        <f>IF(Single.Stream!$D$130="No",0,X30+X75)</f>
        <v>0</v>
      </c>
      <c r="Y120" s="34">
        <f>IF(Single.Stream!$D$131="No",0,Y30+Y75)</f>
        <v>0.58799999999999997</v>
      </c>
      <c r="Z120" s="34">
        <f>IF(Single.Stream!$D$132="No",0,Z30+Z75)</f>
        <v>0.6</v>
      </c>
      <c r="AB120" s="13"/>
    </row>
    <row r="121" spans="1:28" s="9" customFormat="1" x14ac:dyDescent="0.35">
      <c r="A121" s="13" t="str">
        <f t="shared" si="109"/>
        <v>Aluminum Cans</v>
      </c>
      <c r="B121" s="215">
        <f>'Important variables and results'!H30</f>
        <v>2</v>
      </c>
      <c r="C121" s="34">
        <f>IF(Single.Stream!$D$109="No",0,C31+C76)</f>
        <v>2</v>
      </c>
      <c r="D121" s="34">
        <f>IF(Single.Stream!$D$110="No",0,D31+D76)</f>
        <v>2</v>
      </c>
      <c r="E121" s="35">
        <f>IF(Single.Stream!$D$111="No",0,E31+E76)</f>
        <v>0</v>
      </c>
      <c r="F121" s="34">
        <f>IF(Single.Stream!$D$112="No",0,F31+F76)</f>
        <v>2</v>
      </c>
      <c r="G121" s="34">
        <f>IF(Single.Stream!$D$113="No",0,G31+G76)</f>
        <v>2</v>
      </c>
      <c r="H121" s="34">
        <f>IF(Single.Stream!$D$114="No",0,H31+H76)</f>
        <v>2</v>
      </c>
      <c r="I121" s="35">
        <f>IF(Single.Stream!$D$115="No",0,I31+I76)</f>
        <v>0</v>
      </c>
      <c r="J121" s="36">
        <f>IF(Single.Stream!$D$116="No",0,J31+J76)</f>
        <v>0</v>
      </c>
      <c r="K121" s="37">
        <f>IF(Single.Stream!$D$117="No",0,K31+K76)</f>
        <v>0</v>
      </c>
      <c r="L121" s="34">
        <f>IF(Single.Stream!$D$118="No",0,L31+L76)</f>
        <v>2</v>
      </c>
      <c r="M121" s="36">
        <f>IF(Single.Stream!$D$119="No",0,M31+M76)</f>
        <v>0</v>
      </c>
      <c r="N121" s="34">
        <f>IF(Single.Stream!$D$120="No",0,N31+N76)</f>
        <v>0</v>
      </c>
      <c r="O121" s="37">
        <f>IF(Single.Stream!$D$121="No",0,O31+O76)</f>
        <v>0</v>
      </c>
      <c r="P121" s="34">
        <f>IF(Single.Stream!$D$122="No",0,P31+P76)</f>
        <v>2</v>
      </c>
      <c r="Q121" s="34">
        <f>IF(Single.Stream!$D$123="No",0,Q31+Q76)</f>
        <v>0</v>
      </c>
      <c r="R121" s="34">
        <f>IF(Single.Stream!$D$124="No",0,R31+R76)</f>
        <v>2</v>
      </c>
      <c r="S121" s="34">
        <f>IF(Single.Stream!$D$125="No",0,S31+S76)</f>
        <v>0</v>
      </c>
      <c r="T121" s="34">
        <f>IF(Single.Stream!$D$126="No",0,T31+T76)</f>
        <v>2</v>
      </c>
      <c r="U121" s="34">
        <f>IF(Single.Stream!$D$127="No",0,U31+U76)</f>
        <v>0</v>
      </c>
      <c r="V121" s="34">
        <f>IF(Single.Stream!$D$128="No",0,V31+V76)</f>
        <v>2</v>
      </c>
      <c r="W121" s="35">
        <f>IF(Single.Stream!$D$129="No",0,W31+W76)</f>
        <v>0</v>
      </c>
      <c r="X121" s="34">
        <f>IF(Single.Stream!$D$130="No",0,X31+X76)</f>
        <v>0</v>
      </c>
      <c r="Y121" s="34">
        <f>IF(Single.Stream!$D$131="No",0,Y31+Y76)</f>
        <v>1.94</v>
      </c>
      <c r="Z121" s="34">
        <f>IF(Single.Stream!$D$132="No",0,Z31+Z76)</f>
        <v>2</v>
      </c>
      <c r="AB121" s="13"/>
    </row>
    <row r="122" spans="1:28" s="9" customFormat="1" x14ac:dyDescent="0.35">
      <c r="A122" s="13" t="str">
        <f t="shared" si="109"/>
        <v>Aluminum - Foil</v>
      </c>
      <c r="B122" s="215">
        <f>'Important variables and results'!H31</f>
        <v>0.6</v>
      </c>
      <c r="C122" s="34">
        <f>IF(Single.Stream!$D$109="No",0,C32+C77)</f>
        <v>0.6</v>
      </c>
      <c r="D122" s="34">
        <f>IF(Single.Stream!$D$110="No",0,D32+D77)</f>
        <v>0.6</v>
      </c>
      <c r="E122" s="35">
        <f>IF(Single.Stream!$D$111="No",0,E32+E77)</f>
        <v>0</v>
      </c>
      <c r="F122" s="34">
        <f>IF(Single.Stream!$D$112="No",0,F32+F77)</f>
        <v>0.6</v>
      </c>
      <c r="G122" s="34">
        <f>IF(Single.Stream!$D$113="No",0,G32+G77)</f>
        <v>0.6</v>
      </c>
      <c r="H122" s="34">
        <f>IF(Single.Stream!$D$114="No",0,H32+H77)</f>
        <v>0.6</v>
      </c>
      <c r="I122" s="35">
        <f>IF(Single.Stream!$D$115="No",0,I32+I77)</f>
        <v>0</v>
      </c>
      <c r="J122" s="36">
        <f>IF(Single.Stream!$D$116="No",0,J32+J77)</f>
        <v>0</v>
      </c>
      <c r="K122" s="37">
        <f>IF(Single.Stream!$D$117="No",0,K32+K77)</f>
        <v>0</v>
      </c>
      <c r="L122" s="34">
        <f>IF(Single.Stream!$D$118="No",0,L32+L77)</f>
        <v>0.6</v>
      </c>
      <c r="M122" s="36">
        <f>IF(Single.Stream!$D$119="No",0,M32+M77)</f>
        <v>0</v>
      </c>
      <c r="N122" s="34">
        <f>IF(Single.Stream!$D$120="No",0,N32+N77)</f>
        <v>0</v>
      </c>
      <c r="O122" s="37">
        <f>IF(Single.Stream!$D$121="No",0,O32+O77)</f>
        <v>0</v>
      </c>
      <c r="P122" s="34">
        <f>IF(Single.Stream!$D$122="No",0,P32+P77)</f>
        <v>0.6</v>
      </c>
      <c r="Q122" s="34">
        <f>IF(Single.Stream!$D$123="No",0,Q32+Q77)</f>
        <v>0</v>
      </c>
      <c r="R122" s="34">
        <f>IF(Single.Stream!$D$124="No",0,R32+R77)</f>
        <v>0.6</v>
      </c>
      <c r="S122" s="34">
        <f>IF(Single.Stream!$D$125="No",0,S32+S77)</f>
        <v>0</v>
      </c>
      <c r="T122" s="34">
        <f>IF(Single.Stream!$D$126="No",0,T32+T77)</f>
        <v>0.6</v>
      </c>
      <c r="U122" s="34">
        <f>IF(Single.Stream!$D$127="No",0,U32+U77)</f>
        <v>0</v>
      </c>
      <c r="V122" s="34">
        <f>IF(Single.Stream!$D$128="No",0,V32+V77)</f>
        <v>0.6</v>
      </c>
      <c r="W122" s="35">
        <f>IF(Single.Stream!$D$129="No",0,W32+W77)</f>
        <v>0</v>
      </c>
      <c r="X122" s="34">
        <f>IF(Single.Stream!$D$130="No",0,X32+X77)</f>
        <v>0</v>
      </c>
      <c r="Y122" s="34">
        <f>IF(Single.Stream!$D$131="No",0,Y32+Y77)</f>
        <v>0.58199999999999996</v>
      </c>
      <c r="Z122" s="34">
        <f>IF(Single.Stream!$D$132="No",0,Z32+Z77)</f>
        <v>0.6</v>
      </c>
      <c r="AB122" s="13"/>
    </row>
    <row r="123" spans="1:28" s="9" customFormat="1" x14ac:dyDescent="0.35">
      <c r="A123" s="13" t="str">
        <f t="shared" si="109"/>
        <v>Aluminum - Other</v>
      </c>
      <c r="B123" s="215">
        <f>'Important variables and results'!H32</f>
        <v>9.9999999999999995E-7</v>
      </c>
      <c r="C123" s="34">
        <f>IF(Single.Stream!$D$109="No",0,C33+C78)</f>
        <v>9.9999999999999995E-7</v>
      </c>
      <c r="D123" s="34">
        <f>IF(Single.Stream!$D$110="No",0,D33+D78)</f>
        <v>9.9999999999999995E-7</v>
      </c>
      <c r="E123" s="35">
        <f>IF(Single.Stream!$D$111="No",0,E33+E78)</f>
        <v>0</v>
      </c>
      <c r="F123" s="34">
        <f>IF(Single.Stream!$D$112="No",0,F33+F78)</f>
        <v>9.9999999999999995E-7</v>
      </c>
      <c r="G123" s="34">
        <f>IF(Single.Stream!$D$113="No",0,G33+G78)</f>
        <v>9.9999999999999995E-7</v>
      </c>
      <c r="H123" s="34">
        <f>IF(Single.Stream!$D$114="No",0,H33+H78)</f>
        <v>9.9999999999999995E-7</v>
      </c>
      <c r="I123" s="35">
        <f>IF(Single.Stream!$D$115="No",0,I33+I78)</f>
        <v>0</v>
      </c>
      <c r="J123" s="36">
        <f>IF(Single.Stream!$D$116="No",0,J33+J78)</f>
        <v>0</v>
      </c>
      <c r="K123" s="37">
        <f>IF(Single.Stream!$D$117="No",0,K33+K78)</f>
        <v>0</v>
      </c>
      <c r="L123" s="34">
        <f>IF(Single.Stream!$D$118="No",0,L33+L78)</f>
        <v>9.9999999999999995E-7</v>
      </c>
      <c r="M123" s="36">
        <f>IF(Single.Stream!$D$119="No",0,M33+M78)</f>
        <v>0</v>
      </c>
      <c r="N123" s="34">
        <f>IF(Single.Stream!$D$120="No",0,N33+N78)</f>
        <v>0</v>
      </c>
      <c r="O123" s="37">
        <f>IF(Single.Stream!$D$121="No",0,O33+O78)</f>
        <v>0</v>
      </c>
      <c r="P123" s="34">
        <f>IF(Single.Stream!$D$122="No",0,P33+P78)</f>
        <v>9.9999999999999995E-7</v>
      </c>
      <c r="Q123" s="34">
        <f>IF(Single.Stream!$D$123="No",0,Q33+Q78)</f>
        <v>0</v>
      </c>
      <c r="R123" s="34">
        <f>IF(Single.Stream!$D$124="No",0,R33+R78)</f>
        <v>9.9999999999999995E-7</v>
      </c>
      <c r="S123" s="34">
        <f>IF(Single.Stream!$D$125="No",0,S33+S78)</f>
        <v>0</v>
      </c>
      <c r="T123" s="34">
        <f>IF(Single.Stream!$D$126="No",0,T33+T78)</f>
        <v>9.9999999999999995E-7</v>
      </c>
      <c r="U123" s="34">
        <f>IF(Single.Stream!$D$127="No",0,U33+U78)</f>
        <v>0</v>
      </c>
      <c r="V123" s="34">
        <f>IF(Single.Stream!$D$128="No",0,V33+V78)</f>
        <v>9.9999999999999995E-7</v>
      </c>
      <c r="W123" s="35">
        <f>IF(Single.Stream!$D$129="No",0,W33+W78)</f>
        <v>0</v>
      </c>
      <c r="X123" s="34">
        <f>IF(Single.Stream!$D$130="No",0,X33+X78)</f>
        <v>0</v>
      </c>
      <c r="Y123" s="34">
        <f>IF(Single.Stream!$D$131="No",0,Y33+Y78)</f>
        <v>9.7000000000000003E-7</v>
      </c>
      <c r="Z123" s="34">
        <f>IF(Single.Stream!$D$132="No",0,Z33+Z78)</f>
        <v>9.9999999999999995E-7</v>
      </c>
      <c r="AB123" s="13"/>
    </row>
    <row r="124" spans="1:28" s="9" customFormat="1" x14ac:dyDescent="0.35">
      <c r="A124" s="13" t="str">
        <f t="shared" si="109"/>
        <v xml:space="preserve">Ferrous - Non-recyclable </v>
      </c>
      <c r="B124" s="215">
        <f>'Important variables and results'!H33</f>
        <v>9.9999999999999995E-7</v>
      </c>
      <c r="C124" s="34">
        <f>IF(Single.Stream!$D$109="No",0,C34+C79)</f>
        <v>9.9999999999999995E-7</v>
      </c>
      <c r="D124" s="34">
        <f>IF(Single.Stream!$D$110="No",0,D34+D79)</f>
        <v>9.9999999999999995E-7</v>
      </c>
      <c r="E124" s="35">
        <f>IF(Single.Stream!$D$111="No",0,E34+E79)</f>
        <v>0</v>
      </c>
      <c r="F124" s="34">
        <f>IF(Single.Stream!$D$112="No",0,F34+F79)</f>
        <v>9.9999999999999995E-7</v>
      </c>
      <c r="G124" s="34">
        <f>IF(Single.Stream!$D$113="No",0,G34+G79)</f>
        <v>9.9999999999999995E-7</v>
      </c>
      <c r="H124" s="34">
        <f>IF(Single.Stream!$D$114="No",0,H34+H79)</f>
        <v>9.9999999999999995E-7</v>
      </c>
      <c r="I124" s="35">
        <f>IF(Single.Stream!$D$115="No",0,I34+I79)</f>
        <v>0</v>
      </c>
      <c r="J124" s="36">
        <f>IF(Single.Stream!$D$116="No",0,J34+J79)</f>
        <v>0</v>
      </c>
      <c r="K124" s="37">
        <f>IF(Single.Stream!$D$117="No",0,K34+K79)</f>
        <v>0</v>
      </c>
      <c r="L124" s="34">
        <f>IF(Single.Stream!$D$118="No",0,L34+L79)</f>
        <v>9.9999999999999995E-7</v>
      </c>
      <c r="M124" s="36">
        <f>IF(Single.Stream!$D$119="No",0,M34+M79)</f>
        <v>0</v>
      </c>
      <c r="N124" s="34">
        <f>IF(Single.Stream!$D$120="No",0,N34+N79)</f>
        <v>0</v>
      </c>
      <c r="O124" s="37">
        <f>IF(Single.Stream!$D$121="No",0,O34+O79)</f>
        <v>0</v>
      </c>
      <c r="P124" s="34">
        <f>IF(Single.Stream!$D$122="No",0,P34+P79)</f>
        <v>9.9999999999999995E-7</v>
      </c>
      <c r="Q124" s="34">
        <f>IF(Single.Stream!$D$123="No",0,Q34+Q79)</f>
        <v>0</v>
      </c>
      <c r="R124" s="34">
        <f>IF(Single.Stream!$D$124="No",0,R34+R79)</f>
        <v>9.9999999999999995E-7</v>
      </c>
      <c r="S124" s="34">
        <f>IF(Single.Stream!$D$125="No",0,S34+S79)</f>
        <v>0</v>
      </c>
      <c r="T124" s="34">
        <f>IF(Single.Stream!$D$126="No",0,T34+T79)</f>
        <v>9.9999999999999995E-7</v>
      </c>
      <c r="U124" s="34">
        <f>IF(Single.Stream!$D$127="No",0,U34+U79)</f>
        <v>0</v>
      </c>
      <c r="V124" s="34">
        <f>IF(Single.Stream!$D$128="No",0,V34+V79)</f>
        <v>2.000000000000002E-8</v>
      </c>
      <c r="W124" s="35">
        <f>IF(Single.Stream!$D$129="No",0,W34+W79)</f>
        <v>0</v>
      </c>
      <c r="X124" s="34">
        <f>IF(Single.Stream!$D$130="No",0,X34+X79)</f>
        <v>0</v>
      </c>
      <c r="Y124" s="34">
        <f>IF(Single.Stream!$D$131="No",0,Y34+Y79)</f>
        <v>9.7999999999999993E-7</v>
      </c>
      <c r="Z124" s="34">
        <f>IF(Single.Stream!$D$132="No",0,Z34+Z79)</f>
        <v>9.9999999999999995E-7</v>
      </c>
      <c r="AB124" s="13"/>
    </row>
    <row r="125" spans="1:28" s="9" customFormat="1" x14ac:dyDescent="0.35">
      <c r="A125" s="13" t="str">
        <f t="shared" si="109"/>
        <v xml:space="preserve">Al - Non-recyclable </v>
      </c>
      <c r="B125" s="215">
        <f>'Important variables and results'!H34</f>
        <v>9.9999999999999995E-7</v>
      </c>
      <c r="C125" s="34">
        <f>IF(Single.Stream!$D$109="No",0,C35+C80)</f>
        <v>9.9999999999999995E-7</v>
      </c>
      <c r="D125" s="34">
        <f>IF(Single.Stream!$D$110="No",0,D35+D80)</f>
        <v>9.9999999999999995E-7</v>
      </c>
      <c r="E125" s="35">
        <f>IF(Single.Stream!$D$111="No",0,E35+E80)</f>
        <v>0</v>
      </c>
      <c r="F125" s="34">
        <f>IF(Single.Stream!$D$112="No",0,F35+F80)</f>
        <v>9.9999999999999995E-7</v>
      </c>
      <c r="G125" s="34">
        <f>IF(Single.Stream!$D$113="No",0,G35+G80)</f>
        <v>9.9999999999999995E-7</v>
      </c>
      <c r="H125" s="34">
        <f>IF(Single.Stream!$D$114="No",0,H35+H80)</f>
        <v>9.9999999999999995E-7</v>
      </c>
      <c r="I125" s="35">
        <f>IF(Single.Stream!$D$115="No",0,I35+I80)</f>
        <v>0</v>
      </c>
      <c r="J125" s="36">
        <f>IF(Single.Stream!$D$116="No",0,J35+J80)</f>
        <v>0</v>
      </c>
      <c r="K125" s="37">
        <f>IF(Single.Stream!$D$117="No",0,K35+K80)</f>
        <v>0</v>
      </c>
      <c r="L125" s="34">
        <f>IF(Single.Stream!$D$118="No",0,L35+L80)</f>
        <v>9.9999999999999995E-7</v>
      </c>
      <c r="M125" s="36">
        <f>IF(Single.Stream!$D$119="No",0,M35+M80)</f>
        <v>0</v>
      </c>
      <c r="N125" s="34">
        <f>IF(Single.Stream!$D$120="No",0,N35+N80)</f>
        <v>0</v>
      </c>
      <c r="O125" s="37">
        <f>IF(Single.Stream!$D$121="No",0,O35+O80)</f>
        <v>0</v>
      </c>
      <c r="P125" s="34">
        <f>IF(Single.Stream!$D$122="No",0,P35+P80)</f>
        <v>9.9999999999999995E-7</v>
      </c>
      <c r="Q125" s="34">
        <f>IF(Single.Stream!$D$123="No",0,Q35+Q80)</f>
        <v>0</v>
      </c>
      <c r="R125" s="34">
        <f>IF(Single.Stream!$D$124="No",0,R35+R80)</f>
        <v>9.9999999999999995E-7</v>
      </c>
      <c r="S125" s="34">
        <f>IF(Single.Stream!$D$125="No",0,S35+S80)</f>
        <v>0</v>
      </c>
      <c r="T125" s="34">
        <f>IF(Single.Stream!$D$126="No",0,T35+T80)</f>
        <v>9.9999999999999995E-7</v>
      </c>
      <c r="U125" s="34">
        <f>IF(Single.Stream!$D$127="No",0,U35+U80)</f>
        <v>0</v>
      </c>
      <c r="V125" s="34">
        <f>IF(Single.Stream!$D$128="No",0,V35+V80)</f>
        <v>9.9999999999999995E-7</v>
      </c>
      <c r="W125" s="35">
        <f>IF(Single.Stream!$D$129="No",0,W35+W80)</f>
        <v>0</v>
      </c>
      <c r="X125" s="34">
        <f>IF(Single.Stream!$D$130="No",0,X35+X80)</f>
        <v>0</v>
      </c>
      <c r="Y125" s="34">
        <f>IF(Single.Stream!$D$131="No",0,Y35+Y80)</f>
        <v>9.7000000000000003E-7</v>
      </c>
      <c r="Z125" s="34">
        <f>IF(Single.Stream!$D$132="No",0,Z35+Z80)</f>
        <v>9.9999999999999995E-7</v>
      </c>
      <c r="AB125" s="13"/>
    </row>
    <row r="126" spans="1:28" s="9" customFormat="1" x14ac:dyDescent="0.35">
      <c r="A126" s="13" t="str">
        <f t="shared" si="109"/>
        <v>Glass - Brown</v>
      </c>
      <c r="B126" s="215">
        <f>'Important variables and results'!H35</f>
        <v>7.5</v>
      </c>
      <c r="C126" s="34">
        <f>IF(Single.Stream!$D$109="No",0,C36+C81)</f>
        <v>7.5</v>
      </c>
      <c r="D126" s="34">
        <f>IF(Single.Stream!$D$110="No",0,D36+D81)</f>
        <v>7.5</v>
      </c>
      <c r="E126" s="35">
        <f>IF(Single.Stream!$D$111="No",0,E36+E81)</f>
        <v>0</v>
      </c>
      <c r="F126" s="34">
        <f>IF(Single.Stream!$D$112="No",0,F36+F81)</f>
        <v>7.5</v>
      </c>
      <c r="G126" s="34">
        <f>IF(Single.Stream!$D$113="No",0,G36+G81)</f>
        <v>7.5</v>
      </c>
      <c r="H126" s="34">
        <f>IF(Single.Stream!$D$114="No",0,H36+H81)</f>
        <v>7.5</v>
      </c>
      <c r="I126" s="35">
        <f>IF(Single.Stream!$D$115="No",0,I36+I81)</f>
        <v>0</v>
      </c>
      <c r="J126" s="36">
        <f>IF(Single.Stream!$D$116="No",0,J36+J81)</f>
        <v>0</v>
      </c>
      <c r="K126" s="37">
        <f>IF(Single.Stream!$D$117="No",0,K36+K81)</f>
        <v>0</v>
      </c>
      <c r="L126" s="34">
        <f>IF(Single.Stream!$D$118="No",0,L36+L81)</f>
        <v>7.5</v>
      </c>
      <c r="M126" s="36">
        <f>IF(Single.Stream!$D$119="No",0,M36+M81)</f>
        <v>7.2749999999999995</v>
      </c>
      <c r="N126" s="34">
        <f>IF(Single.Stream!$D$120="No",0,N36+N81)</f>
        <v>0</v>
      </c>
      <c r="O126" s="37">
        <f>IF(Single.Stream!$D$121="No",0,O36+O81)</f>
        <v>0</v>
      </c>
      <c r="P126" s="34">
        <f>IF(Single.Stream!$D$122="No",0,P36+P81)</f>
        <v>0.44325000000000048</v>
      </c>
      <c r="Q126" s="34">
        <f>IF(Single.Stream!$D$123="No",0,Q36+Q81)</f>
        <v>0</v>
      </c>
      <c r="R126" s="34">
        <f>IF(Single.Stream!$D$124="No",0,R36+R81)</f>
        <v>0.44325000000000048</v>
      </c>
      <c r="S126" s="34">
        <f>IF(Single.Stream!$D$125="No",0,S36+S81)</f>
        <v>0</v>
      </c>
      <c r="T126" s="34">
        <f>IF(Single.Stream!$D$126="No",0,T36+T81)</f>
        <v>0.44325000000000048</v>
      </c>
      <c r="U126" s="34">
        <f>IF(Single.Stream!$D$127="No",0,U36+U81)</f>
        <v>0</v>
      </c>
      <c r="V126" s="34">
        <f>IF(Single.Stream!$D$128="No",0,V36+V81)</f>
        <v>0.44325000000000048</v>
      </c>
      <c r="W126" s="35">
        <f>IF(Single.Stream!$D$129="No",0,W36+W81)</f>
        <v>0</v>
      </c>
      <c r="X126" s="34">
        <f>IF(Single.Stream!$D$130="No",0,X36+X81)</f>
        <v>0</v>
      </c>
      <c r="Y126" s="34">
        <f>IF(Single.Stream!$D$131="No",0,Y36+Y81)</f>
        <v>0</v>
      </c>
      <c r="Z126" s="34">
        <f>IF(Single.Stream!$D$132="No",0,Z36+Z81)</f>
        <v>7.5</v>
      </c>
      <c r="AB126" s="13"/>
    </row>
    <row r="127" spans="1:28" s="9" customFormat="1" x14ac:dyDescent="0.35">
      <c r="A127" s="13" t="str">
        <f t="shared" si="109"/>
        <v>Glass - Green</v>
      </c>
      <c r="B127" s="215">
        <f>'Important variables and results'!H36</f>
        <v>3.2</v>
      </c>
      <c r="C127" s="34">
        <f>IF(Single.Stream!$D$109="No",0,C37+C82)</f>
        <v>3.2</v>
      </c>
      <c r="D127" s="34">
        <f>IF(Single.Stream!$D$110="No",0,D37+D82)</f>
        <v>3.2</v>
      </c>
      <c r="E127" s="35">
        <f>IF(Single.Stream!$D$111="No",0,E37+E82)</f>
        <v>0</v>
      </c>
      <c r="F127" s="34">
        <f>IF(Single.Stream!$D$112="No",0,F37+F82)</f>
        <v>3.2</v>
      </c>
      <c r="G127" s="34">
        <f>IF(Single.Stream!$D$113="No",0,G37+G82)</f>
        <v>3.2</v>
      </c>
      <c r="H127" s="34">
        <f>IF(Single.Stream!$D$114="No",0,H37+H82)</f>
        <v>3.2</v>
      </c>
      <c r="I127" s="35">
        <f>IF(Single.Stream!$D$115="No",0,I37+I82)</f>
        <v>0</v>
      </c>
      <c r="J127" s="36">
        <f>IF(Single.Stream!$D$116="No",0,J37+J82)</f>
        <v>0</v>
      </c>
      <c r="K127" s="37">
        <f>IF(Single.Stream!$D$117="No",0,K37+K82)</f>
        <v>0</v>
      </c>
      <c r="L127" s="34">
        <f>IF(Single.Stream!$D$118="No",0,L37+L82)</f>
        <v>3.2</v>
      </c>
      <c r="M127" s="36">
        <f>IF(Single.Stream!$D$119="No",0,M37+M82)</f>
        <v>3.1040000000000001</v>
      </c>
      <c r="N127" s="34">
        <f>IF(Single.Stream!$D$120="No",0,N37+N82)</f>
        <v>0</v>
      </c>
      <c r="O127" s="37">
        <f>IF(Single.Stream!$D$121="No",0,O37+O82)</f>
        <v>0</v>
      </c>
      <c r="P127" s="34">
        <f>IF(Single.Stream!$D$122="No",0,P37+P82)</f>
        <v>0.18912000000000007</v>
      </c>
      <c r="Q127" s="34">
        <f>IF(Single.Stream!$D$123="No",0,Q37+Q82)</f>
        <v>0</v>
      </c>
      <c r="R127" s="34">
        <f>IF(Single.Stream!$D$124="No",0,R37+R82)</f>
        <v>0.18912000000000007</v>
      </c>
      <c r="S127" s="34">
        <f>IF(Single.Stream!$D$125="No",0,S37+S82)</f>
        <v>0</v>
      </c>
      <c r="T127" s="34">
        <f>IF(Single.Stream!$D$126="No",0,T37+T82)</f>
        <v>0.18912000000000007</v>
      </c>
      <c r="U127" s="34">
        <f>IF(Single.Stream!$D$127="No",0,U37+U82)</f>
        <v>0</v>
      </c>
      <c r="V127" s="34">
        <f>IF(Single.Stream!$D$128="No",0,V37+V82)</f>
        <v>0.18912000000000007</v>
      </c>
      <c r="W127" s="35">
        <f>IF(Single.Stream!$D$129="No",0,W37+W82)</f>
        <v>0</v>
      </c>
      <c r="X127" s="34">
        <f>IF(Single.Stream!$D$130="No",0,X37+X82)</f>
        <v>0</v>
      </c>
      <c r="Y127" s="34">
        <f>IF(Single.Stream!$D$131="No",0,Y37+Y82)</f>
        <v>0</v>
      </c>
      <c r="Z127" s="34">
        <f>IF(Single.Stream!$D$132="No",0,Z37+Z82)</f>
        <v>3.2</v>
      </c>
      <c r="AB127" s="13"/>
    </row>
    <row r="128" spans="1:28" s="9" customFormat="1" x14ac:dyDescent="0.35">
      <c r="A128" s="13" t="str">
        <f t="shared" si="109"/>
        <v>Glass - Clear</v>
      </c>
      <c r="B128" s="215">
        <f>'Important variables and results'!H37</f>
        <v>2.1</v>
      </c>
      <c r="C128" s="34">
        <f>IF(Single.Stream!$D$109="No",0,C38+C83)</f>
        <v>2.1</v>
      </c>
      <c r="D128" s="34">
        <f>IF(Single.Stream!$D$110="No",0,D38+D83)</f>
        <v>2.1</v>
      </c>
      <c r="E128" s="35">
        <f>IF(Single.Stream!$D$111="No",0,E38+E83)</f>
        <v>0</v>
      </c>
      <c r="F128" s="34">
        <f>IF(Single.Stream!$D$112="No",0,F38+F83)</f>
        <v>2.1</v>
      </c>
      <c r="G128" s="34">
        <f>IF(Single.Stream!$D$113="No",0,G38+G83)</f>
        <v>2.1</v>
      </c>
      <c r="H128" s="34">
        <f>IF(Single.Stream!$D$114="No",0,H38+H83)</f>
        <v>2.1</v>
      </c>
      <c r="I128" s="35">
        <f>IF(Single.Stream!$D$115="No",0,I38+I83)</f>
        <v>0</v>
      </c>
      <c r="J128" s="36">
        <f>IF(Single.Stream!$D$116="No",0,J38+J83)</f>
        <v>0</v>
      </c>
      <c r="K128" s="37">
        <f>IF(Single.Stream!$D$117="No",0,K38+K83)</f>
        <v>0</v>
      </c>
      <c r="L128" s="34">
        <f>IF(Single.Stream!$D$118="No",0,L38+L83)</f>
        <v>2.1</v>
      </c>
      <c r="M128" s="36">
        <f>IF(Single.Stream!$D$119="No",0,M38+M83)</f>
        <v>2.0369999999999999</v>
      </c>
      <c r="N128" s="34">
        <f>IF(Single.Stream!$D$120="No",0,N38+N83)</f>
        <v>0</v>
      </c>
      <c r="O128" s="37">
        <f>IF(Single.Stream!$D$121="No",0,O38+O83)</f>
        <v>0</v>
      </c>
      <c r="P128" s="34">
        <f>IF(Single.Stream!$D$122="No",0,P38+P83)</f>
        <v>0.12411000000000016</v>
      </c>
      <c r="Q128" s="34">
        <f>IF(Single.Stream!$D$123="No",0,Q38+Q83)</f>
        <v>0</v>
      </c>
      <c r="R128" s="34">
        <f>IF(Single.Stream!$D$124="No",0,R38+R83)</f>
        <v>0.12411000000000016</v>
      </c>
      <c r="S128" s="34">
        <f>IF(Single.Stream!$D$125="No",0,S38+S83)</f>
        <v>0</v>
      </c>
      <c r="T128" s="34">
        <f>IF(Single.Stream!$D$126="No",0,T38+T83)</f>
        <v>0.12411000000000016</v>
      </c>
      <c r="U128" s="34">
        <f>IF(Single.Stream!$D$127="No",0,U38+U83)</f>
        <v>0</v>
      </c>
      <c r="V128" s="34">
        <f>IF(Single.Stream!$D$128="No",0,V38+V83)</f>
        <v>0.12411000000000016</v>
      </c>
      <c r="W128" s="35">
        <f>IF(Single.Stream!$D$129="No",0,W38+W83)</f>
        <v>0</v>
      </c>
      <c r="X128" s="34">
        <f>IF(Single.Stream!$D$130="No",0,X38+X83)</f>
        <v>0</v>
      </c>
      <c r="Y128" s="34">
        <f>IF(Single.Stream!$D$131="No",0,Y38+Y83)</f>
        <v>0</v>
      </c>
      <c r="Z128" s="34">
        <f>IF(Single.Stream!$D$132="No",0,Z38+Z83)</f>
        <v>2.1</v>
      </c>
      <c r="AB128" s="13"/>
    </row>
    <row r="129" spans="1:28" s="9" customFormat="1" x14ac:dyDescent="0.35">
      <c r="A129" s="13" t="str">
        <f t="shared" si="109"/>
        <v>Mixed Glass</v>
      </c>
      <c r="B129" s="215">
        <f>'Important variables and results'!H38</f>
        <v>9.9999999999999995E-7</v>
      </c>
      <c r="C129" s="34">
        <f>IF(Single.Stream!$D$109="No",0,C39+C84)</f>
        <v>9.9999999999999995E-7</v>
      </c>
      <c r="D129" s="34">
        <f>IF(Single.Stream!$D$110="No",0,D39+D84)</f>
        <v>9.9999999999999995E-7</v>
      </c>
      <c r="E129" s="35">
        <f>IF(Single.Stream!$D$111="No",0,E39+E84)</f>
        <v>0</v>
      </c>
      <c r="F129" s="34">
        <f>IF(Single.Stream!$D$112="No",0,F39+F84)</f>
        <v>9.9999999999999995E-7</v>
      </c>
      <c r="G129" s="34">
        <f>IF(Single.Stream!$D$113="No",0,G39+G84)</f>
        <v>9.9999999999999995E-7</v>
      </c>
      <c r="H129" s="34">
        <f>IF(Single.Stream!$D$114="No",0,H39+H84)</f>
        <v>9.9999999999999995E-7</v>
      </c>
      <c r="I129" s="35">
        <f>IF(Single.Stream!$D$115="No",0,I39+I84)</f>
        <v>0</v>
      </c>
      <c r="J129" s="36">
        <f>IF(Single.Stream!$D$116="No",0,J39+J84)</f>
        <v>0</v>
      </c>
      <c r="K129" s="37">
        <f>IF(Single.Stream!$D$117="No",0,K39+K84)</f>
        <v>0</v>
      </c>
      <c r="L129" s="34">
        <f>IF(Single.Stream!$D$118="No",0,L39+L84)</f>
        <v>9.9999999999999995E-7</v>
      </c>
      <c r="M129" s="36">
        <f>IF(Single.Stream!$D$119="No",0,M39+M84)</f>
        <v>9.7000000000000003E-7</v>
      </c>
      <c r="N129" s="34">
        <f>IF(Single.Stream!$D$120="No",0,N39+N84)</f>
        <v>0</v>
      </c>
      <c r="O129" s="37">
        <f>IF(Single.Stream!$D$121="No",0,O39+O84)</f>
        <v>0</v>
      </c>
      <c r="P129" s="34">
        <f>IF(Single.Stream!$D$122="No",0,P39+P84)</f>
        <v>5.9099999999999927E-8</v>
      </c>
      <c r="Q129" s="34">
        <f>IF(Single.Stream!$D$123="No",0,Q39+Q84)</f>
        <v>0</v>
      </c>
      <c r="R129" s="34">
        <f>IF(Single.Stream!$D$124="No",0,R39+R84)</f>
        <v>5.9099999999999927E-8</v>
      </c>
      <c r="S129" s="34">
        <f>IF(Single.Stream!$D$125="No",0,S39+S84)</f>
        <v>0</v>
      </c>
      <c r="T129" s="34">
        <f>IF(Single.Stream!$D$126="No",0,T39+T84)</f>
        <v>5.9099999999999927E-8</v>
      </c>
      <c r="U129" s="34">
        <f>IF(Single.Stream!$D$127="No",0,U39+U84)</f>
        <v>0</v>
      </c>
      <c r="V129" s="34">
        <f>IF(Single.Stream!$D$128="No",0,V39+V84)</f>
        <v>5.9099999999999927E-8</v>
      </c>
      <c r="W129" s="35">
        <f>IF(Single.Stream!$D$129="No",0,W39+W84)</f>
        <v>0</v>
      </c>
      <c r="X129" s="34">
        <f>IF(Single.Stream!$D$130="No",0,X39+X84)</f>
        <v>0</v>
      </c>
      <c r="Y129" s="34">
        <f>IF(Single.Stream!$D$131="No",0,Y39+Y84)</f>
        <v>0</v>
      </c>
      <c r="Z129" s="34">
        <f>IF(Single.Stream!$D$132="No",0,Z39+Z84)</f>
        <v>9.9999999999999995E-7</v>
      </c>
      <c r="AB129" s="13"/>
    </row>
    <row r="130" spans="1:28" s="9" customFormat="1" x14ac:dyDescent="0.35">
      <c r="A130" s="13" t="str">
        <f t="shared" si="109"/>
        <v>Glass - Non-recyclable</v>
      </c>
      <c r="B130" s="215">
        <f>'Important variables and results'!H39</f>
        <v>9.9999999999999995E-7</v>
      </c>
      <c r="C130" s="34">
        <f>IF(Single.Stream!$D$109="No",0,C40+C85)</f>
        <v>9.9999999999999995E-7</v>
      </c>
      <c r="D130" s="34">
        <f>IF(Single.Stream!$D$110="No",0,D40+D85)</f>
        <v>9.9999999999999995E-7</v>
      </c>
      <c r="E130" s="35">
        <f>IF(Single.Stream!$D$111="No",0,E40+E85)</f>
        <v>0</v>
      </c>
      <c r="F130" s="34">
        <f>IF(Single.Stream!$D$112="No",0,F40+F85)</f>
        <v>9.9999999999999995E-7</v>
      </c>
      <c r="G130" s="34">
        <f>IF(Single.Stream!$D$113="No",0,G40+G85)</f>
        <v>9.9999999999999995E-7</v>
      </c>
      <c r="H130" s="34">
        <f>IF(Single.Stream!$D$114="No",0,H40+H85)</f>
        <v>9.9999999999999995E-7</v>
      </c>
      <c r="I130" s="35">
        <f>IF(Single.Stream!$D$115="No",0,I40+I85)</f>
        <v>0</v>
      </c>
      <c r="J130" s="36">
        <f>IF(Single.Stream!$D$116="No",0,J40+J85)</f>
        <v>0</v>
      </c>
      <c r="K130" s="37">
        <f>IF(Single.Stream!$D$117="No",0,K40+K85)</f>
        <v>0</v>
      </c>
      <c r="L130" s="34">
        <f>IF(Single.Stream!$D$118="No",0,L40+L85)</f>
        <v>9.9999999999999995E-7</v>
      </c>
      <c r="M130" s="36">
        <f>IF(Single.Stream!$D$119="No",0,M40+M85)</f>
        <v>9.7000000000000003E-7</v>
      </c>
      <c r="N130" s="34">
        <f>IF(Single.Stream!$D$120="No",0,N40+N85)</f>
        <v>0</v>
      </c>
      <c r="O130" s="37">
        <f>IF(Single.Stream!$D$121="No",0,O40+O85)</f>
        <v>0</v>
      </c>
      <c r="P130" s="34">
        <f>IF(Single.Stream!$D$122="No",0,P40+P85)</f>
        <v>5.9099999999999927E-8</v>
      </c>
      <c r="Q130" s="34">
        <f>IF(Single.Stream!$D$123="No",0,Q40+Q85)</f>
        <v>0</v>
      </c>
      <c r="R130" s="34">
        <f>IF(Single.Stream!$D$124="No",0,R40+R85)</f>
        <v>5.9099999999999927E-8</v>
      </c>
      <c r="S130" s="34">
        <f>IF(Single.Stream!$D$125="No",0,S40+S85)</f>
        <v>0</v>
      </c>
      <c r="T130" s="34">
        <f>IF(Single.Stream!$D$126="No",0,T40+T85)</f>
        <v>5.9099999999999927E-8</v>
      </c>
      <c r="U130" s="34">
        <f>IF(Single.Stream!$D$127="No",0,U40+U85)</f>
        <v>0</v>
      </c>
      <c r="V130" s="34">
        <f>IF(Single.Stream!$D$128="No",0,V40+V85)</f>
        <v>5.9099999999999927E-8</v>
      </c>
      <c r="W130" s="35">
        <f>IF(Single.Stream!$D$129="No",0,W40+W85)</f>
        <v>0</v>
      </c>
      <c r="X130" s="34">
        <f>IF(Single.Stream!$D$130="No",0,X40+X85)</f>
        <v>0</v>
      </c>
      <c r="Y130" s="34">
        <f>IF(Single.Stream!$D$131="No",0,Y40+Y85)</f>
        <v>0</v>
      </c>
      <c r="Z130" s="34">
        <f>IF(Single.Stream!$D$132="No",0,Z40+Z85)</f>
        <v>9.9999999999999995E-7</v>
      </c>
      <c r="AB130" s="13"/>
    </row>
    <row r="131" spans="1:28" s="9" customFormat="1" x14ac:dyDescent="0.35">
      <c r="A131" s="13" t="str">
        <f t="shared" si="109"/>
        <v>Misc. Organic</v>
      </c>
      <c r="B131" s="215">
        <f>'Important variables and results'!H40</f>
        <v>9.9999999999999995E-7</v>
      </c>
      <c r="C131" s="34">
        <f>IF(Single.Stream!$D$109="No",0,C41+C86)</f>
        <v>9.9999999999999995E-7</v>
      </c>
      <c r="D131" s="34">
        <f>IF(Single.Stream!$D$110="No",0,D41+D86)</f>
        <v>9.9999999999999995E-7</v>
      </c>
      <c r="E131" s="35">
        <f>IF(Single.Stream!$D$111="No",0,E41+E86)</f>
        <v>0</v>
      </c>
      <c r="F131" s="34">
        <f>IF(Single.Stream!$D$112="No",0,F41+F86)</f>
        <v>9.9999999999999995E-7</v>
      </c>
      <c r="G131" s="34">
        <f>IF(Single.Stream!$D$113="No",0,G41+G86)</f>
        <v>9.9999999999999995E-7</v>
      </c>
      <c r="H131" s="34">
        <f>IF(Single.Stream!$D$114="No",0,H41+H86)</f>
        <v>9.9999999999999995E-7</v>
      </c>
      <c r="I131" s="35">
        <f>IF(Single.Stream!$D$115="No",0,I41+I86)</f>
        <v>0</v>
      </c>
      <c r="J131" s="36">
        <f>IF(Single.Stream!$D$116="No",0,J41+J86)</f>
        <v>0</v>
      </c>
      <c r="K131" s="37">
        <f>IF(Single.Stream!$D$117="No",0,K41+K86)</f>
        <v>0</v>
      </c>
      <c r="L131" s="34">
        <f>IF(Single.Stream!$D$118="No",0,L41+L86)</f>
        <v>9.9999999999999995E-7</v>
      </c>
      <c r="M131" s="36">
        <f>IF(Single.Stream!$D$119="No",0,M41+M86)</f>
        <v>0</v>
      </c>
      <c r="N131" s="34">
        <f>IF(Single.Stream!$D$120="No",0,N41+N86)</f>
        <v>0</v>
      </c>
      <c r="O131" s="37">
        <f>IF(Single.Stream!$D$121="No",0,O41+O86)</f>
        <v>0</v>
      </c>
      <c r="P131" s="34">
        <f>IF(Single.Stream!$D$122="No",0,P41+P86)</f>
        <v>9.9999999999999995E-7</v>
      </c>
      <c r="Q131" s="34">
        <f>IF(Single.Stream!$D$123="No",0,Q41+Q86)</f>
        <v>0</v>
      </c>
      <c r="R131" s="34">
        <f>IF(Single.Stream!$D$124="No",0,R41+R86)</f>
        <v>9.9999999999999995E-7</v>
      </c>
      <c r="S131" s="34">
        <f>IF(Single.Stream!$D$125="No",0,S41+S86)</f>
        <v>0</v>
      </c>
      <c r="T131" s="34">
        <f>IF(Single.Stream!$D$126="No",0,T41+T86)</f>
        <v>9.9999999999999995E-7</v>
      </c>
      <c r="U131" s="34">
        <f>IF(Single.Stream!$D$127="No",0,U41+U86)</f>
        <v>0</v>
      </c>
      <c r="V131" s="34">
        <f>IF(Single.Stream!$D$128="No",0,V41+V86)</f>
        <v>9.9999999999999995E-7</v>
      </c>
      <c r="W131" s="35">
        <f>IF(Single.Stream!$D$129="No",0,W41+W86)</f>
        <v>0</v>
      </c>
      <c r="X131" s="34">
        <f>IF(Single.Stream!$D$130="No",0,X41+X86)</f>
        <v>0</v>
      </c>
      <c r="Y131" s="34">
        <f>IF(Single.Stream!$D$131="No",0,Y41+Y86)</f>
        <v>0</v>
      </c>
      <c r="Z131" s="34">
        <f>IF(Single.Stream!$D$132="No",0,Z41+Z86)</f>
        <v>9.9999999999999995E-7</v>
      </c>
      <c r="AB131" s="13"/>
    </row>
    <row r="132" spans="1:28" s="9" customFormat="1" x14ac:dyDescent="0.35">
      <c r="A132" s="13" t="str">
        <f t="shared" si="109"/>
        <v>Misc. Inorganic</v>
      </c>
      <c r="B132" s="215">
        <f>'Important variables and results'!H41</f>
        <v>9.9999999999999995E-7</v>
      </c>
      <c r="C132" s="34">
        <f>IF(Single.Stream!$D$109="No",0,C42+C87)</f>
        <v>9.9999999999999995E-7</v>
      </c>
      <c r="D132" s="34">
        <f>IF(Single.Stream!$D$110="No",0,D42+D87)</f>
        <v>9.9999999999999995E-7</v>
      </c>
      <c r="E132" s="35">
        <f>IF(Single.Stream!$D$111="No",0,E42+E87)</f>
        <v>0</v>
      </c>
      <c r="F132" s="34">
        <f>IF(Single.Stream!$D$112="No",0,F42+F87)</f>
        <v>9.9999999999999995E-7</v>
      </c>
      <c r="G132" s="34">
        <f>IF(Single.Stream!$D$113="No",0,G42+G87)</f>
        <v>9.9999999999999995E-7</v>
      </c>
      <c r="H132" s="34">
        <f>IF(Single.Stream!$D$114="No",0,H42+H87)</f>
        <v>9.9999999999999995E-7</v>
      </c>
      <c r="I132" s="35">
        <f>IF(Single.Stream!$D$115="No",0,I42+I87)</f>
        <v>0</v>
      </c>
      <c r="J132" s="36">
        <f>IF(Single.Stream!$D$116="No",0,J42+J87)</f>
        <v>0</v>
      </c>
      <c r="K132" s="37">
        <f>IF(Single.Stream!$D$117="No",0,K42+K87)</f>
        <v>0</v>
      </c>
      <c r="L132" s="34">
        <f>IF(Single.Stream!$D$118="No",0,L42+L87)</f>
        <v>9.9999999999999995E-7</v>
      </c>
      <c r="M132" s="36">
        <f>IF(Single.Stream!$D$119="No",0,M42+M87)</f>
        <v>0</v>
      </c>
      <c r="N132" s="34">
        <f>IF(Single.Stream!$D$120="No",0,N42+N87)</f>
        <v>0</v>
      </c>
      <c r="O132" s="37">
        <f>IF(Single.Stream!$D$121="No",0,O42+O87)</f>
        <v>0</v>
      </c>
      <c r="P132" s="34">
        <f>IF(Single.Stream!$D$122="No",0,P42+P87)</f>
        <v>9.9999999999999995E-7</v>
      </c>
      <c r="Q132" s="34">
        <f>IF(Single.Stream!$D$123="No",0,Q42+Q87)</f>
        <v>0</v>
      </c>
      <c r="R132" s="34">
        <f>IF(Single.Stream!$D$124="No",0,R42+R87)</f>
        <v>9.9999999999999995E-7</v>
      </c>
      <c r="S132" s="34">
        <f>IF(Single.Stream!$D$125="No",0,S42+S87)</f>
        <v>0</v>
      </c>
      <c r="T132" s="34">
        <f>IF(Single.Stream!$D$126="No",0,T42+T87)</f>
        <v>9.9999999999999995E-7</v>
      </c>
      <c r="U132" s="34">
        <f>IF(Single.Stream!$D$127="No",0,U42+U87)</f>
        <v>0</v>
      </c>
      <c r="V132" s="34">
        <f>IF(Single.Stream!$D$128="No",0,V42+V87)</f>
        <v>9.9999999999999995E-7</v>
      </c>
      <c r="W132" s="35">
        <f>IF(Single.Stream!$D$129="No",0,W42+W87)</f>
        <v>0</v>
      </c>
      <c r="X132" s="34">
        <f>IF(Single.Stream!$D$130="No",0,X42+X87)</f>
        <v>0</v>
      </c>
      <c r="Y132" s="34">
        <f>IF(Single.Stream!$D$131="No",0,Y42+Y87)</f>
        <v>0</v>
      </c>
      <c r="Z132" s="34">
        <f>IF(Single.Stream!$D$132="No",0,Z42+Z87)</f>
        <v>9.9999999999999995E-7</v>
      </c>
      <c r="AB132" s="13"/>
    </row>
    <row r="133" spans="1:28" s="9" customFormat="1" x14ac:dyDescent="0.35">
      <c r="A133" s="13" t="str">
        <f t="shared" si="109"/>
        <v>E-waste</v>
      </c>
      <c r="B133" s="215">
        <f>'Important variables and results'!H42</f>
        <v>9.9999999999999995E-7</v>
      </c>
      <c r="C133" s="34">
        <f>IF(Single.Stream!$D$109="No",0,C43+C88)</f>
        <v>9.9999999999999995E-7</v>
      </c>
      <c r="D133" s="34">
        <f>IF(Single.Stream!$D$110="No",0,D43+D88)</f>
        <v>9.9999999999999995E-7</v>
      </c>
      <c r="E133" s="42">
        <f>IF(Single.Stream!$D$111="No",0,E43+E88)</f>
        <v>0</v>
      </c>
      <c r="F133" s="34">
        <f>IF(Single.Stream!$D$112="No",0,F43+F88)</f>
        <v>9.9999999999999995E-7</v>
      </c>
      <c r="G133" s="34">
        <f>IF(Single.Stream!$D$113="No",0,G43+G88)</f>
        <v>9.9999999999999995E-7</v>
      </c>
      <c r="H133" s="34">
        <f>IF(Single.Stream!$D$114="No",0,H43+H88)</f>
        <v>9.9999999999999995E-7</v>
      </c>
      <c r="I133" s="42">
        <f>IF(Single.Stream!$D$115="No",0,I43+I88)</f>
        <v>0</v>
      </c>
      <c r="J133" s="44">
        <f>IF(Single.Stream!$D$116="No",0,J43+J88)</f>
        <v>0</v>
      </c>
      <c r="K133" s="41">
        <f>IF(Single.Stream!$D$117="No",0,K43+K88)</f>
        <v>0</v>
      </c>
      <c r="L133" s="34">
        <f>IF(Single.Stream!$D$118="No",0,L43+L88)</f>
        <v>9.9999999999999995E-7</v>
      </c>
      <c r="M133" s="44">
        <f>IF(Single.Stream!$D$119="No",0,M43+M88)</f>
        <v>0</v>
      </c>
      <c r="N133" s="40">
        <f>IF(Single.Stream!$D$120="No",0,N43+N88)</f>
        <v>0</v>
      </c>
      <c r="O133" s="41">
        <f>IF(Single.Stream!$D$121="No",0,O43+O88)</f>
        <v>0</v>
      </c>
      <c r="P133" s="34">
        <f>IF(Single.Stream!$D$122="No",0,P43+P88)</f>
        <v>9.9999999999999995E-7</v>
      </c>
      <c r="Q133" s="34">
        <f>IF(Single.Stream!$D$123="No",0,Q43+Q88)</f>
        <v>0</v>
      </c>
      <c r="R133" s="34">
        <f>IF(Single.Stream!$D$124="No",0,R43+R88)</f>
        <v>9.9999999999999995E-7</v>
      </c>
      <c r="S133" s="34">
        <f>IF(Single.Stream!$D$125="No",0,S43+S88)</f>
        <v>0</v>
      </c>
      <c r="T133" s="34">
        <f>IF(Single.Stream!$D$126="No",0,T43+T88)</f>
        <v>9.9999999999999995E-7</v>
      </c>
      <c r="U133" s="34">
        <f>IF(Single.Stream!$D$127="No",0,U43+U88)</f>
        <v>0</v>
      </c>
      <c r="V133" s="34">
        <f>IF(Single.Stream!$D$128="No",0,V43+V88)</f>
        <v>9.9999999999999995E-7</v>
      </c>
      <c r="W133" s="42">
        <f>IF(Single.Stream!$D$129="No",0,W43+W88)</f>
        <v>0</v>
      </c>
      <c r="X133" s="34">
        <f>IF(Single.Stream!$D$130="No",0,X43+X88)</f>
        <v>0</v>
      </c>
      <c r="Y133" s="34">
        <f>IF(Single.Stream!$D$131="No",0,Y43+Y88)</f>
        <v>0</v>
      </c>
      <c r="Z133" s="34">
        <f>IF(Single.Stream!$D$132="No",0,Z43+Z88)</f>
        <v>9.9999999999999995E-7</v>
      </c>
      <c r="AB133" s="13"/>
    </row>
    <row r="134" spans="1:28" s="25" customFormat="1" x14ac:dyDescent="0.35">
      <c r="A134" s="25" t="s">
        <v>92</v>
      </c>
      <c r="B134" s="43">
        <f>SUM(B93:B133)</f>
        <v>100.00002499999995</v>
      </c>
      <c r="C134" s="43">
        <f t="shared" ref="C134:Z134" si="110">SUM(C93:C133)</f>
        <v>100.00002499999995</v>
      </c>
      <c r="D134" s="43">
        <f t="shared" si="110"/>
        <v>100.00002499999995</v>
      </c>
      <c r="E134" s="43">
        <f t="shared" si="110"/>
        <v>4.8600000000000003</v>
      </c>
      <c r="F134" s="43">
        <f t="shared" si="110"/>
        <v>95.140024999999952</v>
      </c>
      <c r="G134" s="43">
        <f t="shared" si="110"/>
        <v>67.280024999999966</v>
      </c>
      <c r="H134" s="43">
        <f t="shared" si="110"/>
        <v>32.651022449999992</v>
      </c>
      <c r="I134" s="43">
        <f t="shared" si="110"/>
        <v>0</v>
      </c>
      <c r="J134" s="43">
        <f t="shared" si="110"/>
        <v>0</v>
      </c>
      <c r="K134" s="43">
        <f t="shared" si="110"/>
        <v>68.050012959499995</v>
      </c>
      <c r="L134" s="43">
        <f t="shared" si="110"/>
        <v>27.090012040500007</v>
      </c>
      <c r="M134" s="43">
        <f t="shared" si="110"/>
        <v>12.756002089999999</v>
      </c>
      <c r="N134" s="43">
        <f t="shared" si="110"/>
        <v>0</v>
      </c>
      <c r="O134" s="43">
        <f t="shared" si="110"/>
        <v>0</v>
      </c>
      <c r="P134" s="43">
        <f t="shared" si="110"/>
        <v>15.036290154199996</v>
      </c>
      <c r="Q134" s="43">
        <f t="shared" si="110"/>
        <v>0</v>
      </c>
      <c r="R134" s="43">
        <f t="shared" si="110"/>
        <v>11.415729154199996</v>
      </c>
      <c r="S134" s="43">
        <f t="shared" si="110"/>
        <v>0</v>
      </c>
      <c r="T134" s="43">
        <f t="shared" si="110"/>
        <v>8.3822861541999973</v>
      </c>
      <c r="U134" s="43">
        <f t="shared" si="110"/>
        <v>0</v>
      </c>
      <c r="V134" s="43">
        <f t="shared" si="110"/>
        <v>4.6582851742000004</v>
      </c>
      <c r="W134" s="43">
        <f t="shared" si="110"/>
        <v>0</v>
      </c>
      <c r="X134" s="43">
        <f t="shared" si="110"/>
        <v>0</v>
      </c>
      <c r="Y134" s="43">
        <f t="shared" si="110"/>
        <v>17.760006919999995</v>
      </c>
      <c r="Z134" s="43">
        <f t="shared" si="110"/>
        <v>100.00002499999995</v>
      </c>
    </row>
    <row r="135" spans="1:28" s="9" customFormat="1" x14ac:dyDescent="0.35"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8"/>
      <c r="Q135" s="38"/>
      <c r="R135" s="34"/>
      <c r="S135" s="34"/>
    </row>
    <row r="136" spans="1:28" s="9" customFormat="1" x14ac:dyDescent="0.35">
      <c r="A136" s="14" t="s">
        <v>44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4"/>
      <c r="S136" s="34"/>
    </row>
    <row r="137" spans="1:28" s="45" customFormat="1" ht="29" x14ac:dyDescent="0.35">
      <c r="A137" s="82"/>
      <c r="C137" s="46" t="str">
        <f t="shared" ref="C137:X137" si="111">C47</f>
        <v>Drum Feeder</v>
      </c>
      <c r="D137" s="46" t="str">
        <f t="shared" si="111"/>
        <v>Manual Sort 1 (Negative)</v>
      </c>
      <c r="E137" s="83" t="str">
        <f>E47</f>
        <v>Vacuum</v>
      </c>
      <c r="F137" s="46" t="str">
        <f t="shared" si="111"/>
        <v>Disc Screen 1</v>
      </c>
      <c r="G137" s="46" t="str">
        <f t="shared" si="111"/>
        <v>Disc Screen 2</v>
      </c>
      <c r="H137" s="46" t="str">
        <f t="shared" si="111"/>
        <v>Disc Screen 3</v>
      </c>
      <c r="I137" s="83" t="str">
        <f t="shared" si="111"/>
        <v>Manual Sort 2-DS2 (Negative)</v>
      </c>
      <c r="J137" s="84" t="str">
        <f t="shared" si="111"/>
        <v>Manual Sort 2-DS3 (Negative)</v>
      </c>
      <c r="K137" s="85" t="str">
        <f t="shared" si="111"/>
        <v>1-Way Baler</v>
      </c>
      <c r="L137" s="46" t="str">
        <f t="shared" si="111"/>
        <v>Glass Breaker Screen</v>
      </c>
      <c r="M137" s="84" t="str">
        <f t="shared" si="111"/>
        <v>Air Knife</v>
      </c>
      <c r="N137" s="86" t="str">
        <f t="shared" si="111"/>
        <v>Optical Glass</v>
      </c>
      <c r="O137" s="85" t="str">
        <f t="shared" si="111"/>
        <v>Manual Sort 3-G (Negative)</v>
      </c>
      <c r="P137" s="87" t="str">
        <f t="shared" si="111"/>
        <v>Optical PET</v>
      </c>
      <c r="Q137" s="87" t="str">
        <f t="shared" si="111"/>
        <v>Manual Sort 4-PET (Negative)</v>
      </c>
      <c r="R137" s="87" t="str">
        <f t="shared" si="111"/>
        <v>Optical HDPE</v>
      </c>
      <c r="S137" s="87" t="str">
        <f t="shared" si="111"/>
        <v>Manual Sort 4-HDPE (Negative)</v>
      </c>
      <c r="T137" s="87" t="str">
        <f t="shared" si="111"/>
        <v>Magnet</v>
      </c>
      <c r="U137" s="87" t="str">
        <f t="shared" si="111"/>
        <v>Manual Sort 4-Fe (Negative)</v>
      </c>
      <c r="V137" s="87" t="str">
        <f t="shared" si="111"/>
        <v>Eddy Current Separator</v>
      </c>
      <c r="W137" s="88" t="str">
        <f t="shared" si="111"/>
        <v>Manual Sort 4-Al (Negative)</v>
      </c>
      <c r="X137" s="87" t="str">
        <f t="shared" si="111"/>
        <v>Manual Sort 5 (Positive)</v>
      </c>
      <c r="Y137" s="87" t="str">
        <f t="shared" ref="Y137:Z137" si="112">Y47</f>
        <v>2-Way Baler</v>
      </c>
      <c r="Z137" s="87" t="str">
        <f t="shared" si="112"/>
        <v>Rolling Stock</v>
      </c>
    </row>
    <row r="138" spans="1:28" s="90" customFormat="1" ht="31" x14ac:dyDescent="0.35">
      <c r="A138" s="89" t="str">
        <f>Single.Stream!E107</f>
        <v>Mass Used in Resource Calculations</v>
      </c>
      <c r="C138" s="91" t="str">
        <f t="array" ref="C138:Z138">TRANSPOSE(Single.Stream!E109:E132)</f>
        <v>Total Throughput</v>
      </c>
      <c r="D138" s="91" t="str">
        <v>Total Throughput</v>
      </c>
      <c r="E138" s="92" t="str">
        <v>Total Throughput</v>
      </c>
      <c r="F138" s="91" t="str">
        <v>Total Throughput</v>
      </c>
      <c r="G138" s="91" t="str">
        <v>Total Throughput</v>
      </c>
      <c r="H138" s="91" t="str">
        <v>Total Throughput</v>
      </c>
      <c r="I138" s="92" t="str">
        <v>Total Throughput</v>
      </c>
      <c r="J138" s="93" t="str">
        <v>Total Throughput</v>
      </c>
      <c r="K138" s="94" t="str">
        <v>Total Throughput</v>
      </c>
      <c r="L138" s="91" t="str">
        <v>Removed</v>
      </c>
      <c r="M138" s="93" t="str">
        <v>Total Throughput</v>
      </c>
      <c r="N138" s="91" t="str">
        <v>Total Throughput</v>
      </c>
      <c r="O138" s="94" t="str">
        <v>Total Throughput</v>
      </c>
      <c r="P138" s="95" t="str">
        <v>Removed</v>
      </c>
      <c r="Q138" s="95" t="str">
        <v>Total Throughput</v>
      </c>
      <c r="R138" s="96" t="str">
        <v>Removed</v>
      </c>
      <c r="S138" s="96" t="str">
        <v>Total Throughput</v>
      </c>
      <c r="T138" s="90" t="str">
        <v>Removed</v>
      </c>
      <c r="U138" s="90" t="str">
        <v>Total Throughput</v>
      </c>
      <c r="V138" s="90" t="str">
        <v>Removed</v>
      </c>
      <c r="W138" s="97" t="str">
        <v>Total Throughput</v>
      </c>
      <c r="X138" s="90" t="str">
        <v>Total Throughput</v>
      </c>
      <c r="Y138" s="90" t="str">
        <v>Total Throughput</v>
      </c>
      <c r="Z138" s="90" t="str">
        <v>Total Throughput</v>
      </c>
    </row>
    <row r="139" spans="1:28" s="9" customFormat="1" x14ac:dyDescent="0.35">
      <c r="A139" s="13" t="str">
        <f t="shared" ref="A139:A179" si="113">A3</f>
        <v>Yard Trimmings, Leaves</v>
      </c>
      <c r="C139" s="34">
        <f>IF(Single.Stream!$D$109="No",0,IF(C$138=Common!$B$116,C3,IF(C$138=Common!$B$118,C93,IF(C$138=Common!$B$117,C48,"ERROR"))))</f>
        <v>9.9999999999999995E-7</v>
      </c>
      <c r="D139" s="34">
        <f>IF(Single.Stream!$D$110="No",0,IF(D$138=Common!$B$116,D3,IF(D$138=Common!$B$118,D93,IF(D$138=Common!$B$117,D48,"ERROR"))))</f>
        <v>9.9999999999999995E-7</v>
      </c>
      <c r="E139" s="35">
        <f>IF(Single.Stream!$D$111="No",0,IF(E$138=Common!$B$116,E3,IF(E$138=Common!$B$118,E93,IF(E$138=Common!$B$117,E48,"ERROR"))))</f>
        <v>0</v>
      </c>
      <c r="F139" s="34">
        <f>IF(Single.Stream!$D$112="No",0,IF(F$138=Common!$B$116,F3,IF(F$138=Common!$B$118,F93,IF(F$138=Common!$B$117,F48,"ERROR"))))</f>
        <v>9.9999999999999995E-7</v>
      </c>
      <c r="G139" s="34">
        <f>IF(Single.Stream!$D$113="No",0,IF(G$138=Common!$B$116,G3,IF(G$138=Common!$B$118,G93,IF(G$138=Common!$B$117,G48,"ERROR"))))</f>
        <v>9.9999999999999995E-7</v>
      </c>
      <c r="H139" s="34">
        <f>IF(Single.Stream!$D$114="No",0,IF(H$138=Common!$B$116,H3,IF(H$138=Common!$B$118,H93,IF(H$138=Common!$B$117,H48,"ERROR"))))</f>
        <v>9.9999999999999995E-7</v>
      </c>
      <c r="I139" s="35">
        <f>IF(Single.Stream!$D$115="No",0,IF(I$138=Common!$B$116,I3,IF(I$138=Common!$B$118,I93,IF(I$138=Common!$B$117,I48,"ERROR"))))</f>
        <v>0</v>
      </c>
      <c r="J139" s="36">
        <f>IF(Single.Stream!$D$116="No",0,IF(J$138=Common!$B$116,J3,IF(J$138=Common!$B$118,J93,IF(J$138=Common!$B$117,J48,"ERROR"))))</f>
        <v>0</v>
      </c>
      <c r="K139" s="37">
        <f>IF(Single.Stream!$D$117="No",0,IF(K$138=Common!$B$116,K3,IF(K$138=Common!$B$118,K93,IF(K$138=Common!$B$117,K48,"ERROR"))))</f>
        <v>0</v>
      </c>
      <c r="L139" s="34">
        <f>IF(Single.Stream!$D$118="No",0,IF(L$138=Common!$B$116,L3,IF(L$138=Common!$B$118,L93,IF(L$138=Common!$B$117,L48,"ERROR"))))</f>
        <v>0</v>
      </c>
      <c r="M139" s="36">
        <f>IF(Single.Stream!$D$119="No",0,IF(M$138=Common!$B$116,M3,IF(M$138=Common!$B$118,M93,IF(M$138=Common!$B$117,M48,"ERROR"))))</f>
        <v>0</v>
      </c>
      <c r="N139" s="34">
        <f>IF(Single.Stream!$D$120="No",0,IF(N$138=Common!$B$116,N3,IF(N$138=Common!$B$118,N93,IF(N$138=Common!$B$117,N48,"ERROR"))))</f>
        <v>0</v>
      </c>
      <c r="O139" s="37">
        <f>IF(Single.Stream!$D$121="No",0,IF(O$138=Common!$B$116,O3,IF(O$138=Common!$B$118,O93,IF(O$138=Common!$B$117,O48,"ERROR"))))</f>
        <v>0</v>
      </c>
      <c r="P139" s="34">
        <f>IF(Single.Stream!$D$122="No",0,IF(P$138=Common!$B$116,P3,IF(P$138=Common!$B$118,P93,IF(P$138=Common!$B$117,P48,"ERROR"))))</f>
        <v>0</v>
      </c>
      <c r="Q139" s="34">
        <f>IF(Single.Stream!$D$123="No",0,IF(Q$138=Common!$B$116,Q3,IF(Q$138=Common!$B$118,Q93,IF(Q$138=Common!$B$117,Q48,"ERROR"))))</f>
        <v>0</v>
      </c>
      <c r="R139" s="34">
        <f>IF(Single.Stream!$D$124="No",0,IF(R$138=Common!$B$116,R3,IF(R$138=Common!$B$118,R93,IF(R$138=Common!$B$117,R48,"ERROR"))))</f>
        <v>0</v>
      </c>
      <c r="S139" s="34">
        <f>IF(Single.Stream!$D$125="No",0,IF(S$138=Common!$B$116,S3,IF(S$138=Common!$B$118,S93,IF(S$138=Common!$B$117,S48,"ERROR"))))</f>
        <v>0</v>
      </c>
      <c r="T139" s="34">
        <f>IF(Single.Stream!$D$126="No",0,IF(T$138=Common!$B$116,T3,IF(T$138=Common!$B$118,T93,IF(T$138=Common!$B$117,T48,"ERROR"))))</f>
        <v>0</v>
      </c>
      <c r="U139" s="34">
        <f>IF(Single.Stream!$D$127="No",0,IF(U$138=Common!$B$116,U3,IF(U$138=Common!$B$118,U93,IF(U$138=Common!$B$117,U48,"ERROR"))))</f>
        <v>0</v>
      </c>
      <c r="V139" s="34">
        <f>IF(Single.Stream!$D$128="No",0,IF(V$138=Common!$B$116,V3,IF(V$138=Common!$B$118,V93,IF(V$138=Common!$B$117,V48,"ERROR"))))</f>
        <v>0</v>
      </c>
      <c r="W139" s="35">
        <f>IF(Single.Stream!$D$129="No",0,IF(W$138=Common!$B$116,W3,IF(W$138=Common!$B$118,W93,IF(W$138=Common!$B$117,W48,"ERROR"))))</f>
        <v>0</v>
      </c>
      <c r="X139" s="34">
        <f>IF(Single.Stream!$D$130="No",0,IF(X$138=Common!$B$116,X3,IF(X$138=Common!$B$118,X93,IF(X$138=Common!$B$117,X48,"ERROR"))))</f>
        <v>0</v>
      </c>
      <c r="Y139" s="34">
        <f>IF(Single.Stream!$D$131="No",0,IF(Y$138=Common!$B$116,Y3,IF(Y$138=Common!$B$118,Y93,IF(Y$138=Common!$B$117,Y48,"ERROR"))))</f>
        <v>0</v>
      </c>
      <c r="Z139" s="34">
        <f>IF(Single.Stream!$D$132="No",0,IF(Z$138=Common!$B$116,Z3,IF(Z$138=Common!$B$118,Z93,IF(Z$138=Common!$B$117,Z48,"ERROR"))))</f>
        <v>9.9999999999999995E-7</v>
      </c>
    </row>
    <row r="140" spans="1:28" s="9" customFormat="1" x14ac:dyDescent="0.35">
      <c r="A140" s="13" t="str">
        <f t="shared" si="113"/>
        <v>Yard Trimmings, Grass</v>
      </c>
      <c r="C140" s="34">
        <f>IF(Single.Stream!$D$109="No",0,IF(C$138=Common!$B$116,C4,IF(C$138=Common!$B$118,C94,IF(C$138=Common!$B$117,C49,"ERROR"))))</f>
        <v>9.9999999999999995E-7</v>
      </c>
      <c r="D140" s="34">
        <f>IF(Single.Stream!$D$110="No",0,IF(D$138=Common!$B$116,D4,IF(D$138=Common!$B$118,D94,IF(D$138=Common!$B$117,D49,"ERROR"))))</f>
        <v>9.9999999999999995E-7</v>
      </c>
      <c r="E140" s="35">
        <f>IF(Single.Stream!$D$111="No",0,IF(E$138=Common!$B$116,E4,IF(E$138=Common!$B$118,E94,IF(E$138=Common!$B$117,E49,"ERROR"))))</f>
        <v>0</v>
      </c>
      <c r="F140" s="34">
        <f>IF(Single.Stream!$D$112="No",0,IF(F$138=Common!$B$116,F4,IF(F$138=Common!$B$118,F94,IF(F$138=Common!$B$117,F49,"ERROR"))))</f>
        <v>9.9999999999999995E-7</v>
      </c>
      <c r="G140" s="34">
        <f>IF(Single.Stream!$D$113="No",0,IF(G$138=Common!$B$116,G4,IF(G$138=Common!$B$118,G94,IF(G$138=Common!$B$117,G49,"ERROR"))))</f>
        <v>9.9999999999999995E-7</v>
      </c>
      <c r="H140" s="34">
        <f>IF(Single.Stream!$D$114="No",0,IF(H$138=Common!$B$116,H4,IF(H$138=Common!$B$118,H94,IF(H$138=Common!$B$117,H49,"ERROR"))))</f>
        <v>9.9999999999999995E-7</v>
      </c>
      <c r="I140" s="35">
        <f>IF(Single.Stream!$D$115="No",0,IF(I$138=Common!$B$116,I4,IF(I$138=Common!$B$118,I94,IF(I$138=Common!$B$117,I49,"ERROR"))))</f>
        <v>0</v>
      </c>
      <c r="J140" s="36">
        <f>IF(Single.Stream!$D$116="No",0,IF(J$138=Common!$B$116,J4,IF(J$138=Common!$B$118,J94,IF(J$138=Common!$B$117,J49,"ERROR"))))</f>
        <v>0</v>
      </c>
      <c r="K140" s="37">
        <f>IF(Single.Stream!$D$117="No",0,IF(K$138=Common!$B$116,K4,IF(K$138=Common!$B$118,K94,IF(K$138=Common!$B$117,K49,"ERROR"))))</f>
        <v>0</v>
      </c>
      <c r="L140" s="34">
        <f>IF(Single.Stream!$D$118="No",0,IF(L$138=Common!$B$116,L4,IF(L$138=Common!$B$118,L94,IF(L$138=Common!$B$117,L49,"ERROR"))))</f>
        <v>0</v>
      </c>
      <c r="M140" s="36">
        <f>IF(Single.Stream!$D$119="No",0,IF(M$138=Common!$B$116,M4,IF(M$138=Common!$B$118,M94,IF(M$138=Common!$B$117,M49,"ERROR"))))</f>
        <v>0</v>
      </c>
      <c r="N140" s="34">
        <f>IF(Single.Stream!$D$120="No",0,IF(N$138=Common!$B$116,N4,IF(N$138=Common!$B$118,N94,IF(N$138=Common!$B$117,N49,"ERROR"))))</f>
        <v>0</v>
      </c>
      <c r="O140" s="37">
        <f>IF(Single.Stream!$D$121="No",0,IF(O$138=Common!$B$116,O4,IF(O$138=Common!$B$118,O94,IF(O$138=Common!$B$117,O49,"ERROR"))))</f>
        <v>0</v>
      </c>
      <c r="P140" s="34">
        <f>IF(Single.Stream!$D$122="No",0,IF(P$138=Common!$B$116,P4,IF(P$138=Common!$B$118,P94,IF(P$138=Common!$B$117,P49,"ERROR"))))</f>
        <v>0</v>
      </c>
      <c r="Q140" s="34">
        <f>IF(Single.Stream!$D$123="No",0,IF(Q$138=Common!$B$116,Q4,IF(Q$138=Common!$B$118,Q94,IF(Q$138=Common!$B$117,Q49,"ERROR"))))</f>
        <v>0</v>
      </c>
      <c r="R140" s="34">
        <f>IF(Single.Stream!$D$124="No",0,IF(R$138=Common!$B$116,R4,IF(R$138=Common!$B$118,R94,IF(R$138=Common!$B$117,R49,"ERROR"))))</f>
        <v>0</v>
      </c>
      <c r="S140" s="34">
        <f>IF(Single.Stream!$D$125="No",0,IF(S$138=Common!$B$116,S4,IF(S$138=Common!$B$118,S94,IF(S$138=Common!$B$117,S49,"ERROR"))))</f>
        <v>0</v>
      </c>
      <c r="T140" s="34">
        <f>IF(Single.Stream!$D$126="No",0,IF(T$138=Common!$B$116,T4,IF(T$138=Common!$B$118,T94,IF(T$138=Common!$B$117,T49,"ERROR"))))</f>
        <v>0</v>
      </c>
      <c r="U140" s="34">
        <f>IF(Single.Stream!$D$127="No",0,IF(U$138=Common!$B$116,U4,IF(U$138=Common!$B$118,U94,IF(U$138=Common!$B$117,U49,"ERROR"))))</f>
        <v>0</v>
      </c>
      <c r="V140" s="34">
        <f>IF(Single.Stream!$D$128="No",0,IF(V$138=Common!$B$116,V4,IF(V$138=Common!$B$118,V94,IF(V$138=Common!$B$117,V49,"ERROR"))))</f>
        <v>0</v>
      </c>
      <c r="W140" s="35">
        <f>IF(Single.Stream!$D$129="No",0,IF(W$138=Common!$B$116,W4,IF(W$138=Common!$B$118,W94,IF(W$138=Common!$B$117,W49,"ERROR"))))</f>
        <v>0</v>
      </c>
      <c r="X140" s="34">
        <f>IF(Single.Stream!$D$130="No",0,IF(X$138=Common!$B$116,X4,IF(X$138=Common!$B$118,X94,IF(X$138=Common!$B$117,X49,"ERROR"))))</f>
        <v>0</v>
      </c>
      <c r="Y140" s="34">
        <f>IF(Single.Stream!$D$131="No",0,IF(Y$138=Common!$B$116,Y4,IF(Y$138=Common!$B$118,Y94,IF(Y$138=Common!$B$117,Y49,"ERROR"))))</f>
        <v>0</v>
      </c>
      <c r="Z140" s="34">
        <f>IF(Single.Stream!$D$132="No",0,IF(Z$138=Common!$B$116,Z4,IF(Z$138=Common!$B$118,Z94,IF(Z$138=Common!$B$117,Z49,"ERROR"))))</f>
        <v>9.9999999999999995E-7</v>
      </c>
    </row>
    <row r="141" spans="1:28" s="9" customFormat="1" x14ac:dyDescent="0.35">
      <c r="A141" s="13" t="str">
        <f t="shared" si="113"/>
        <v>Yard Trimmings, Branches</v>
      </c>
      <c r="C141" s="34">
        <f>IF(Single.Stream!$D$109="No",0,IF(C$138=Common!$B$116,C5,IF(C$138=Common!$B$118,C95,IF(C$138=Common!$B$117,C50,"ERROR"))))</f>
        <v>9.9999999999999995E-7</v>
      </c>
      <c r="D141" s="34">
        <f>IF(Single.Stream!$D$110="No",0,IF(D$138=Common!$B$116,D5,IF(D$138=Common!$B$118,D95,IF(D$138=Common!$B$117,D50,"ERROR"))))</f>
        <v>9.9999999999999995E-7</v>
      </c>
      <c r="E141" s="35">
        <f>IF(Single.Stream!$D$111="No",0,IF(E$138=Common!$B$116,E5,IF(E$138=Common!$B$118,E95,IF(E$138=Common!$B$117,E50,"ERROR"))))</f>
        <v>0</v>
      </c>
      <c r="F141" s="34">
        <f>IF(Single.Stream!$D$112="No",0,IF(F$138=Common!$B$116,F5,IF(F$138=Common!$B$118,F95,IF(F$138=Common!$B$117,F50,"ERROR"))))</f>
        <v>9.9999999999999995E-7</v>
      </c>
      <c r="G141" s="34">
        <f>IF(Single.Stream!$D$113="No",0,IF(G$138=Common!$B$116,G5,IF(G$138=Common!$B$118,G95,IF(G$138=Common!$B$117,G50,"ERROR"))))</f>
        <v>9.9999999999999995E-7</v>
      </c>
      <c r="H141" s="34">
        <f>IF(Single.Stream!$D$114="No",0,IF(H$138=Common!$B$116,H5,IF(H$138=Common!$B$118,H95,IF(H$138=Common!$B$117,H50,"ERROR"))))</f>
        <v>9.9999999999999995E-7</v>
      </c>
      <c r="I141" s="35">
        <f>IF(Single.Stream!$D$115="No",0,IF(I$138=Common!$B$116,I5,IF(I$138=Common!$B$118,I95,IF(I$138=Common!$B$117,I50,"ERROR"))))</f>
        <v>0</v>
      </c>
      <c r="J141" s="36">
        <f>IF(Single.Stream!$D$116="No",0,IF(J$138=Common!$B$116,J5,IF(J$138=Common!$B$118,J95,IF(J$138=Common!$B$117,J50,"ERROR"))))</f>
        <v>0</v>
      </c>
      <c r="K141" s="37">
        <f>IF(Single.Stream!$D$117="No",0,IF(K$138=Common!$B$116,K5,IF(K$138=Common!$B$118,K95,IF(K$138=Common!$B$117,K50,"ERROR"))))</f>
        <v>0</v>
      </c>
      <c r="L141" s="34">
        <f>IF(Single.Stream!$D$118="No",0,IF(L$138=Common!$B$116,L5,IF(L$138=Common!$B$118,L95,IF(L$138=Common!$B$117,L50,"ERROR"))))</f>
        <v>0</v>
      </c>
      <c r="M141" s="36">
        <f>IF(Single.Stream!$D$119="No",0,IF(M$138=Common!$B$116,M5,IF(M$138=Common!$B$118,M95,IF(M$138=Common!$B$117,M50,"ERROR"))))</f>
        <v>0</v>
      </c>
      <c r="N141" s="34">
        <f>IF(Single.Stream!$D$120="No",0,IF(N$138=Common!$B$116,N5,IF(N$138=Common!$B$118,N95,IF(N$138=Common!$B$117,N50,"ERROR"))))</f>
        <v>0</v>
      </c>
      <c r="O141" s="37">
        <f>IF(Single.Stream!$D$121="No",0,IF(O$138=Common!$B$116,O5,IF(O$138=Common!$B$118,O95,IF(O$138=Common!$B$117,O50,"ERROR"))))</f>
        <v>0</v>
      </c>
      <c r="P141" s="34">
        <f>IF(Single.Stream!$D$122="No",0,IF(P$138=Common!$B$116,P5,IF(P$138=Common!$B$118,P95,IF(P$138=Common!$B$117,P50,"ERROR"))))</f>
        <v>0</v>
      </c>
      <c r="Q141" s="34">
        <f>IF(Single.Stream!$D$123="No",0,IF(Q$138=Common!$B$116,Q5,IF(Q$138=Common!$B$118,Q95,IF(Q$138=Common!$B$117,Q50,"ERROR"))))</f>
        <v>0</v>
      </c>
      <c r="R141" s="34">
        <f>IF(Single.Stream!$D$124="No",0,IF(R$138=Common!$B$116,R5,IF(R$138=Common!$B$118,R95,IF(R$138=Common!$B$117,R50,"ERROR"))))</f>
        <v>0</v>
      </c>
      <c r="S141" s="34">
        <f>IF(Single.Stream!$D$125="No",0,IF(S$138=Common!$B$116,S5,IF(S$138=Common!$B$118,S95,IF(S$138=Common!$B$117,S50,"ERROR"))))</f>
        <v>0</v>
      </c>
      <c r="T141" s="34">
        <f>IF(Single.Stream!$D$126="No",0,IF(T$138=Common!$B$116,T5,IF(T$138=Common!$B$118,T95,IF(T$138=Common!$B$117,T50,"ERROR"))))</f>
        <v>0</v>
      </c>
      <c r="U141" s="34">
        <f>IF(Single.Stream!$D$127="No",0,IF(U$138=Common!$B$116,U5,IF(U$138=Common!$B$118,U95,IF(U$138=Common!$B$117,U50,"ERROR"))))</f>
        <v>0</v>
      </c>
      <c r="V141" s="34">
        <f>IF(Single.Stream!$D$128="No",0,IF(V$138=Common!$B$116,V5,IF(V$138=Common!$B$118,V95,IF(V$138=Common!$B$117,V50,"ERROR"))))</f>
        <v>0</v>
      </c>
      <c r="W141" s="35">
        <f>IF(Single.Stream!$D$129="No",0,IF(W$138=Common!$B$116,W5,IF(W$138=Common!$B$118,W95,IF(W$138=Common!$B$117,W50,"ERROR"))))</f>
        <v>0</v>
      </c>
      <c r="X141" s="34">
        <f>IF(Single.Stream!$D$130="No",0,IF(X$138=Common!$B$116,X5,IF(X$138=Common!$B$118,X95,IF(X$138=Common!$B$117,X50,"ERROR"))))</f>
        <v>0</v>
      </c>
      <c r="Y141" s="34">
        <f>IF(Single.Stream!$D$131="No",0,IF(Y$138=Common!$B$116,Y5,IF(Y$138=Common!$B$118,Y95,IF(Y$138=Common!$B$117,Y50,"ERROR"))))</f>
        <v>0</v>
      </c>
      <c r="Z141" s="34">
        <f>IF(Single.Stream!$D$132="No",0,IF(Z$138=Common!$B$116,Z5,IF(Z$138=Common!$B$118,Z95,IF(Z$138=Common!$B$117,Z50,"ERROR"))))</f>
        <v>9.9999999999999995E-7</v>
      </c>
    </row>
    <row r="142" spans="1:28" s="9" customFormat="1" x14ac:dyDescent="0.35">
      <c r="A142" s="13" t="str">
        <f t="shared" si="113"/>
        <v>Food Waste - Vegetable</v>
      </c>
      <c r="C142" s="34">
        <f>IF(Single.Stream!$D$109="No",0,IF(C$138=Common!$B$116,C6,IF(C$138=Common!$B$118,C96,IF(C$138=Common!$B$117,C51,"ERROR"))))</f>
        <v>9.9999999999999995E-7</v>
      </c>
      <c r="D142" s="34">
        <f>IF(Single.Stream!$D$110="No",0,IF(D$138=Common!$B$116,D6,IF(D$138=Common!$B$118,D96,IF(D$138=Common!$B$117,D51,"ERROR"))))</f>
        <v>9.9999999999999995E-7</v>
      </c>
      <c r="E142" s="35">
        <f>IF(Single.Stream!$D$111="No",0,IF(E$138=Common!$B$116,E6,IF(E$138=Common!$B$118,E96,IF(E$138=Common!$B$117,E51,"ERROR"))))</f>
        <v>0</v>
      </c>
      <c r="F142" s="34">
        <f>IF(Single.Stream!$D$112="No",0,IF(F$138=Common!$B$116,F6,IF(F$138=Common!$B$118,F96,IF(F$138=Common!$B$117,F51,"ERROR"))))</f>
        <v>9.9999999999999995E-7</v>
      </c>
      <c r="G142" s="34">
        <f>IF(Single.Stream!$D$113="No",0,IF(G$138=Common!$B$116,G6,IF(G$138=Common!$B$118,G96,IF(G$138=Common!$B$117,G51,"ERROR"))))</f>
        <v>9.9999999999999995E-7</v>
      </c>
      <c r="H142" s="34">
        <f>IF(Single.Stream!$D$114="No",0,IF(H$138=Common!$B$116,H6,IF(H$138=Common!$B$118,H96,IF(H$138=Common!$B$117,H51,"ERROR"))))</f>
        <v>9.9999999999999995E-7</v>
      </c>
      <c r="I142" s="35">
        <f>IF(Single.Stream!$D$115="No",0,IF(I$138=Common!$B$116,I6,IF(I$138=Common!$B$118,I96,IF(I$138=Common!$B$117,I51,"ERROR"))))</f>
        <v>0</v>
      </c>
      <c r="J142" s="36">
        <f>IF(Single.Stream!$D$116="No",0,IF(J$138=Common!$B$116,J6,IF(J$138=Common!$B$118,J96,IF(J$138=Common!$B$117,J51,"ERROR"))))</f>
        <v>0</v>
      </c>
      <c r="K142" s="37">
        <f>IF(Single.Stream!$D$117="No",0,IF(K$138=Common!$B$116,K6,IF(K$138=Common!$B$118,K96,IF(K$138=Common!$B$117,K51,"ERROR"))))</f>
        <v>0</v>
      </c>
      <c r="L142" s="34">
        <f>IF(Single.Stream!$D$118="No",0,IF(L$138=Common!$B$116,L6,IF(L$138=Common!$B$118,L96,IF(L$138=Common!$B$117,L51,"ERROR"))))</f>
        <v>0</v>
      </c>
      <c r="M142" s="36">
        <f>IF(Single.Stream!$D$119="No",0,IF(M$138=Common!$B$116,M6,IF(M$138=Common!$B$118,M96,IF(M$138=Common!$B$117,M51,"ERROR"))))</f>
        <v>0</v>
      </c>
      <c r="N142" s="34">
        <f>IF(Single.Stream!$D$120="No",0,IF(N$138=Common!$B$116,N6,IF(N$138=Common!$B$118,N96,IF(N$138=Common!$B$117,N51,"ERROR"))))</f>
        <v>0</v>
      </c>
      <c r="O142" s="37">
        <f>IF(Single.Stream!$D$121="No",0,IF(O$138=Common!$B$116,O6,IF(O$138=Common!$B$118,O96,IF(O$138=Common!$B$117,O51,"ERROR"))))</f>
        <v>0</v>
      </c>
      <c r="P142" s="34">
        <f>IF(Single.Stream!$D$122="No",0,IF(P$138=Common!$B$116,P6,IF(P$138=Common!$B$118,P96,IF(P$138=Common!$B$117,P51,"ERROR"))))</f>
        <v>0</v>
      </c>
      <c r="Q142" s="34">
        <f>IF(Single.Stream!$D$123="No",0,IF(Q$138=Common!$B$116,Q6,IF(Q$138=Common!$B$118,Q96,IF(Q$138=Common!$B$117,Q51,"ERROR"))))</f>
        <v>0</v>
      </c>
      <c r="R142" s="34">
        <f>IF(Single.Stream!$D$124="No",0,IF(R$138=Common!$B$116,R6,IF(R$138=Common!$B$118,R96,IF(R$138=Common!$B$117,R51,"ERROR"))))</f>
        <v>0</v>
      </c>
      <c r="S142" s="34">
        <f>IF(Single.Stream!$D$125="No",0,IF(S$138=Common!$B$116,S6,IF(S$138=Common!$B$118,S96,IF(S$138=Common!$B$117,S51,"ERROR"))))</f>
        <v>0</v>
      </c>
      <c r="T142" s="34">
        <f>IF(Single.Stream!$D$126="No",0,IF(T$138=Common!$B$116,T6,IF(T$138=Common!$B$118,T96,IF(T$138=Common!$B$117,T51,"ERROR"))))</f>
        <v>0</v>
      </c>
      <c r="U142" s="34">
        <f>IF(Single.Stream!$D$127="No",0,IF(U$138=Common!$B$116,U6,IF(U$138=Common!$B$118,U96,IF(U$138=Common!$B$117,U51,"ERROR"))))</f>
        <v>0</v>
      </c>
      <c r="V142" s="34">
        <f>IF(Single.Stream!$D$128="No",0,IF(V$138=Common!$B$116,V6,IF(V$138=Common!$B$118,V96,IF(V$138=Common!$B$117,V51,"ERROR"))))</f>
        <v>0</v>
      </c>
      <c r="W142" s="35">
        <f>IF(Single.Stream!$D$129="No",0,IF(W$138=Common!$B$116,W6,IF(W$138=Common!$B$118,W96,IF(W$138=Common!$B$117,W51,"ERROR"))))</f>
        <v>0</v>
      </c>
      <c r="X142" s="34">
        <f>IF(Single.Stream!$D$130="No",0,IF(X$138=Common!$B$116,X6,IF(X$138=Common!$B$118,X96,IF(X$138=Common!$B$117,X51,"ERROR"))))</f>
        <v>0</v>
      </c>
      <c r="Y142" s="34">
        <f>IF(Single.Stream!$D$131="No",0,IF(Y$138=Common!$B$116,Y6,IF(Y$138=Common!$B$118,Y96,IF(Y$138=Common!$B$117,Y51,"ERROR"))))</f>
        <v>0</v>
      </c>
      <c r="Z142" s="34">
        <f>IF(Single.Stream!$D$132="No",0,IF(Z$138=Common!$B$116,Z6,IF(Z$138=Common!$B$118,Z96,IF(Z$138=Common!$B$117,Z51,"ERROR"))))</f>
        <v>9.9999999999999995E-7</v>
      </c>
    </row>
    <row r="143" spans="1:28" s="9" customFormat="1" x14ac:dyDescent="0.35">
      <c r="A143" s="13" t="str">
        <f t="shared" si="113"/>
        <v>Food Waste - Non-Vegetable</v>
      </c>
      <c r="C143" s="34">
        <f>IF(Single.Stream!$D$109="No",0,IF(C$138=Common!$B$116,C7,IF(C$138=Common!$B$118,C97,IF(C$138=Common!$B$117,C52,"ERROR"))))</f>
        <v>9.9999999999999995E-7</v>
      </c>
      <c r="D143" s="34">
        <f>IF(Single.Stream!$D$110="No",0,IF(D$138=Common!$B$116,D7,IF(D$138=Common!$B$118,D97,IF(D$138=Common!$B$117,D52,"ERROR"))))</f>
        <v>9.9999999999999995E-7</v>
      </c>
      <c r="E143" s="35">
        <f>IF(Single.Stream!$D$111="No",0,IF(E$138=Common!$B$116,E7,IF(E$138=Common!$B$118,E97,IF(E$138=Common!$B$117,E52,"ERROR"))))</f>
        <v>0</v>
      </c>
      <c r="F143" s="34">
        <f>IF(Single.Stream!$D$112="No",0,IF(F$138=Common!$B$116,F7,IF(F$138=Common!$B$118,F97,IF(F$138=Common!$B$117,F52,"ERROR"))))</f>
        <v>9.9999999999999995E-7</v>
      </c>
      <c r="G143" s="34">
        <f>IF(Single.Stream!$D$113="No",0,IF(G$138=Common!$B$116,G7,IF(G$138=Common!$B$118,G97,IF(G$138=Common!$B$117,G52,"ERROR"))))</f>
        <v>9.9999999999999995E-7</v>
      </c>
      <c r="H143" s="34">
        <f>IF(Single.Stream!$D$114="No",0,IF(H$138=Common!$B$116,H7,IF(H$138=Common!$B$118,H97,IF(H$138=Common!$B$117,H52,"ERROR"))))</f>
        <v>9.9999999999999995E-7</v>
      </c>
      <c r="I143" s="35">
        <f>IF(Single.Stream!$D$115="No",0,IF(I$138=Common!$B$116,I7,IF(I$138=Common!$B$118,I97,IF(I$138=Common!$B$117,I52,"ERROR"))))</f>
        <v>0</v>
      </c>
      <c r="J143" s="36">
        <f>IF(Single.Stream!$D$116="No",0,IF(J$138=Common!$B$116,J7,IF(J$138=Common!$B$118,J97,IF(J$138=Common!$B$117,J52,"ERROR"))))</f>
        <v>0</v>
      </c>
      <c r="K143" s="37">
        <f>IF(Single.Stream!$D$117="No",0,IF(K$138=Common!$B$116,K7,IF(K$138=Common!$B$118,K97,IF(K$138=Common!$B$117,K52,"ERROR"))))</f>
        <v>0</v>
      </c>
      <c r="L143" s="34">
        <f>IF(Single.Stream!$D$118="No",0,IF(L$138=Common!$B$116,L7,IF(L$138=Common!$B$118,L97,IF(L$138=Common!$B$117,L52,"ERROR"))))</f>
        <v>0</v>
      </c>
      <c r="M143" s="36">
        <f>IF(Single.Stream!$D$119="No",0,IF(M$138=Common!$B$116,M7,IF(M$138=Common!$B$118,M97,IF(M$138=Common!$B$117,M52,"ERROR"))))</f>
        <v>0</v>
      </c>
      <c r="N143" s="34">
        <f>IF(Single.Stream!$D$120="No",0,IF(N$138=Common!$B$116,N7,IF(N$138=Common!$B$118,N97,IF(N$138=Common!$B$117,N52,"ERROR"))))</f>
        <v>0</v>
      </c>
      <c r="O143" s="37">
        <f>IF(Single.Stream!$D$121="No",0,IF(O$138=Common!$B$116,O7,IF(O$138=Common!$B$118,O97,IF(O$138=Common!$B$117,O52,"ERROR"))))</f>
        <v>0</v>
      </c>
      <c r="P143" s="34">
        <f>IF(Single.Stream!$D$122="No",0,IF(P$138=Common!$B$116,P7,IF(P$138=Common!$B$118,P97,IF(P$138=Common!$B$117,P52,"ERROR"))))</f>
        <v>0</v>
      </c>
      <c r="Q143" s="34">
        <f>IF(Single.Stream!$D$123="No",0,IF(Q$138=Common!$B$116,Q7,IF(Q$138=Common!$B$118,Q97,IF(Q$138=Common!$B$117,Q52,"ERROR"))))</f>
        <v>0</v>
      </c>
      <c r="R143" s="34">
        <f>IF(Single.Stream!$D$124="No",0,IF(R$138=Common!$B$116,R7,IF(R$138=Common!$B$118,R97,IF(R$138=Common!$B$117,R52,"ERROR"))))</f>
        <v>0</v>
      </c>
      <c r="S143" s="34">
        <f>IF(Single.Stream!$D$125="No",0,IF(S$138=Common!$B$116,S7,IF(S$138=Common!$B$118,S97,IF(S$138=Common!$B$117,S52,"ERROR"))))</f>
        <v>0</v>
      </c>
      <c r="T143" s="34">
        <f>IF(Single.Stream!$D$126="No",0,IF(T$138=Common!$B$116,T7,IF(T$138=Common!$B$118,T97,IF(T$138=Common!$B$117,T52,"ERROR"))))</f>
        <v>0</v>
      </c>
      <c r="U143" s="34">
        <f>IF(Single.Stream!$D$127="No",0,IF(U$138=Common!$B$116,U7,IF(U$138=Common!$B$118,U97,IF(U$138=Common!$B$117,U52,"ERROR"))))</f>
        <v>0</v>
      </c>
      <c r="V143" s="34">
        <f>IF(Single.Stream!$D$128="No",0,IF(V$138=Common!$B$116,V7,IF(V$138=Common!$B$118,V97,IF(V$138=Common!$B$117,V52,"ERROR"))))</f>
        <v>0</v>
      </c>
      <c r="W143" s="35">
        <f>IF(Single.Stream!$D$129="No",0,IF(W$138=Common!$B$116,W7,IF(W$138=Common!$B$118,W97,IF(W$138=Common!$B$117,W52,"ERROR"))))</f>
        <v>0</v>
      </c>
      <c r="X143" s="34">
        <f>IF(Single.Stream!$D$130="No",0,IF(X$138=Common!$B$116,X7,IF(X$138=Common!$B$118,X97,IF(X$138=Common!$B$117,X52,"ERROR"))))</f>
        <v>0</v>
      </c>
      <c r="Y143" s="34">
        <f>IF(Single.Stream!$D$131="No",0,IF(Y$138=Common!$B$116,Y7,IF(Y$138=Common!$B$118,Y97,IF(Y$138=Common!$B$117,Y52,"ERROR"))))</f>
        <v>0</v>
      </c>
      <c r="Z143" s="34">
        <f>IF(Single.Stream!$D$132="No",0,IF(Z$138=Common!$B$116,Z7,IF(Z$138=Common!$B$118,Z97,IF(Z$138=Common!$B$117,Z52,"ERROR"))))</f>
        <v>9.9999999999999995E-7</v>
      </c>
    </row>
    <row r="144" spans="1:28" s="9" customFormat="1" x14ac:dyDescent="0.35">
      <c r="A144" s="13" t="str">
        <f t="shared" si="113"/>
        <v>Wood</v>
      </c>
      <c r="C144" s="34">
        <f>IF(Single.Stream!$D$109="No",0,IF(C$138=Common!$B$116,C8,IF(C$138=Common!$B$118,C98,IF(C$138=Common!$B$117,C53,"ERROR"))))</f>
        <v>9.9999999999999995E-7</v>
      </c>
      <c r="D144" s="34">
        <f>IF(Single.Stream!$D$110="No",0,IF(D$138=Common!$B$116,D8,IF(D$138=Common!$B$118,D98,IF(D$138=Common!$B$117,D53,"ERROR"))))</f>
        <v>9.9999999999999995E-7</v>
      </c>
      <c r="E144" s="35">
        <f>IF(Single.Stream!$D$111="No",0,IF(E$138=Common!$B$116,E8,IF(E$138=Common!$B$118,E98,IF(E$138=Common!$B$117,E53,"ERROR"))))</f>
        <v>0</v>
      </c>
      <c r="F144" s="34">
        <f>IF(Single.Stream!$D$112="No",0,IF(F$138=Common!$B$116,F8,IF(F$138=Common!$B$118,F98,IF(F$138=Common!$B$117,F53,"ERROR"))))</f>
        <v>9.9999999999999995E-7</v>
      </c>
      <c r="G144" s="34">
        <f>IF(Single.Stream!$D$113="No",0,IF(G$138=Common!$B$116,G8,IF(G$138=Common!$B$118,G98,IF(G$138=Common!$B$117,G53,"ERROR"))))</f>
        <v>9.9999999999999995E-7</v>
      </c>
      <c r="H144" s="34">
        <f>IF(Single.Stream!$D$114="No",0,IF(H$138=Common!$B$116,H8,IF(H$138=Common!$B$118,H98,IF(H$138=Common!$B$117,H53,"ERROR"))))</f>
        <v>9.9999999999999995E-7</v>
      </c>
      <c r="I144" s="35">
        <f>IF(Single.Stream!$D$115="No",0,IF(I$138=Common!$B$116,I8,IF(I$138=Common!$B$118,I98,IF(I$138=Common!$B$117,I53,"ERROR"))))</f>
        <v>0</v>
      </c>
      <c r="J144" s="36">
        <f>IF(Single.Stream!$D$116="No",0,IF(J$138=Common!$B$116,J8,IF(J$138=Common!$B$118,J98,IF(J$138=Common!$B$117,J53,"ERROR"))))</f>
        <v>0</v>
      </c>
      <c r="K144" s="37">
        <f>IF(Single.Stream!$D$117="No",0,IF(K$138=Common!$B$116,K8,IF(K$138=Common!$B$118,K98,IF(K$138=Common!$B$117,K53,"ERROR"))))</f>
        <v>0</v>
      </c>
      <c r="L144" s="34">
        <f>IF(Single.Stream!$D$118="No",0,IF(L$138=Common!$B$116,L8,IF(L$138=Common!$B$118,L98,IF(L$138=Common!$B$117,L53,"ERROR"))))</f>
        <v>0</v>
      </c>
      <c r="M144" s="36">
        <f>IF(Single.Stream!$D$119="No",0,IF(M$138=Common!$B$116,M8,IF(M$138=Common!$B$118,M98,IF(M$138=Common!$B$117,M53,"ERROR"))))</f>
        <v>0</v>
      </c>
      <c r="N144" s="34">
        <f>IF(Single.Stream!$D$120="No",0,IF(N$138=Common!$B$116,N8,IF(N$138=Common!$B$118,N98,IF(N$138=Common!$B$117,N53,"ERROR"))))</f>
        <v>0</v>
      </c>
      <c r="O144" s="37">
        <f>IF(Single.Stream!$D$121="No",0,IF(O$138=Common!$B$116,O8,IF(O$138=Common!$B$118,O98,IF(O$138=Common!$B$117,O53,"ERROR"))))</f>
        <v>0</v>
      </c>
      <c r="P144" s="34">
        <f>IF(Single.Stream!$D$122="No",0,IF(P$138=Common!$B$116,P8,IF(P$138=Common!$B$118,P98,IF(P$138=Common!$B$117,P53,"ERROR"))))</f>
        <v>0</v>
      </c>
      <c r="Q144" s="34">
        <f>IF(Single.Stream!$D$123="No",0,IF(Q$138=Common!$B$116,Q8,IF(Q$138=Common!$B$118,Q98,IF(Q$138=Common!$B$117,Q53,"ERROR"))))</f>
        <v>0</v>
      </c>
      <c r="R144" s="34">
        <f>IF(Single.Stream!$D$124="No",0,IF(R$138=Common!$B$116,R8,IF(R$138=Common!$B$118,R98,IF(R$138=Common!$B$117,R53,"ERROR"))))</f>
        <v>0</v>
      </c>
      <c r="S144" s="34">
        <f>IF(Single.Stream!$D$125="No",0,IF(S$138=Common!$B$116,S8,IF(S$138=Common!$B$118,S98,IF(S$138=Common!$B$117,S53,"ERROR"))))</f>
        <v>0</v>
      </c>
      <c r="T144" s="34">
        <f>IF(Single.Stream!$D$126="No",0,IF(T$138=Common!$B$116,T8,IF(T$138=Common!$B$118,T98,IF(T$138=Common!$B$117,T53,"ERROR"))))</f>
        <v>0</v>
      </c>
      <c r="U144" s="34">
        <f>IF(Single.Stream!$D$127="No",0,IF(U$138=Common!$B$116,U8,IF(U$138=Common!$B$118,U98,IF(U$138=Common!$B$117,U53,"ERROR"))))</f>
        <v>0</v>
      </c>
      <c r="V144" s="34">
        <f>IF(Single.Stream!$D$128="No",0,IF(V$138=Common!$B$116,V8,IF(V$138=Common!$B$118,V98,IF(V$138=Common!$B$117,V53,"ERROR"))))</f>
        <v>0</v>
      </c>
      <c r="W144" s="35">
        <f>IF(Single.Stream!$D$129="No",0,IF(W$138=Common!$B$116,W8,IF(W$138=Common!$B$118,W98,IF(W$138=Common!$B$117,W53,"ERROR"))))</f>
        <v>0</v>
      </c>
      <c r="X144" s="34">
        <f>IF(Single.Stream!$D$130="No",0,IF(X$138=Common!$B$116,X8,IF(X$138=Common!$B$118,X98,IF(X$138=Common!$B$117,X53,"ERROR"))))</f>
        <v>0</v>
      </c>
      <c r="Y144" s="34">
        <f>IF(Single.Stream!$D$131="No",0,IF(Y$138=Common!$B$116,Y8,IF(Y$138=Common!$B$118,Y98,IF(Y$138=Common!$B$117,Y53,"ERROR"))))</f>
        <v>0</v>
      </c>
      <c r="Z144" s="34">
        <f>IF(Single.Stream!$D$132="No",0,IF(Z$138=Common!$B$116,Z8,IF(Z$138=Common!$B$118,Z98,IF(Z$138=Common!$B$117,Z53,"ERROR"))))</f>
        <v>9.9999999999999995E-7</v>
      </c>
    </row>
    <row r="145" spans="1:26" s="9" customFormat="1" x14ac:dyDescent="0.35">
      <c r="A145" s="13" t="str">
        <f t="shared" si="113"/>
        <v>Wood Other</v>
      </c>
      <c r="C145" s="34">
        <f>IF(Single.Stream!$D$109="No",0,IF(C$138=Common!$B$116,C9,IF(C$138=Common!$B$118,C99,IF(C$138=Common!$B$117,C54,"ERROR"))))</f>
        <v>9.9999999999999995E-7</v>
      </c>
      <c r="D145" s="34">
        <f>IF(Single.Stream!$D$110="No",0,IF(D$138=Common!$B$116,D9,IF(D$138=Common!$B$118,D99,IF(D$138=Common!$B$117,D54,"ERROR"))))</f>
        <v>9.9999999999999995E-7</v>
      </c>
      <c r="E145" s="35">
        <f>IF(Single.Stream!$D$111="No",0,IF(E$138=Common!$B$116,E9,IF(E$138=Common!$B$118,E99,IF(E$138=Common!$B$117,E54,"ERROR"))))</f>
        <v>0</v>
      </c>
      <c r="F145" s="34">
        <f>IF(Single.Stream!$D$112="No",0,IF(F$138=Common!$B$116,F9,IF(F$138=Common!$B$118,F99,IF(F$138=Common!$B$117,F54,"ERROR"))))</f>
        <v>9.9999999999999995E-7</v>
      </c>
      <c r="G145" s="34">
        <f>IF(Single.Stream!$D$113="No",0,IF(G$138=Common!$B$116,G9,IF(G$138=Common!$B$118,G99,IF(G$138=Common!$B$117,G54,"ERROR"))))</f>
        <v>9.9999999999999995E-7</v>
      </c>
      <c r="H145" s="34">
        <f>IF(Single.Stream!$D$114="No",0,IF(H$138=Common!$B$116,H9,IF(H$138=Common!$B$118,H99,IF(H$138=Common!$B$117,H54,"ERROR"))))</f>
        <v>9.9999999999999995E-7</v>
      </c>
      <c r="I145" s="35">
        <f>IF(Single.Stream!$D$115="No",0,IF(I$138=Common!$B$116,I9,IF(I$138=Common!$B$118,I99,IF(I$138=Common!$B$117,I54,"ERROR"))))</f>
        <v>0</v>
      </c>
      <c r="J145" s="36">
        <f>IF(Single.Stream!$D$116="No",0,IF(J$138=Common!$B$116,J9,IF(J$138=Common!$B$118,J99,IF(J$138=Common!$B$117,J54,"ERROR"))))</f>
        <v>0</v>
      </c>
      <c r="K145" s="37">
        <f>IF(Single.Stream!$D$117="No",0,IF(K$138=Common!$B$116,K9,IF(K$138=Common!$B$118,K99,IF(K$138=Common!$B$117,K54,"ERROR"))))</f>
        <v>0</v>
      </c>
      <c r="L145" s="34">
        <f>IF(Single.Stream!$D$118="No",0,IF(L$138=Common!$B$116,L9,IF(L$138=Common!$B$118,L99,IF(L$138=Common!$B$117,L54,"ERROR"))))</f>
        <v>0</v>
      </c>
      <c r="M145" s="36">
        <f>IF(Single.Stream!$D$119="No",0,IF(M$138=Common!$B$116,M9,IF(M$138=Common!$B$118,M99,IF(M$138=Common!$B$117,M54,"ERROR"))))</f>
        <v>0</v>
      </c>
      <c r="N145" s="34">
        <f>IF(Single.Stream!$D$120="No",0,IF(N$138=Common!$B$116,N9,IF(N$138=Common!$B$118,N99,IF(N$138=Common!$B$117,N54,"ERROR"))))</f>
        <v>0</v>
      </c>
      <c r="O145" s="37">
        <f>IF(Single.Stream!$D$121="No",0,IF(O$138=Common!$B$116,O9,IF(O$138=Common!$B$118,O99,IF(O$138=Common!$B$117,O54,"ERROR"))))</f>
        <v>0</v>
      </c>
      <c r="P145" s="34">
        <f>IF(Single.Stream!$D$122="No",0,IF(P$138=Common!$B$116,P9,IF(P$138=Common!$B$118,P99,IF(P$138=Common!$B$117,P54,"ERROR"))))</f>
        <v>0</v>
      </c>
      <c r="Q145" s="34">
        <f>IF(Single.Stream!$D$123="No",0,IF(Q$138=Common!$B$116,Q9,IF(Q$138=Common!$B$118,Q99,IF(Q$138=Common!$B$117,Q54,"ERROR"))))</f>
        <v>0</v>
      </c>
      <c r="R145" s="34">
        <f>IF(Single.Stream!$D$124="No",0,IF(R$138=Common!$B$116,R9,IF(R$138=Common!$B$118,R99,IF(R$138=Common!$B$117,R54,"ERROR"))))</f>
        <v>0</v>
      </c>
      <c r="S145" s="34">
        <f>IF(Single.Stream!$D$125="No",0,IF(S$138=Common!$B$116,S9,IF(S$138=Common!$B$118,S99,IF(S$138=Common!$B$117,S54,"ERROR"))))</f>
        <v>0</v>
      </c>
      <c r="T145" s="34">
        <f>IF(Single.Stream!$D$126="No",0,IF(T$138=Common!$B$116,T9,IF(T$138=Common!$B$118,T99,IF(T$138=Common!$B$117,T54,"ERROR"))))</f>
        <v>0</v>
      </c>
      <c r="U145" s="34">
        <f>IF(Single.Stream!$D$127="No",0,IF(U$138=Common!$B$116,U9,IF(U$138=Common!$B$118,U99,IF(U$138=Common!$B$117,U54,"ERROR"))))</f>
        <v>0</v>
      </c>
      <c r="V145" s="34">
        <f>IF(Single.Stream!$D$128="No",0,IF(V$138=Common!$B$116,V9,IF(V$138=Common!$B$118,V99,IF(V$138=Common!$B$117,V54,"ERROR"))))</f>
        <v>0</v>
      </c>
      <c r="W145" s="35">
        <f>IF(Single.Stream!$D$129="No",0,IF(W$138=Common!$B$116,W9,IF(W$138=Common!$B$118,W99,IF(W$138=Common!$B$117,W54,"ERROR"))))</f>
        <v>0</v>
      </c>
      <c r="X145" s="34">
        <f>IF(Single.Stream!$D$130="No",0,IF(X$138=Common!$B$116,X9,IF(X$138=Common!$B$118,X99,IF(X$138=Common!$B$117,X54,"ERROR"))))</f>
        <v>0</v>
      </c>
      <c r="Y145" s="34">
        <f>IF(Single.Stream!$D$131="No",0,IF(Y$138=Common!$B$116,Y9,IF(Y$138=Common!$B$118,Y99,IF(Y$138=Common!$B$117,Y54,"ERROR"))))</f>
        <v>0</v>
      </c>
      <c r="Z145" s="34">
        <f>IF(Single.Stream!$D$132="No",0,IF(Z$138=Common!$B$116,Z9,IF(Z$138=Common!$B$118,Z99,IF(Z$138=Common!$B$117,Z54,"ERROR"))))</f>
        <v>9.9999999999999995E-7</v>
      </c>
    </row>
    <row r="146" spans="1:26" s="9" customFormat="1" x14ac:dyDescent="0.35">
      <c r="A146" s="13" t="str">
        <f t="shared" si="113"/>
        <v>Textiles</v>
      </c>
      <c r="C146" s="34">
        <f>IF(Single.Stream!$D$109="No",0,IF(C$138=Common!$B$116,C10,IF(C$138=Common!$B$118,C100,IF(C$138=Common!$B$117,C55,"ERROR"))))</f>
        <v>9.9999999999999995E-7</v>
      </c>
      <c r="D146" s="34">
        <f>IF(Single.Stream!$D$110="No",0,IF(D$138=Common!$B$116,D10,IF(D$138=Common!$B$118,D100,IF(D$138=Common!$B$117,D55,"ERROR"))))</f>
        <v>9.9999999999999995E-7</v>
      </c>
      <c r="E146" s="35">
        <f>IF(Single.Stream!$D$111="No",0,IF(E$138=Common!$B$116,E10,IF(E$138=Common!$B$118,E100,IF(E$138=Common!$B$117,E55,"ERROR"))))</f>
        <v>0</v>
      </c>
      <c r="F146" s="34">
        <f>IF(Single.Stream!$D$112="No",0,IF(F$138=Common!$B$116,F10,IF(F$138=Common!$B$118,F100,IF(F$138=Common!$B$117,F55,"ERROR"))))</f>
        <v>9.9999999999999995E-7</v>
      </c>
      <c r="G146" s="34">
        <f>IF(Single.Stream!$D$113="No",0,IF(G$138=Common!$B$116,G10,IF(G$138=Common!$B$118,G100,IF(G$138=Common!$B$117,G55,"ERROR"))))</f>
        <v>9.9999999999999995E-7</v>
      </c>
      <c r="H146" s="34">
        <f>IF(Single.Stream!$D$114="No",0,IF(H$138=Common!$B$116,H10,IF(H$138=Common!$B$118,H100,IF(H$138=Common!$B$117,H55,"ERROR"))))</f>
        <v>9.9999999999999995E-7</v>
      </c>
      <c r="I146" s="35">
        <f>IF(Single.Stream!$D$115="No",0,IF(I$138=Common!$B$116,I10,IF(I$138=Common!$B$118,I100,IF(I$138=Common!$B$117,I55,"ERROR"))))</f>
        <v>0</v>
      </c>
      <c r="J146" s="36">
        <f>IF(Single.Stream!$D$116="No",0,IF(J$138=Common!$B$116,J10,IF(J$138=Common!$B$118,J100,IF(J$138=Common!$B$117,J55,"ERROR"))))</f>
        <v>0</v>
      </c>
      <c r="K146" s="37">
        <f>IF(Single.Stream!$D$117="No",0,IF(K$138=Common!$B$116,K10,IF(K$138=Common!$B$118,K100,IF(K$138=Common!$B$117,K55,"ERROR"))))</f>
        <v>0</v>
      </c>
      <c r="L146" s="34">
        <f>IF(Single.Stream!$D$118="No",0,IF(L$138=Common!$B$116,L10,IF(L$138=Common!$B$118,L100,IF(L$138=Common!$B$117,L55,"ERROR"))))</f>
        <v>0</v>
      </c>
      <c r="M146" s="36">
        <f>IF(Single.Stream!$D$119="No",0,IF(M$138=Common!$B$116,M10,IF(M$138=Common!$B$118,M100,IF(M$138=Common!$B$117,M55,"ERROR"))))</f>
        <v>0</v>
      </c>
      <c r="N146" s="34">
        <f>IF(Single.Stream!$D$120="No",0,IF(N$138=Common!$B$116,N10,IF(N$138=Common!$B$118,N100,IF(N$138=Common!$B$117,N55,"ERROR"))))</f>
        <v>0</v>
      </c>
      <c r="O146" s="37">
        <f>IF(Single.Stream!$D$121="No",0,IF(O$138=Common!$B$116,O10,IF(O$138=Common!$B$118,O100,IF(O$138=Common!$B$117,O55,"ERROR"))))</f>
        <v>0</v>
      </c>
      <c r="P146" s="34">
        <f>IF(Single.Stream!$D$122="No",0,IF(P$138=Common!$B$116,P10,IF(P$138=Common!$B$118,P100,IF(P$138=Common!$B$117,P55,"ERROR"))))</f>
        <v>0</v>
      </c>
      <c r="Q146" s="34">
        <f>IF(Single.Stream!$D$123="No",0,IF(Q$138=Common!$B$116,Q10,IF(Q$138=Common!$B$118,Q100,IF(Q$138=Common!$B$117,Q55,"ERROR"))))</f>
        <v>0</v>
      </c>
      <c r="R146" s="34">
        <f>IF(Single.Stream!$D$124="No",0,IF(R$138=Common!$B$116,R10,IF(R$138=Common!$B$118,R100,IF(R$138=Common!$B$117,R55,"ERROR"))))</f>
        <v>0</v>
      </c>
      <c r="S146" s="34">
        <f>IF(Single.Stream!$D$125="No",0,IF(S$138=Common!$B$116,S10,IF(S$138=Common!$B$118,S100,IF(S$138=Common!$B$117,S55,"ERROR"))))</f>
        <v>0</v>
      </c>
      <c r="T146" s="34">
        <f>IF(Single.Stream!$D$126="No",0,IF(T$138=Common!$B$116,T10,IF(T$138=Common!$B$118,T100,IF(T$138=Common!$B$117,T55,"ERROR"))))</f>
        <v>0</v>
      </c>
      <c r="U146" s="34">
        <f>IF(Single.Stream!$D$127="No",0,IF(U$138=Common!$B$116,U10,IF(U$138=Common!$B$118,U100,IF(U$138=Common!$B$117,U55,"ERROR"))))</f>
        <v>0</v>
      </c>
      <c r="V146" s="34">
        <f>IF(Single.Stream!$D$128="No",0,IF(V$138=Common!$B$116,V10,IF(V$138=Common!$B$118,V100,IF(V$138=Common!$B$117,V55,"ERROR"))))</f>
        <v>0</v>
      </c>
      <c r="W146" s="35">
        <f>IF(Single.Stream!$D$129="No",0,IF(W$138=Common!$B$116,W10,IF(W$138=Common!$B$118,W100,IF(W$138=Common!$B$117,W55,"ERROR"))))</f>
        <v>0</v>
      </c>
      <c r="X146" s="34">
        <f>IF(Single.Stream!$D$130="No",0,IF(X$138=Common!$B$116,X10,IF(X$138=Common!$B$118,X100,IF(X$138=Common!$B$117,X55,"ERROR"))))</f>
        <v>0</v>
      </c>
      <c r="Y146" s="34">
        <f>IF(Single.Stream!$D$131="No",0,IF(Y$138=Common!$B$116,Y10,IF(Y$138=Common!$B$118,Y100,IF(Y$138=Common!$B$117,Y55,"ERROR"))))</f>
        <v>0</v>
      </c>
      <c r="Z146" s="34">
        <f>IF(Single.Stream!$D$132="No",0,IF(Z$138=Common!$B$116,Z10,IF(Z$138=Common!$B$118,Z100,IF(Z$138=Common!$B$117,Z55,"ERROR"))))</f>
        <v>9.9999999999999995E-7</v>
      </c>
    </row>
    <row r="147" spans="1:26" s="9" customFormat="1" x14ac:dyDescent="0.35">
      <c r="A147" s="13" t="str">
        <f t="shared" si="113"/>
        <v>Rubber/Leather</v>
      </c>
      <c r="C147" s="34">
        <f>IF(Single.Stream!$D$109="No",0,IF(C$138=Common!$B$116,C11,IF(C$138=Common!$B$118,C101,IF(C$138=Common!$B$117,C56,"ERROR"))))</f>
        <v>9.9999999999999995E-7</v>
      </c>
      <c r="D147" s="34">
        <f>IF(Single.Stream!$D$110="No",0,IF(D$138=Common!$B$116,D11,IF(D$138=Common!$B$118,D101,IF(D$138=Common!$B$117,D56,"ERROR"))))</f>
        <v>9.9999999999999995E-7</v>
      </c>
      <c r="E147" s="35">
        <f>IF(Single.Stream!$D$111="No",0,IF(E$138=Common!$B$116,E11,IF(E$138=Common!$B$118,E101,IF(E$138=Common!$B$117,E56,"ERROR"))))</f>
        <v>0</v>
      </c>
      <c r="F147" s="34">
        <f>IF(Single.Stream!$D$112="No",0,IF(F$138=Common!$B$116,F11,IF(F$138=Common!$B$118,F101,IF(F$138=Common!$B$117,F56,"ERROR"))))</f>
        <v>9.9999999999999995E-7</v>
      </c>
      <c r="G147" s="34">
        <f>IF(Single.Stream!$D$113="No",0,IF(G$138=Common!$B$116,G11,IF(G$138=Common!$B$118,G101,IF(G$138=Common!$B$117,G56,"ERROR"))))</f>
        <v>9.9999999999999995E-7</v>
      </c>
      <c r="H147" s="34">
        <f>IF(Single.Stream!$D$114="No",0,IF(H$138=Common!$B$116,H11,IF(H$138=Common!$B$118,H101,IF(H$138=Common!$B$117,H56,"ERROR"))))</f>
        <v>9.9999999999999995E-7</v>
      </c>
      <c r="I147" s="35">
        <f>IF(Single.Stream!$D$115="No",0,IF(I$138=Common!$B$116,I11,IF(I$138=Common!$B$118,I101,IF(I$138=Common!$B$117,I56,"ERROR"))))</f>
        <v>0</v>
      </c>
      <c r="J147" s="36">
        <f>IF(Single.Stream!$D$116="No",0,IF(J$138=Common!$B$116,J11,IF(J$138=Common!$B$118,J101,IF(J$138=Common!$B$117,J56,"ERROR"))))</f>
        <v>0</v>
      </c>
      <c r="K147" s="37">
        <f>IF(Single.Stream!$D$117="No",0,IF(K$138=Common!$B$116,K11,IF(K$138=Common!$B$118,K101,IF(K$138=Common!$B$117,K56,"ERROR"))))</f>
        <v>0</v>
      </c>
      <c r="L147" s="34">
        <f>IF(Single.Stream!$D$118="No",0,IF(L$138=Common!$B$116,L11,IF(L$138=Common!$B$118,L101,IF(L$138=Common!$B$117,L56,"ERROR"))))</f>
        <v>0</v>
      </c>
      <c r="M147" s="36">
        <f>IF(Single.Stream!$D$119="No",0,IF(M$138=Common!$B$116,M11,IF(M$138=Common!$B$118,M101,IF(M$138=Common!$B$117,M56,"ERROR"))))</f>
        <v>0</v>
      </c>
      <c r="N147" s="34">
        <f>IF(Single.Stream!$D$120="No",0,IF(N$138=Common!$B$116,N11,IF(N$138=Common!$B$118,N101,IF(N$138=Common!$B$117,N56,"ERROR"))))</f>
        <v>0</v>
      </c>
      <c r="O147" s="37">
        <f>IF(Single.Stream!$D$121="No",0,IF(O$138=Common!$B$116,O11,IF(O$138=Common!$B$118,O101,IF(O$138=Common!$B$117,O56,"ERROR"))))</f>
        <v>0</v>
      </c>
      <c r="P147" s="34">
        <f>IF(Single.Stream!$D$122="No",0,IF(P$138=Common!$B$116,P11,IF(P$138=Common!$B$118,P101,IF(P$138=Common!$B$117,P56,"ERROR"))))</f>
        <v>0</v>
      </c>
      <c r="Q147" s="34">
        <f>IF(Single.Stream!$D$123="No",0,IF(Q$138=Common!$B$116,Q11,IF(Q$138=Common!$B$118,Q101,IF(Q$138=Common!$B$117,Q56,"ERROR"))))</f>
        <v>0</v>
      </c>
      <c r="R147" s="34">
        <f>IF(Single.Stream!$D$124="No",0,IF(R$138=Common!$B$116,R11,IF(R$138=Common!$B$118,R101,IF(R$138=Common!$B$117,R56,"ERROR"))))</f>
        <v>0</v>
      </c>
      <c r="S147" s="34">
        <f>IF(Single.Stream!$D$125="No",0,IF(S$138=Common!$B$116,S11,IF(S$138=Common!$B$118,S101,IF(S$138=Common!$B$117,S56,"ERROR"))))</f>
        <v>0</v>
      </c>
      <c r="T147" s="34">
        <f>IF(Single.Stream!$D$126="No",0,IF(T$138=Common!$B$116,T11,IF(T$138=Common!$B$118,T101,IF(T$138=Common!$B$117,T56,"ERROR"))))</f>
        <v>0</v>
      </c>
      <c r="U147" s="34">
        <f>IF(Single.Stream!$D$127="No",0,IF(U$138=Common!$B$116,U11,IF(U$138=Common!$B$118,U101,IF(U$138=Common!$B$117,U56,"ERROR"))))</f>
        <v>0</v>
      </c>
      <c r="V147" s="34">
        <f>IF(Single.Stream!$D$128="No",0,IF(V$138=Common!$B$116,V11,IF(V$138=Common!$B$118,V101,IF(V$138=Common!$B$117,V56,"ERROR"))))</f>
        <v>0</v>
      </c>
      <c r="W147" s="35">
        <f>IF(Single.Stream!$D$129="No",0,IF(W$138=Common!$B$116,W11,IF(W$138=Common!$B$118,W101,IF(W$138=Common!$B$117,W56,"ERROR"))))</f>
        <v>0</v>
      </c>
      <c r="X147" s="34">
        <f>IF(Single.Stream!$D$130="No",0,IF(X$138=Common!$B$116,X11,IF(X$138=Common!$B$118,X101,IF(X$138=Common!$B$117,X56,"ERROR"))))</f>
        <v>0</v>
      </c>
      <c r="Y147" s="34">
        <f>IF(Single.Stream!$D$131="No",0,IF(Y$138=Common!$B$116,Y11,IF(Y$138=Common!$B$118,Y101,IF(Y$138=Common!$B$117,Y56,"ERROR"))))</f>
        <v>0</v>
      </c>
      <c r="Z147" s="34">
        <f>IF(Single.Stream!$D$132="No",0,IF(Z$138=Common!$B$116,Z11,IF(Z$138=Common!$B$118,Z101,IF(Z$138=Common!$B$117,Z56,"ERROR"))))</f>
        <v>9.9999999999999995E-7</v>
      </c>
    </row>
    <row r="148" spans="1:26" s="9" customFormat="1" x14ac:dyDescent="0.35">
      <c r="A148" s="13" t="str">
        <f t="shared" si="113"/>
        <v>Newsprint</v>
      </c>
      <c r="C148" s="34">
        <f>IF(Single.Stream!$D$109="No",0,IF(C$138=Common!$B$116,C12,IF(C$138=Common!$B$118,C102,IF(C$138=Common!$B$117,C57,"ERROR"))))</f>
        <v>13.5</v>
      </c>
      <c r="D148" s="34">
        <f>IF(Single.Stream!$D$110="No",0,IF(D$138=Common!$B$116,D12,IF(D$138=Common!$B$118,D102,IF(D$138=Common!$B$117,D57,"ERROR"))))</f>
        <v>13.5</v>
      </c>
      <c r="E148" s="35">
        <f>IF(Single.Stream!$D$111="No",0,IF(E$138=Common!$B$116,E12,IF(E$138=Common!$B$118,E102,IF(E$138=Common!$B$117,E57,"ERROR"))))</f>
        <v>0</v>
      </c>
      <c r="F148" s="34">
        <f>IF(Single.Stream!$D$112="No",0,IF(F$138=Common!$B$116,F12,IF(F$138=Common!$B$118,F102,IF(F$138=Common!$B$117,F57,"ERROR"))))</f>
        <v>13.5</v>
      </c>
      <c r="G148" s="34">
        <f>IF(Single.Stream!$D$113="No",0,IF(G$138=Common!$B$116,G12,IF(G$138=Common!$B$118,G102,IF(G$138=Common!$B$117,G57,"ERROR"))))</f>
        <v>13.5</v>
      </c>
      <c r="H148" s="34">
        <f>IF(Single.Stream!$D$114="No",0,IF(H$138=Common!$B$116,H12,IF(H$138=Common!$B$118,H102,IF(H$138=Common!$B$117,H57,"ERROR"))))</f>
        <v>2.0250000000000004</v>
      </c>
      <c r="I148" s="35">
        <f>IF(Single.Stream!$D$115="No",0,IF(I$138=Common!$B$116,I12,IF(I$138=Common!$B$118,I102,IF(I$138=Common!$B$117,I57,"ERROR"))))</f>
        <v>0</v>
      </c>
      <c r="J148" s="36">
        <f>IF(Single.Stream!$D$116="No",0,IF(J$138=Common!$B$116,J12,IF(J$138=Common!$B$118,J102,IF(J$138=Common!$B$117,J57,"ERROR"))))</f>
        <v>0</v>
      </c>
      <c r="K148" s="37">
        <f>IF(Single.Stream!$D$117="No",0,IF(K$138=Common!$B$116,K12,IF(K$138=Common!$B$118,K102,IF(K$138=Common!$B$117,K57,"ERROR"))))</f>
        <v>13.31775</v>
      </c>
      <c r="L148" s="34">
        <f>IF(Single.Stream!$D$118="No",0,IF(L$138=Common!$B$116,L12,IF(L$138=Common!$B$118,L102,IF(L$138=Common!$B$117,L57,"ERROR"))))</f>
        <v>0</v>
      </c>
      <c r="M148" s="36">
        <f>IF(Single.Stream!$D$119="No",0,IF(M$138=Common!$B$116,M12,IF(M$138=Common!$B$118,M102,IF(M$138=Common!$B$117,M57,"ERROR"))))</f>
        <v>0</v>
      </c>
      <c r="N148" s="34">
        <f>IF(Single.Stream!$D$120="No",0,IF(N$138=Common!$B$116,N12,IF(N$138=Common!$B$118,N102,IF(N$138=Common!$B$117,N57,"ERROR"))))</f>
        <v>0</v>
      </c>
      <c r="O148" s="37">
        <f>IF(Single.Stream!$D$121="No",0,IF(O$138=Common!$B$116,O12,IF(O$138=Common!$B$118,O102,IF(O$138=Common!$B$117,O57,"ERROR"))))</f>
        <v>0</v>
      </c>
      <c r="P148" s="34">
        <f>IF(Single.Stream!$D$122="No",0,IF(P$138=Common!$B$116,P12,IF(P$138=Common!$B$118,P102,IF(P$138=Common!$B$117,P57,"ERROR"))))</f>
        <v>0</v>
      </c>
      <c r="Q148" s="34">
        <f>IF(Single.Stream!$D$123="No",0,IF(Q$138=Common!$B$116,Q12,IF(Q$138=Common!$B$118,Q102,IF(Q$138=Common!$B$117,Q57,"ERROR"))))</f>
        <v>0</v>
      </c>
      <c r="R148" s="34">
        <f>IF(Single.Stream!$D$124="No",0,IF(R$138=Common!$B$116,R12,IF(R$138=Common!$B$118,R102,IF(R$138=Common!$B$117,R57,"ERROR"))))</f>
        <v>0</v>
      </c>
      <c r="S148" s="34">
        <f>IF(Single.Stream!$D$125="No",0,IF(S$138=Common!$B$116,S12,IF(S$138=Common!$B$118,S102,IF(S$138=Common!$B$117,S57,"ERROR"))))</f>
        <v>0</v>
      </c>
      <c r="T148" s="34">
        <f>IF(Single.Stream!$D$126="No",0,IF(T$138=Common!$B$116,T12,IF(T$138=Common!$B$118,T102,IF(T$138=Common!$B$117,T57,"ERROR"))))</f>
        <v>0</v>
      </c>
      <c r="U148" s="34">
        <f>IF(Single.Stream!$D$127="No",0,IF(U$138=Common!$B$116,U12,IF(U$138=Common!$B$118,U102,IF(U$138=Common!$B$117,U57,"ERROR"))))</f>
        <v>0</v>
      </c>
      <c r="V148" s="34">
        <f>IF(Single.Stream!$D$128="No",0,IF(V$138=Common!$B$116,V12,IF(V$138=Common!$B$118,V102,IF(V$138=Common!$B$117,V57,"ERROR"))))</f>
        <v>0</v>
      </c>
      <c r="W148" s="35">
        <f>IF(Single.Stream!$D$129="No",0,IF(W$138=Common!$B$116,W12,IF(W$138=Common!$B$118,W102,IF(W$138=Common!$B$117,W57,"ERROR"))))</f>
        <v>0</v>
      </c>
      <c r="X148" s="34">
        <f>IF(Single.Stream!$D$130="No",0,IF(X$138=Common!$B$116,X12,IF(X$138=Common!$B$118,X102,IF(X$138=Common!$B$117,X57,"ERROR"))))</f>
        <v>0</v>
      </c>
      <c r="Y148" s="34">
        <f>IF(Single.Stream!$D$131="No",0,IF(Y$138=Common!$B$116,Y12,IF(Y$138=Common!$B$118,Y102,IF(Y$138=Common!$B$117,Y57,"ERROR"))))</f>
        <v>0</v>
      </c>
      <c r="Z148" s="34">
        <f>IF(Single.Stream!$D$132="No",0,IF(Z$138=Common!$B$116,Z12,IF(Z$138=Common!$B$118,Z102,IF(Z$138=Common!$B$117,Z57,"ERROR"))))</f>
        <v>13.5</v>
      </c>
    </row>
    <row r="149" spans="1:26" s="9" customFormat="1" x14ac:dyDescent="0.35">
      <c r="A149" s="13" t="str">
        <f t="shared" si="113"/>
        <v>Corr. Cardboard</v>
      </c>
      <c r="C149" s="34">
        <f>IF(Single.Stream!$D$109="No",0,IF(C$138=Common!$B$116,C13,IF(C$138=Common!$B$118,C103,IF(C$138=Common!$B$117,C58,"ERROR"))))</f>
        <v>39.799999999999997</v>
      </c>
      <c r="D149" s="34">
        <f>IF(Single.Stream!$D$110="No",0,IF(D$138=Common!$B$116,D13,IF(D$138=Common!$B$118,D103,IF(D$138=Common!$B$117,D58,"ERROR"))))</f>
        <v>39.799999999999997</v>
      </c>
      <c r="E149" s="35">
        <f>IF(Single.Stream!$D$111="No",0,IF(E$138=Common!$B$116,E13,IF(E$138=Common!$B$118,E103,IF(E$138=Common!$B$117,E58,"ERROR"))))</f>
        <v>0</v>
      </c>
      <c r="F149" s="34">
        <f>IF(Single.Stream!$D$112="No",0,IF(F$138=Common!$B$116,F13,IF(F$138=Common!$B$118,F103,IF(F$138=Common!$B$117,F58,"ERROR"))))</f>
        <v>39.799999999999997</v>
      </c>
      <c r="G149" s="34">
        <f>IF(Single.Stream!$D$113="No",0,IF(G$138=Common!$B$116,G13,IF(G$138=Common!$B$118,G103,IF(G$138=Common!$B$117,G58,"ERROR"))))</f>
        <v>11.940000000000001</v>
      </c>
      <c r="H149" s="34">
        <f>IF(Single.Stream!$D$114="No",0,IF(H$138=Common!$B$116,H13,IF(H$138=Common!$B$118,H103,IF(H$138=Common!$B$117,H58,"ERROR"))))</f>
        <v>1.7910000000000004</v>
      </c>
      <c r="I149" s="35">
        <f>IF(Single.Stream!$D$115="No",0,IF(I$138=Common!$B$116,I13,IF(I$138=Common!$B$118,I103,IF(I$138=Common!$B$117,I58,"ERROR"))))</f>
        <v>0</v>
      </c>
      <c r="J149" s="36">
        <f>IF(Single.Stream!$D$116="No",0,IF(J$138=Common!$B$116,J13,IF(J$138=Common!$B$118,J103,IF(J$138=Common!$B$117,J58,"ERROR"))))</f>
        <v>0</v>
      </c>
      <c r="K149" s="37">
        <f>IF(Single.Stream!$D$117="No",0,IF(K$138=Common!$B$116,K13,IF(K$138=Common!$B$118,K103,IF(K$138=Common!$B$117,K58,"ERROR"))))</f>
        <v>39.638809999999999</v>
      </c>
      <c r="L149" s="34">
        <f>IF(Single.Stream!$D$118="No",0,IF(L$138=Common!$B$116,L13,IF(L$138=Common!$B$118,L103,IF(L$138=Common!$B$117,L58,"ERROR"))))</f>
        <v>0</v>
      </c>
      <c r="M149" s="36">
        <f>IF(Single.Stream!$D$119="No",0,IF(M$138=Common!$B$116,M13,IF(M$138=Common!$B$118,M103,IF(M$138=Common!$B$117,M58,"ERROR"))))</f>
        <v>0</v>
      </c>
      <c r="N149" s="34">
        <f>IF(Single.Stream!$D$120="No",0,IF(N$138=Common!$B$116,N13,IF(N$138=Common!$B$118,N103,IF(N$138=Common!$B$117,N58,"ERROR"))))</f>
        <v>0</v>
      </c>
      <c r="O149" s="37">
        <f>IF(Single.Stream!$D$121="No",0,IF(O$138=Common!$B$116,O13,IF(O$138=Common!$B$118,O103,IF(O$138=Common!$B$117,O58,"ERROR"))))</f>
        <v>0</v>
      </c>
      <c r="P149" s="34">
        <f>IF(Single.Stream!$D$122="No",0,IF(P$138=Common!$B$116,P13,IF(P$138=Common!$B$118,P103,IF(P$138=Common!$B$117,P58,"ERROR"))))</f>
        <v>0</v>
      </c>
      <c r="Q149" s="34">
        <f>IF(Single.Stream!$D$123="No",0,IF(Q$138=Common!$B$116,Q13,IF(Q$138=Common!$B$118,Q103,IF(Q$138=Common!$B$117,Q58,"ERROR"))))</f>
        <v>0</v>
      </c>
      <c r="R149" s="34">
        <f>IF(Single.Stream!$D$124="No",0,IF(R$138=Common!$B$116,R13,IF(R$138=Common!$B$118,R103,IF(R$138=Common!$B$117,R58,"ERROR"))))</f>
        <v>0</v>
      </c>
      <c r="S149" s="34">
        <f>IF(Single.Stream!$D$125="No",0,IF(S$138=Common!$B$116,S13,IF(S$138=Common!$B$118,S103,IF(S$138=Common!$B$117,S58,"ERROR"))))</f>
        <v>0</v>
      </c>
      <c r="T149" s="34">
        <f>IF(Single.Stream!$D$126="No",0,IF(T$138=Common!$B$116,T13,IF(T$138=Common!$B$118,T103,IF(T$138=Common!$B$117,T58,"ERROR"))))</f>
        <v>0</v>
      </c>
      <c r="U149" s="34">
        <f>IF(Single.Stream!$D$127="No",0,IF(U$138=Common!$B$116,U13,IF(U$138=Common!$B$118,U103,IF(U$138=Common!$B$117,U58,"ERROR"))))</f>
        <v>0</v>
      </c>
      <c r="V149" s="34">
        <f>IF(Single.Stream!$D$128="No",0,IF(V$138=Common!$B$116,V13,IF(V$138=Common!$B$118,V103,IF(V$138=Common!$B$117,V58,"ERROR"))))</f>
        <v>0</v>
      </c>
      <c r="W149" s="35">
        <f>IF(Single.Stream!$D$129="No",0,IF(W$138=Common!$B$116,W13,IF(W$138=Common!$B$118,W103,IF(W$138=Common!$B$117,W58,"ERROR"))))</f>
        <v>0</v>
      </c>
      <c r="X149" s="34">
        <f>IF(Single.Stream!$D$130="No",0,IF(X$138=Common!$B$116,X13,IF(X$138=Common!$B$118,X103,IF(X$138=Common!$B$117,X58,"ERROR"))))</f>
        <v>0</v>
      </c>
      <c r="Y149" s="34">
        <f>IF(Single.Stream!$D$131="No",0,IF(Y$138=Common!$B$116,Y13,IF(Y$138=Common!$B$118,Y103,IF(Y$138=Common!$B$117,Y58,"ERROR"))))</f>
        <v>0</v>
      </c>
      <c r="Z149" s="34">
        <f>IF(Single.Stream!$D$132="No",0,IF(Z$138=Common!$B$116,Z13,IF(Z$138=Common!$B$118,Z103,IF(Z$138=Common!$B$117,Z58,"ERROR"))))</f>
        <v>39.799999999999997</v>
      </c>
    </row>
    <row r="150" spans="1:26" s="9" customFormat="1" x14ac:dyDescent="0.35">
      <c r="A150" s="13" t="str">
        <f t="shared" si="113"/>
        <v>Office Paper</v>
      </c>
      <c r="C150" s="34">
        <f>IF(Single.Stream!$D$109="No",0,IF(C$138=Common!$B$116,C14,IF(C$138=Common!$B$118,C104,IF(C$138=Common!$B$117,C59,"ERROR"))))</f>
        <v>7.2</v>
      </c>
      <c r="D150" s="34">
        <f>IF(Single.Stream!$D$110="No",0,IF(D$138=Common!$B$116,D14,IF(D$138=Common!$B$118,D104,IF(D$138=Common!$B$117,D59,"ERROR"))))</f>
        <v>7.2</v>
      </c>
      <c r="E150" s="35">
        <f>IF(Single.Stream!$D$111="No",0,IF(E$138=Common!$B$116,E14,IF(E$138=Common!$B$118,E104,IF(E$138=Common!$B$117,E59,"ERROR"))))</f>
        <v>0</v>
      </c>
      <c r="F150" s="34">
        <f>IF(Single.Stream!$D$112="No",0,IF(F$138=Common!$B$116,F14,IF(F$138=Common!$B$118,F104,IF(F$138=Common!$B$117,F59,"ERROR"))))</f>
        <v>7.2</v>
      </c>
      <c r="G150" s="34">
        <f>IF(Single.Stream!$D$113="No",0,IF(G$138=Common!$B$116,G14,IF(G$138=Common!$B$118,G104,IF(G$138=Common!$B$117,G59,"ERROR"))))</f>
        <v>7.2</v>
      </c>
      <c r="H150" s="34">
        <f>IF(Single.Stream!$D$114="No",0,IF(H$138=Common!$B$116,H14,IF(H$138=Common!$B$118,H104,IF(H$138=Common!$B$117,H59,"ERROR"))))</f>
        <v>1.08</v>
      </c>
      <c r="I150" s="35">
        <f>IF(Single.Stream!$D$115="No",0,IF(I$138=Common!$B$116,I14,IF(I$138=Common!$B$118,I104,IF(I$138=Common!$B$117,I59,"ERROR"))))</f>
        <v>0</v>
      </c>
      <c r="J150" s="36">
        <f>IF(Single.Stream!$D$116="No",0,IF(J$138=Common!$B$116,J14,IF(J$138=Common!$B$118,J104,IF(J$138=Common!$B$117,J59,"ERROR"))))</f>
        <v>0</v>
      </c>
      <c r="K150" s="37">
        <f>IF(Single.Stream!$D$117="No",0,IF(K$138=Common!$B$116,K14,IF(K$138=Common!$B$118,K104,IF(K$138=Common!$B$117,K59,"ERROR"))))</f>
        <v>7.1028000000000002</v>
      </c>
      <c r="L150" s="34">
        <f>IF(Single.Stream!$D$118="No",0,IF(L$138=Common!$B$116,L14,IF(L$138=Common!$B$118,L104,IF(L$138=Common!$B$117,L59,"ERROR"))))</f>
        <v>0</v>
      </c>
      <c r="M150" s="36">
        <f>IF(Single.Stream!$D$119="No",0,IF(M$138=Common!$B$116,M14,IF(M$138=Common!$B$118,M104,IF(M$138=Common!$B$117,M59,"ERROR"))))</f>
        <v>0</v>
      </c>
      <c r="N150" s="34">
        <f>IF(Single.Stream!$D$120="No",0,IF(N$138=Common!$B$116,N14,IF(N$138=Common!$B$118,N104,IF(N$138=Common!$B$117,N59,"ERROR"))))</f>
        <v>0</v>
      </c>
      <c r="O150" s="37">
        <f>IF(Single.Stream!$D$121="No",0,IF(O$138=Common!$B$116,O14,IF(O$138=Common!$B$118,O104,IF(O$138=Common!$B$117,O59,"ERROR"))))</f>
        <v>0</v>
      </c>
      <c r="P150" s="34">
        <f>IF(Single.Stream!$D$122="No",0,IF(P$138=Common!$B$116,P14,IF(P$138=Common!$B$118,P104,IF(P$138=Common!$B$117,P59,"ERROR"))))</f>
        <v>0</v>
      </c>
      <c r="Q150" s="34">
        <f>IF(Single.Stream!$D$123="No",0,IF(Q$138=Common!$B$116,Q14,IF(Q$138=Common!$B$118,Q104,IF(Q$138=Common!$B$117,Q59,"ERROR"))))</f>
        <v>0</v>
      </c>
      <c r="R150" s="34">
        <f>IF(Single.Stream!$D$124="No",0,IF(R$138=Common!$B$116,R14,IF(R$138=Common!$B$118,R104,IF(R$138=Common!$B$117,R59,"ERROR"))))</f>
        <v>0</v>
      </c>
      <c r="S150" s="34">
        <f>IF(Single.Stream!$D$125="No",0,IF(S$138=Common!$B$116,S14,IF(S$138=Common!$B$118,S104,IF(S$138=Common!$B$117,S59,"ERROR"))))</f>
        <v>0</v>
      </c>
      <c r="T150" s="34">
        <f>IF(Single.Stream!$D$126="No",0,IF(T$138=Common!$B$116,T14,IF(T$138=Common!$B$118,T104,IF(T$138=Common!$B$117,T59,"ERROR"))))</f>
        <v>0</v>
      </c>
      <c r="U150" s="34">
        <f>IF(Single.Stream!$D$127="No",0,IF(U$138=Common!$B$116,U14,IF(U$138=Common!$B$118,U104,IF(U$138=Common!$B$117,U59,"ERROR"))))</f>
        <v>0</v>
      </c>
      <c r="V150" s="34">
        <f>IF(Single.Stream!$D$128="No",0,IF(V$138=Common!$B$116,V14,IF(V$138=Common!$B$118,V104,IF(V$138=Common!$B$117,V59,"ERROR"))))</f>
        <v>0</v>
      </c>
      <c r="W150" s="35">
        <f>IF(Single.Stream!$D$129="No",0,IF(W$138=Common!$B$116,W14,IF(W$138=Common!$B$118,W104,IF(W$138=Common!$B$117,W59,"ERROR"))))</f>
        <v>0</v>
      </c>
      <c r="X150" s="34">
        <f>IF(Single.Stream!$D$130="No",0,IF(X$138=Common!$B$116,X14,IF(X$138=Common!$B$118,X104,IF(X$138=Common!$B$117,X59,"ERROR"))))</f>
        <v>0</v>
      </c>
      <c r="Y150" s="34">
        <f>IF(Single.Stream!$D$131="No",0,IF(Y$138=Common!$B$116,Y14,IF(Y$138=Common!$B$118,Y104,IF(Y$138=Common!$B$117,Y59,"ERROR"))))</f>
        <v>0</v>
      </c>
      <c r="Z150" s="34">
        <f>IF(Single.Stream!$D$132="No",0,IF(Z$138=Common!$B$116,Z14,IF(Z$138=Common!$B$118,Z104,IF(Z$138=Common!$B$117,Z59,"ERROR"))))</f>
        <v>7.2</v>
      </c>
    </row>
    <row r="151" spans="1:26" s="9" customFormat="1" x14ac:dyDescent="0.35">
      <c r="A151" s="13" t="str">
        <f t="shared" si="113"/>
        <v xml:space="preserve">Magazines </v>
      </c>
      <c r="C151" s="34">
        <f>IF(Single.Stream!$D$109="No",0,IF(C$138=Common!$B$116,C15,IF(C$138=Common!$B$118,C105,IF(C$138=Common!$B$117,C60,"ERROR"))))</f>
        <v>2.2000000000000002</v>
      </c>
      <c r="D151" s="34">
        <f>IF(Single.Stream!$D$110="No",0,IF(D$138=Common!$B$116,D15,IF(D$138=Common!$B$118,D105,IF(D$138=Common!$B$117,D60,"ERROR"))))</f>
        <v>2.2000000000000002</v>
      </c>
      <c r="E151" s="35">
        <f>IF(Single.Stream!$D$111="No",0,IF(E$138=Common!$B$116,E15,IF(E$138=Common!$B$118,E105,IF(E$138=Common!$B$117,E60,"ERROR"))))</f>
        <v>0</v>
      </c>
      <c r="F151" s="34">
        <f>IF(Single.Stream!$D$112="No",0,IF(F$138=Common!$B$116,F15,IF(F$138=Common!$B$118,F105,IF(F$138=Common!$B$117,F60,"ERROR"))))</f>
        <v>2.2000000000000002</v>
      </c>
      <c r="G151" s="34">
        <f>IF(Single.Stream!$D$113="No",0,IF(G$138=Common!$B$116,G15,IF(G$138=Common!$B$118,G105,IF(G$138=Common!$B$117,G60,"ERROR"))))</f>
        <v>2.2000000000000002</v>
      </c>
      <c r="H151" s="34">
        <f>IF(Single.Stream!$D$114="No",0,IF(H$138=Common!$B$116,H15,IF(H$138=Common!$B$118,H105,IF(H$138=Common!$B$117,H60,"ERROR"))))</f>
        <v>0.33000000000000007</v>
      </c>
      <c r="I151" s="35">
        <f>IF(Single.Stream!$D$115="No",0,IF(I$138=Common!$B$116,I15,IF(I$138=Common!$B$118,I105,IF(I$138=Common!$B$117,I60,"ERROR"))))</f>
        <v>0</v>
      </c>
      <c r="J151" s="36">
        <f>IF(Single.Stream!$D$116="No",0,IF(J$138=Common!$B$116,J15,IF(J$138=Common!$B$118,J105,IF(J$138=Common!$B$117,J60,"ERROR"))))</f>
        <v>0</v>
      </c>
      <c r="K151" s="37">
        <f>IF(Single.Stream!$D$117="No",0,IF(K$138=Common!$B$116,K15,IF(K$138=Common!$B$118,K105,IF(K$138=Common!$B$117,K60,"ERROR"))))</f>
        <v>2.1703000000000001</v>
      </c>
      <c r="L151" s="34">
        <f>IF(Single.Stream!$D$118="No",0,IF(L$138=Common!$B$116,L15,IF(L$138=Common!$B$118,L105,IF(L$138=Common!$B$117,L60,"ERROR"))))</f>
        <v>0</v>
      </c>
      <c r="M151" s="36">
        <f>IF(Single.Stream!$D$119="No",0,IF(M$138=Common!$B$116,M15,IF(M$138=Common!$B$118,M105,IF(M$138=Common!$B$117,M60,"ERROR"))))</f>
        <v>0</v>
      </c>
      <c r="N151" s="34">
        <f>IF(Single.Stream!$D$120="No",0,IF(N$138=Common!$B$116,N15,IF(N$138=Common!$B$118,N105,IF(N$138=Common!$B$117,N60,"ERROR"))))</f>
        <v>0</v>
      </c>
      <c r="O151" s="37">
        <f>IF(Single.Stream!$D$121="No",0,IF(O$138=Common!$B$116,O15,IF(O$138=Common!$B$118,O105,IF(O$138=Common!$B$117,O60,"ERROR"))))</f>
        <v>0</v>
      </c>
      <c r="P151" s="34">
        <f>IF(Single.Stream!$D$122="No",0,IF(P$138=Common!$B$116,P15,IF(P$138=Common!$B$118,P105,IF(P$138=Common!$B$117,P60,"ERROR"))))</f>
        <v>0</v>
      </c>
      <c r="Q151" s="34">
        <f>IF(Single.Stream!$D$123="No",0,IF(Q$138=Common!$B$116,Q15,IF(Q$138=Common!$B$118,Q105,IF(Q$138=Common!$B$117,Q60,"ERROR"))))</f>
        <v>0</v>
      </c>
      <c r="R151" s="34">
        <f>IF(Single.Stream!$D$124="No",0,IF(R$138=Common!$B$116,R15,IF(R$138=Common!$B$118,R105,IF(R$138=Common!$B$117,R60,"ERROR"))))</f>
        <v>0</v>
      </c>
      <c r="S151" s="34">
        <f>IF(Single.Stream!$D$125="No",0,IF(S$138=Common!$B$116,S15,IF(S$138=Common!$B$118,S105,IF(S$138=Common!$B$117,S60,"ERROR"))))</f>
        <v>0</v>
      </c>
      <c r="T151" s="34">
        <f>IF(Single.Stream!$D$126="No",0,IF(T$138=Common!$B$116,T15,IF(T$138=Common!$B$118,T105,IF(T$138=Common!$B$117,T60,"ERROR"))))</f>
        <v>0</v>
      </c>
      <c r="U151" s="34">
        <f>IF(Single.Stream!$D$127="No",0,IF(U$138=Common!$B$116,U15,IF(U$138=Common!$B$118,U105,IF(U$138=Common!$B$117,U60,"ERROR"))))</f>
        <v>0</v>
      </c>
      <c r="V151" s="34">
        <f>IF(Single.Stream!$D$128="No",0,IF(V$138=Common!$B$116,V15,IF(V$138=Common!$B$118,V105,IF(V$138=Common!$B$117,V60,"ERROR"))))</f>
        <v>0</v>
      </c>
      <c r="W151" s="35">
        <f>IF(Single.Stream!$D$129="No",0,IF(W$138=Common!$B$116,W15,IF(W$138=Common!$B$118,W105,IF(W$138=Common!$B$117,W60,"ERROR"))))</f>
        <v>0</v>
      </c>
      <c r="X151" s="34">
        <f>IF(Single.Stream!$D$130="No",0,IF(X$138=Common!$B$116,X15,IF(X$138=Common!$B$118,X105,IF(X$138=Common!$B$117,X60,"ERROR"))))</f>
        <v>0</v>
      </c>
      <c r="Y151" s="34">
        <f>IF(Single.Stream!$D$131="No",0,IF(Y$138=Common!$B$116,Y15,IF(Y$138=Common!$B$118,Y105,IF(Y$138=Common!$B$117,Y60,"ERROR"))))</f>
        <v>0</v>
      </c>
      <c r="Z151" s="34">
        <f>IF(Single.Stream!$D$132="No",0,IF(Z$138=Common!$B$116,Z15,IF(Z$138=Common!$B$118,Z105,IF(Z$138=Common!$B$117,Z60,"ERROR"))))</f>
        <v>2.2000000000000002</v>
      </c>
    </row>
    <row r="152" spans="1:26" s="9" customFormat="1" x14ac:dyDescent="0.35">
      <c r="A152" s="13" t="str">
        <f t="shared" si="113"/>
        <v>3rd Class Mail</v>
      </c>
      <c r="C152" s="34">
        <f>IF(Single.Stream!$D$109="No",0,IF(C$138=Common!$B$116,C16,IF(C$138=Common!$B$118,C106,IF(C$138=Common!$B$117,C61,"ERROR"))))</f>
        <v>5.9</v>
      </c>
      <c r="D152" s="34">
        <f>IF(Single.Stream!$D$110="No",0,IF(D$138=Common!$B$116,D16,IF(D$138=Common!$B$118,D106,IF(D$138=Common!$B$117,D61,"ERROR"))))</f>
        <v>5.9</v>
      </c>
      <c r="E152" s="35">
        <f>IF(Single.Stream!$D$111="No",0,IF(E$138=Common!$B$116,E16,IF(E$138=Common!$B$118,E106,IF(E$138=Common!$B$117,E61,"ERROR"))))</f>
        <v>0</v>
      </c>
      <c r="F152" s="34">
        <f>IF(Single.Stream!$D$112="No",0,IF(F$138=Common!$B$116,F16,IF(F$138=Common!$B$118,F106,IF(F$138=Common!$B$117,F61,"ERROR"))))</f>
        <v>5.9</v>
      </c>
      <c r="G152" s="34">
        <f>IF(Single.Stream!$D$113="No",0,IF(G$138=Common!$B$116,G16,IF(G$138=Common!$B$118,G106,IF(G$138=Common!$B$117,G61,"ERROR"))))</f>
        <v>5.9</v>
      </c>
      <c r="H152" s="34">
        <f>IF(Single.Stream!$D$114="No",0,IF(H$138=Common!$B$116,H16,IF(H$138=Common!$B$118,H106,IF(H$138=Common!$B$117,H61,"ERROR"))))</f>
        <v>0.88499999999999979</v>
      </c>
      <c r="I152" s="35">
        <f>IF(Single.Stream!$D$115="No",0,IF(I$138=Common!$B$116,I16,IF(I$138=Common!$B$118,I106,IF(I$138=Common!$B$117,I61,"ERROR"))))</f>
        <v>0</v>
      </c>
      <c r="J152" s="36">
        <f>IF(Single.Stream!$D$116="No",0,IF(J$138=Common!$B$116,J16,IF(J$138=Common!$B$118,J106,IF(J$138=Common!$B$117,J61,"ERROR"))))</f>
        <v>0</v>
      </c>
      <c r="K152" s="37">
        <f>IF(Single.Stream!$D$117="No",0,IF(K$138=Common!$B$116,K16,IF(K$138=Common!$B$118,K106,IF(K$138=Common!$B$117,K61,"ERROR"))))</f>
        <v>5.8203500000000004</v>
      </c>
      <c r="L152" s="34">
        <f>IF(Single.Stream!$D$118="No",0,IF(L$138=Common!$B$116,L16,IF(L$138=Common!$B$118,L106,IF(L$138=Common!$B$117,L61,"ERROR"))))</f>
        <v>0</v>
      </c>
      <c r="M152" s="36">
        <f>IF(Single.Stream!$D$119="No",0,IF(M$138=Common!$B$116,M16,IF(M$138=Common!$B$118,M106,IF(M$138=Common!$B$117,M61,"ERROR"))))</f>
        <v>0</v>
      </c>
      <c r="N152" s="34">
        <f>IF(Single.Stream!$D$120="No",0,IF(N$138=Common!$B$116,N16,IF(N$138=Common!$B$118,N106,IF(N$138=Common!$B$117,N61,"ERROR"))))</f>
        <v>0</v>
      </c>
      <c r="O152" s="37">
        <f>IF(Single.Stream!$D$121="No",0,IF(O$138=Common!$B$116,O16,IF(O$138=Common!$B$118,O106,IF(O$138=Common!$B$117,O61,"ERROR"))))</f>
        <v>0</v>
      </c>
      <c r="P152" s="34">
        <f>IF(Single.Stream!$D$122="No",0,IF(P$138=Common!$B$116,P16,IF(P$138=Common!$B$118,P106,IF(P$138=Common!$B$117,P61,"ERROR"))))</f>
        <v>0</v>
      </c>
      <c r="Q152" s="34">
        <f>IF(Single.Stream!$D$123="No",0,IF(Q$138=Common!$B$116,Q16,IF(Q$138=Common!$B$118,Q106,IF(Q$138=Common!$B$117,Q61,"ERROR"))))</f>
        <v>0</v>
      </c>
      <c r="R152" s="34">
        <f>IF(Single.Stream!$D$124="No",0,IF(R$138=Common!$B$116,R16,IF(R$138=Common!$B$118,R106,IF(R$138=Common!$B$117,R61,"ERROR"))))</f>
        <v>0</v>
      </c>
      <c r="S152" s="34">
        <f>IF(Single.Stream!$D$125="No",0,IF(S$138=Common!$B$116,S16,IF(S$138=Common!$B$118,S106,IF(S$138=Common!$B$117,S61,"ERROR"))))</f>
        <v>0</v>
      </c>
      <c r="T152" s="34">
        <f>IF(Single.Stream!$D$126="No",0,IF(T$138=Common!$B$116,T16,IF(T$138=Common!$B$118,T106,IF(T$138=Common!$B$117,T61,"ERROR"))))</f>
        <v>0</v>
      </c>
      <c r="U152" s="34">
        <f>IF(Single.Stream!$D$127="No",0,IF(U$138=Common!$B$116,U16,IF(U$138=Common!$B$118,U106,IF(U$138=Common!$B$117,U61,"ERROR"))))</f>
        <v>0</v>
      </c>
      <c r="V152" s="34">
        <f>IF(Single.Stream!$D$128="No",0,IF(V$138=Common!$B$116,V16,IF(V$138=Common!$B$118,V106,IF(V$138=Common!$B$117,V61,"ERROR"))))</f>
        <v>0</v>
      </c>
      <c r="W152" s="35">
        <f>IF(Single.Stream!$D$129="No",0,IF(W$138=Common!$B$116,W16,IF(W$138=Common!$B$118,W106,IF(W$138=Common!$B$117,W61,"ERROR"))))</f>
        <v>0</v>
      </c>
      <c r="X152" s="34">
        <f>IF(Single.Stream!$D$130="No",0,IF(X$138=Common!$B$116,X16,IF(X$138=Common!$B$118,X106,IF(X$138=Common!$B$117,X61,"ERROR"))))</f>
        <v>0</v>
      </c>
      <c r="Y152" s="34">
        <f>IF(Single.Stream!$D$131="No",0,IF(Y$138=Common!$B$116,Y16,IF(Y$138=Common!$B$118,Y106,IF(Y$138=Common!$B$117,Y61,"ERROR"))))</f>
        <v>0</v>
      </c>
      <c r="Z152" s="34">
        <f>IF(Single.Stream!$D$132="No",0,IF(Z$138=Common!$B$116,Z16,IF(Z$138=Common!$B$118,Z106,IF(Z$138=Common!$B$117,Z61,"ERROR"))))</f>
        <v>5.9</v>
      </c>
    </row>
    <row r="153" spans="1:26" s="9" customFormat="1" x14ac:dyDescent="0.35">
      <c r="A153" s="13" t="str">
        <f t="shared" si="113"/>
        <v>Folding Containers</v>
      </c>
      <c r="C153" s="34">
        <f>IF(Single.Stream!$D$109="No",0,IF(C$138=Common!$B$116,C17,IF(C$138=Common!$B$118,C107,IF(C$138=Common!$B$117,C62,"ERROR"))))</f>
        <v>9.9999999999999995E-7</v>
      </c>
      <c r="D153" s="34">
        <f>IF(Single.Stream!$D$110="No",0,IF(D$138=Common!$B$116,D17,IF(D$138=Common!$B$118,D107,IF(D$138=Common!$B$117,D62,"ERROR"))))</f>
        <v>9.9999999999999995E-7</v>
      </c>
      <c r="E153" s="35">
        <f>IF(Single.Stream!$D$111="No",0,IF(E$138=Common!$B$116,E17,IF(E$138=Common!$B$118,E107,IF(E$138=Common!$B$117,E62,"ERROR"))))</f>
        <v>0</v>
      </c>
      <c r="F153" s="34">
        <f>IF(Single.Stream!$D$112="No",0,IF(F$138=Common!$B$116,F17,IF(F$138=Common!$B$118,F107,IF(F$138=Common!$B$117,F62,"ERROR"))))</f>
        <v>9.9999999999999995E-7</v>
      </c>
      <c r="G153" s="34">
        <f>IF(Single.Stream!$D$113="No",0,IF(G$138=Common!$B$116,G17,IF(G$138=Common!$B$118,G107,IF(G$138=Common!$B$117,G62,"ERROR"))))</f>
        <v>9.9999999999999995E-7</v>
      </c>
      <c r="H153" s="34">
        <f>IF(Single.Stream!$D$114="No",0,IF(H$138=Common!$B$116,H17,IF(H$138=Common!$B$118,H107,IF(H$138=Common!$B$117,H62,"ERROR"))))</f>
        <v>1.5000000000000005E-7</v>
      </c>
      <c r="I153" s="35">
        <f>IF(Single.Stream!$D$115="No",0,IF(I$138=Common!$B$116,I17,IF(I$138=Common!$B$118,I107,IF(I$138=Common!$B$117,I62,"ERROR"))))</f>
        <v>0</v>
      </c>
      <c r="J153" s="36">
        <f>IF(Single.Stream!$D$116="No",0,IF(J$138=Common!$B$116,J17,IF(J$138=Common!$B$118,J107,IF(J$138=Common!$B$117,J62,"ERROR"))))</f>
        <v>0</v>
      </c>
      <c r="K153" s="37">
        <f>IF(Single.Stream!$D$117="No",0,IF(K$138=Common!$B$116,K17,IF(K$138=Common!$B$118,K107,IF(K$138=Common!$B$117,K62,"ERROR"))))</f>
        <v>9.865E-7</v>
      </c>
      <c r="L153" s="34">
        <f>IF(Single.Stream!$D$118="No",0,IF(L$138=Common!$B$116,L17,IF(L$138=Common!$B$118,L107,IF(L$138=Common!$B$117,L62,"ERROR"))))</f>
        <v>0</v>
      </c>
      <c r="M153" s="36">
        <f>IF(Single.Stream!$D$119="No",0,IF(M$138=Common!$B$116,M17,IF(M$138=Common!$B$118,M107,IF(M$138=Common!$B$117,M62,"ERROR"))))</f>
        <v>0</v>
      </c>
      <c r="N153" s="34">
        <f>IF(Single.Stream!$D$120="No",0,IF(N$138=Common!$B$116,N17,IF(N$138=Common!$B$118,N107,IF(N$138=Common!$B$117,N62,"ERROR"))))</f>
        <v>0</v>
      </c>
      <c r="O153" s="37">
        <f>IF(Single.Stream!$D$121="No",0,IF(O$138=Common!$B$116,O17,IF(O$138=Common!$B$118,O107,IF(O$138=Common!$B$117,O62,"ERROR"))))</f>
        <v>0</v>
      </c>
      <c r="P153" s="34">
        <f>IF(Single.Stream!$D$122="No",0,IF(P$138=Common!$B$116,P17,IF(P$138=Common!$B$118,P107,IF(P$138=Common!$B$117,P62,"ERROR"))))</f>
        <v>0</v>
      </c>
      <c r="Q153" s="34">
        <f>IF(Single.Stream!$D$123="No",0,IF(Q$138=Common!$B$116,Q17,IF(Q$138=Common!$B$118,Q107,IF(Q$138=Common!$B$117,Q62,"ERROR"))))</f>
        <v>0</v>
      </c>
      <c r="R153" s="34">
        <f>IF(Single.Stream!$D$124="No",0,IF(R$138=Common!$B$116,R17,IF(R$138=Common!$B$118,R107,IF(R$138=Common!$B$117,R62,"ERROR"))))</f>
        <v>0</v>
      </c>
      <c r="S153" s="34">
        <f>IF(Single.Stream!$D$125="No",0,IF(S$138=Common!$B$116,S17,IF(S$138=Common!$B$118,S107,IF(S$138=Common!$B$117,S62,"ERROR"))))</f>
        <v>0</v>
      </c>
      <c r="T153" s="34">
        <f>IF(Single.Stream!$D$126="No",0,IF(T$138=Common!$B$116,T17,IF(T$138=Common!$B$118,T107,IF(T$138=Common!$B$117,T62,"ERROR"))))</f>
        <v>0</v>
      </c>
      <c r="U153" s="34">
        <f>IF(Single.Stream!$D$127="No",0,IF(U$138=Common!$B$116,U17,IF(U$138=Common!$B$118,U107,IF(U$138=Common!$B$117,U62,"ERROR"))))</f>
        <v>0</v>
      </c>
      <c r="V153" s="34">
        <f>IF(Single.Stream!$D$128="No",0,IF(V$138=Common!$B$116,V17,IF(V$138=Common!$B$118,V107,IF(V$138=Common!$B$117,V62,"ERROR"))))</f>
        <v>0</v>
      </c>
      <c r="W153" s="35">
        <f>IF(Single.Stream!$D$129="No",0,IF(W$138=Common!$B$116,W17,IF(W$138=Common!$B$118,W107,IF(W$138=Common!$B$117,W62,"ERROR"))))</f>
        <v>0</v>
      </c>
      <c r="X153" s="34">
        <f>IF(Single.Stream!$D$130="No",0,IF(X$138=Common!$B$116,X17,IF(X$138=Common!$B$118,X107,IF(X$138=Common!$B$117,X62,"ERROR"))))</f>
        <v>0</v>
      </c>
      <c r="Y153" s="34">
        <f>IF(Single.Stream!$D$131="No",0,IF(Y$138=Common!$B$116,Y17,IF(Y$138=Common!$B$118,Y107,IF(Y$138=Common!$B$117,Y62,"ERROR"))))</f>
        <v>0</v>
      </c>
      <c r="Z153" s="34">
        <f>IF(Single.Stream!$D$132="No",0,IF(Z$138=Common!$B$116,Z17,IF(Z$138=Common!$B$118,Z107,IF(Z$138=Common!$B$117,Z62,"ERROR"))))</f>
        <v>9.9999999999999995E-7</v>
      </c>
    </row>
    <row r="154" spans="1:26" s="9" customFormat="1" x14ac:dyDescent="0.35">
      <c r="A154" s="13" t="str">
        <f t="shared" si="113"/>
        <v xml:space="preserve">Paper Bags </v>
      </c>
      <c r="C154" s="34">
        <f>IF(Single.Stream!$D$109="No",0,IF(C$138=Common!$B$116,C18,IF(C$138=Common!$B$118,C108,IF(C$138=Common!$B$117,C63,"ERROR"))))</f>
        <v>9.9999999999999995E-7</v>
      </c>
      <c r="D154" s="34">
        <f>IF(Single.Stream!$D$110="No",0,IF(D$138=Common!$B$116,D18,IF(D$138=Common!$B$118,D108,IF(D$138=Common!$B$117,D63,"ERROR"))))</f>
        <v>9.9999999999999995E-7</v>
      </c>
      <c r="E154" s="35">
        <f>IF(Single.Stream!$D$111="No",0,IF(E$138=Common!$B$116,E18,IF(E$138=Common!$B$118,E108,IF(E$138=Common!$B$117,E63,"ERROR"))))</f>
        <v>0</v>
      </c>
      <c r="F154" s="34">
        <f>IF(Single.Stream!$D$112="No",0,IF(F$138=Common!$B$116,F18,IF(F$138=Common!$B$118,F108,IF(F$138=Common!$B$117,F63,"ERROR"))))</f>
        <v>9.9999999999999995E-7</v>
      </c>
      <c r="G154" s="34">
        <f>IF(Single.Stream!$D$113="No",0,IF(G$138=Common!$B$116,G18,IF(G$138=Common!$B$118,G108,IF(G$138=Common!$B$117,G63,"ERROR"))))</f>
        <v>9.9999999999999995E-7</v>
      </c>
      <c r="H154" s="34">
        <f>IF(Single.Stream!$D$114="No",0,IF(H$138=Common!$B$116,H18,IF(H$138=Common!$B$118,H108,IF(H$138=Common!$B$117,H63,"ERROR"))))</f>
        <v>1.5000000000000005E-7</v>
      </c>
      <c r="I154" s="35">
        <f>IF(Single.Stream!$D$115="No",0,IF(I$138=Common!$B$116,I18,IF(I$138=Common!$B$118,I108,IF(I$138=Common!$B$117,I63,"ERROR"))))</f>
        <v>0</v>
      </c>
      <c r="J154" s="36">
        <f>IF(Single.Stream!$D$116="No",0,IF(J$138=Common!$B$116,J18,IF(J$138=Common!$B$118,J108,IF(J$138=Common!$B$117,J63,"ERROR"))))</f>
        <v>0</v>
      </c>
      <c r="K154" s="37">
        <f>IF(Single.Stream!$D$117="No",0,IF(K$138=Common!$B$116,K18,IF(K$138=Common!$B$118,K108,IF(K$138=Common!$B$117,K63,"ERROR"))))</f>
        <v>9.865E-7</v>
      </c>
      <c r="L154" s="34">
        <f>IF(Single.Stream!$D$118="No",0,IF(L$138=Common!$B$116,L18,IF(L$138=Common!$B$118,L108,IF(L$138=Common!$B$117,L63,"ERROR"))))</f>
        <v>0</v>
      </c>
      <c r="M154" s="36">
        <f>IF(Single.Stream!$D$119="No",0,IF(M$138=Common!$B$116,M18,IF(M$138=Common!$B$118,M108,IF(M$138=Common!$B$117,M63,"ERROR"))))</f>
        <v>0</v>
      </c>
      <c r="N154" s="34">
        <f>IF(Single.Stream!$D$120="No",0,IF(N$138=Common!$B$116,N18,IF(N$138=Common!$B$118,N108,IF(N$138=Common!$B$117,N63,"ERROR"))))</f>
        <v>0</v>
      </c>
      <c r="O154" s="37">
        <f>IF(Single.Stream!$D$121="No",0,IF(O$138=Common!$B$116,O18,IF(O$138=Common!$B$118,O108,IF(O$138=Common!$B$117,O63,"ERROR"))))</f>
        <v>0</v>
      </c>
      <c r="P154" s="34">
        <f>IF(Single.Stream!$D$122="No",0,IF(P$138=Common!$B$116,P18,IF(P$138=Common!$B$118,P108,IF(P$138=Common!$B$117,P63,"ERROR"))))</f>
        <v>0</v>
      </c>
      <c r="Q154" s="34">
        <f>IF(Single.Stream!$D$123="No",0,IF(Q$138=Common!$B$116,Q18,IF(Q$138=Common!$B$118,Q108,IF(Q$138=Common!$B$117,Q63,"ERROR"))))</f>
        <v>0</v>
      </c>
      <c r="R154" s="34">
        <f>IF(Single.Stream!$D$124="No",0,IF(R$138=Common!$B$116,R18,IF(R$138=Common!$B$118,R108,IF(R$138=Common!$B$117,R63,"ERROR"))))</f>
        <v>0</v>
      </c>
      <c r="S154" s="34">
        <f>IF(Single.Stream!$D$125="No",0,IF(S$138=Common!$B$116,S18,IF(S$138=Common!$B$118,S108,IF(S$138=Common!$B$117,S63,"ERROR"))))</f>
        <v>0</v>
      </c>
      <c r="T154" s="34">
        <f>IF(Single.Stream!$D$126="No",0,IF(T$138=Common!$B$116,T18,IF(T$138=Common!$B$118,T108,IF(T$138=Common!$B$117,T63,"ERROR"))))</f>
        <v>0</v>
      </c>
      <c r="U154" s="34">
        <f>IF(Single.Stream!$D$127="No",0,IF(U$138=Common!$B$116,U18,IF(U$138=Common!$B$118,U108,IF(U$138=Common!$B$117,U63,"ERROR"))))</f>
        <v>0</v>
      </c>
      <c r="V154" s="34">
        <f>IF(Single.Stream!$D$128="No",0,IF(V$138=Common!$B$116,V18,IF(V$138=Common!$B$118,V108,IF(V$138=Common!$B$117,V63,"ERROR"))))</f>
        <v>0</v>
      </c>
      <c r="W154" s="35">
        <f>IF(Single.Stream!$D$129="No",0,IF(W$138=Common!$B$116,W18,IF(W$138=Common!$B$118,W108,IF(W$138=Common!$B$117,W63,"ERROR"))))</f>
        <v>0</v>
      </c>
      <c r="X154" s="34">
        <f>IF(Single.Stream!$D$130="No",0,IF(X$138=Common!$B$116,X18,IF(X$138=Common!$B$118,X108,IF(X$138=Common!$B$117,X63,"ERROR"))))</f>
        <v>0</v>
      </c>
      <c r="Y154" s="34">
        <f>IF(Single.Stream!$D$131="No",0,IF(Y$138=Common!$B$116,Y18,IF(Y$138=Common!$B$118,Y108,IF(Y$138=Common!$B$117,Y63,"ERROR"))))</f>
        <v>0</v>
      </c>
      <c r="Z154" s="34">
        <f>IF(Single.Stream!$D$132="No",0,IF(Z$138=Common!$B$116,Z18,IF(Z$138=Common!$B$118,Z108,IF(Z$138=Common!$B$117,Z63,"ERROR"))))</f>
        <v>9.9999999999999995E-7</v>
      </c>
    </row>
    <row r="155" spans="1:26" s="9" customFormat="1" x14ac:dyDescent="0.35">
      <c r="A155" s="13" t="str">
        <f t="shared" si="113"/>
        <v>Mixed Paper</v>
      </c>
      <c r="C155" s="34">
        <f>IF(Single.Stream!$D$109="No",0,IF(C$138=Common!$B$116,C19,IF(C$138=Common!$B$118,C109,IF(C$138=Common!$B$117,C64,"ERROR"))))</f>
        <v>9.9999999999999995E-7</v>
      </c>
      <c r="D155" s="34">
        <f>IF(Single.Stream!$D$110="No",0,IF(D$138=Common!$B$116,D19,IF(D$138=Common!$B$118,D109,IF(D$138=Common!$B$117,D64,"ERROR"))))</f>
        <v>9.9999999999999995E-7</v>
      </c>
      <c r="E155" s="35">
        <f>IF(Single.Stream!$D$111="No",0,IF(E$138=Common!$B$116,E19,IF(E$138=Common!$B$118,E109,IF(E$138=Common!$B$117,E64,"ERROR"))))</f>
        <v>0</v>
      </c>
      <c r="F155" s="34">
        <f>IF(Single.Stream!$D$112="No",0,IF(F$138=Common!$B$116,F19,IF(F$138=Common!$B$118,F109,IF(F$138=Common!$B$117,F64,"ERROR"))))</f>
        <v>9.9999999999999995E-7</v>
      </c>
      <c r="G155" s="34">
        <f>IF(Single.Stream!$D$113="No",0,IF(G$138=Common!$B$116,G19,IF(G$138=Common!$B$118,G109,IF(G$138=Common!$B$117,G64,"ERROR"))))</f>
        <v>9.9999999999999995E-7</v>
      </c>
      <c r="H155" s="34">
        <f>IF(Single.Stream!$D$114="No",0,IF(H$138=Common!$B$116,H19,IF(H$138=Common!$B$118,H109,IF(H$138=Common!$B$117,H64,"ERROR"))))</f>
        <v>1.5000000000000005E-7</v>
      </c>
      <c r="I155" s="35">
        <f>IF(Single.Stream!$D$115="No",0,IF(I$138=Common!$B$116,I19,IF(I$138=Common!$B$118,I109,IF(I$138=Common!$B$117,I64,"ERROR"))))</f>
        <v>0</v>
      </c>
      <c r="J155" s="36">
        <f>IF(Single.Stream!$D$116="No",0,IF(J$138=Common!$B$116,J19,IF(J$138=Common!$B$118,J109,IF(J$138=Common!$B$117,J64,"ERROR"))))</f>
        <v>0</v>
      </c>
      <c r="K155" s="37">
        <f>IF(Single.Stream!$D$117="No",0,IF(K$138=Common!$B$116,K19,IF(K$138=Common!$B$118,K109,IF(K$138=Common!$B$117,K64,"ERROR"))))</f>
        <v>9.865E-7</v>
      </c>
      <c r="L155" s="34">
        <f>IF(Single.Stream!$D$118="No",0,IF(L$138=Common!$B$116,L19,IF(L$138=Common!$B$118,L109,IF(L$138=Common!$B$117,L64,"ERROR"))))</f>
        <v>0</v>
      </c>
      <c r="M155" s="36">
        <f>IF(Single.Stream!$D$119="No",0,IF(M$138=Common!$B$116,M19,IF(M$138=Common!$B$118,M109,IF(M$138=Common!$B$117,M64,"ERROR"))))</f>
        <v>0</v>
      </c>
      <c r="N155" s="34">
        <f>IF(Single.Stream!$D$120="No",0,IF(N$138=Common!$B$116,N19,IF(N$138=Common!$B$118,N109,IF(N$138=Common!$B$117,N64,"ERROR"))))</f>
        <v>0</v>
      </c>
      <c r="O155" s="37">
        <f>IF(Single.Stream!$D$121="No",0,IF(O$138=Common!$B$116,O19,IF(O$138=Common!$B$118,O109,IF(O$138=Common!$B$117,O64,"ERROR"))))</f>
        <v>0</v>
      </c>
      <c r="P155" s="34">
        <f>IF(Single.Stream!$D$122="No",0,IF(P$138=Common!$B$116,P19,IF(P$138=Common!$B$118,P109,IF(P$138=Common!$B$117,P64,"ERROR"))))</f>
        <v>0</v>
      </c>
      <c r="Q155" s="34">
        <f>IF(Single.Stream!$D$123="No",0,IF(Q$138=Common!$B$116,Q19,IF(Q$138=Common!$B$118,Q109,IF(Q$138=Common!$B$117,Q64,"ERROR"))))</f>
        <v>0</v>
      </c>
      <c r="R155" s="34">
        <f>IF(Single.Stream!$D$124="No",0,IF(R$138=Common!$B$116,R19,IF(R$138=Common!$B$118,R109,IF(R$138=Common!$B$117,R64,"ERROR"))))</f>
        <v>0</v>
      </c>
      <c r="S155" s="34">
        <f>IF(Single.Stream!$D$125="No",0,IF(S$138=Common!$B$116,S19,IF(S$138=Common!$B$118,S109,IF(S$138=Common!$B$117,S64,"ERROR"))))</f>
        <v>0</v>
      </c>
      <c r="T155" s="34">
        <f>IF(Single.Stream!$D$126="No",0,IF(T$138=Common!$B$116,T19,IF(T$138=Common!$B$118,T109,IF(T$138=Common!$B$117,T64,"ERROR"))))</f>
        <v>0</v>
      </c>
      <c r="U155" s="34">
        <f>IF(Single.Stream!$D$127="No",0,IF(U$138=Common!$B$116,U19,IF(U$138=Common!$B$118,U109,IF(U$138=Common!$B$117,U64,"ERROR"))))</f>
        <v>0</v>
      </c>
      <c r="V155" s="34">
        <f>IF(Single.Stream!$D$128="No",0,IF(V$138=Common!$B$116,V19,IF(V$138=Common!$B$118,V109,IF(V$138=Common!$B$117,V64,"ERROR"))))</f>
        <v>0</v>
      </c>
      <c r="W155" s="35">
        <f>IF(Single.Stream!$D$129="No",0,IF(W$138=Common!$B$116,W19,IF(W$138=Common!$B$118,W109,IF(W$138=Common!$B$117,W64,"ERROR"))))</f>
        <v>0</v>
      </c>
      <c r="X155" s="34">
        <f>IF(Single.Stream!$D$130="No",0,IF(X$138=Common!$B$116,X19,IF(X$138=Common!$B$118,X109,IF(X$138=Common!$B$117,X64,"ERROR"))))</f>
        <v>0</v>
      </c>
      <c r="Y155" s="34">
        <f>IF(Single.Stream!$D$131="No",0,IF(Y$138=Common!$B$116,Y19,IF(Y$138=Common!$B$118,Y109,IF(Y$138=Common!$B$117,Y64,"ERROR"))))</f>
        <v>0</v>
      </c>
      <c r="Z155" s="34">
        <f>IF(Single.Stream!$D$132="No",0,IF(Z$138=Common!$B$116,Z19,IF(Z$138=Common!$B$118,Z109,IF(Z$138=Common!$B$117,Z64,"ERROR"))))</f>
        <v>9.9999999999999995E-7</v>
      </c>
    </row>
    <row r="156" spans="1:26" s="9" customFormat="1" x14ac:dyDescent="0.35">
      <c r="A156" s="13" t="str">
        <f t="shared" si="113"/>
        <v>Paper - Non-recyclable</v>
      </c>
      <c r="C156" s="34">
        <f>IF(Single.Stream!$D$109="No",0,IF(C$138=Common!$B$116,C20,IF(C$138=Common!$B$118,C110,IF(C$138=Common!$B$117,C65,"ERROR"))))</f>
        <v>9.9999999999999995E-7</v>
      </c>
      <c r="D156" s="34">
        <f>IF(Single.Stream!$D$110="No",0,IF(D$138=Common!$B$116,D20,IF(D$138=Common!$B$118,D110,IF(D$138=Common!$B$117,D65,"ERROR"))))</f>
        <v>9.9999999999999995E-7</v>
      </c>
      <c r="E156" s="35">
        <f>IF(Single.Stream!$D$111="No",0,IF(E$138=Common!$B$116,E20,IF(E$138=Common!$B$118,E110,IF(E$138=Common!$B$117,E65,"ERROR"))))</f>
        <v>0</v>
      </c>
      <c r="F156" s="34">
        <f>IF(Single.Stream!$D$112="No",0,IF(F$138=Common!$B$116,F20,IF(F$138=Common!$B$118,F110,IF(F$138=Common!$B$117,F65,"ERROR"))))</f>
        <v>9.9999999999999995E-7</v>
      </c>
      <c r="G156" s="34">
        <f>IF(Single.Stream!$D$113="No",0,IF(G$138=Common!$B$116,G20,IF(G$138=Common!$B$118,G110,IF(G$138=Common!$B$117,G65,"ERROR"))))</f>
        <v>9.9999999999999995E-7</v>
      </c>
      <c r="H156" s="34">
        <f>IF(Single.Stream!$D$114="No",0,IF(H$138=Common!$B$116,H20,IF(H$138=Common!$B$118,H110,IF(H$138=Common!$B$117,H65,"ERROR"))))</f>
        <v>9.9999999999999995E-7</v>
      </c>
      <c r="I156" s="35">
        <f>IF(Single.Stream!$D$115="No",0,IF(I$138=Common!$B$116,I20,IF(I$138=Common!$B$118,I110,IF(I$138=Common!$B$117,I65,"ERROR"))))</f>
        <v>0</v>
      </c>
      <c r="J156" s="36">
        <f>IF(Single.Stream!$D$116="No",0,IF(J$138=Common!$B$116,J20,IF(J$138=Common!$B$118,J110,IF(J$138=Common!$B$117,J65,"ERROR"))))</f>
        <v>0</v>
      </c>
      <c r="K156" s="37">
        <f>IF(Single.Stream!$D$117="No",0,IF(K$138=Common!$B$116,K20,IF(K$138=Common!$B$118,K110,IF(K$138=Common!$B$117,K65,"ERROR"))))</f>
        <v>0</v>
      </c>
      <c r="L156" s="34">
        <f>IF(Single.Stream!$D$118="No",0,IF(L$138=Common!$B$116,L20,IF(L$138=Common!$B$118,L110,IF(L$138=Common!$B$117,L65,"ERROR"))))</f>
        <v>0</v>
      </c>
      <c r="M156" s="36">
        <f>IF(Single.Stream!$D$119="No",0,IF(M$138=Common!$B$116,M20,IF(M$138=Common!$B$118,M110,IF(M$138=Common!$B$117,M65,"ERROR"))))</f>
        <v>0</v>
      </c>
      <c r="N156" s="34">
        <f>IF(Single.Stream!$D$120="No",0,IF(N$138=Common!$B$116,N20,IF(N$138=Common!$B$118,N110,IF(N$138=Common!$B$117,N65,"ERROR"))))</f>
        <v>0</v>
      </c>
      <c r="O156" s="37">
        <f>IF(Single.Stream!$D$121="No",0,IF(O$138=Common!$B$116,O20,IF(O$138=Common!$B$118,O110,IF(O$138=Common!$B$117,O65,"ERROR"))))</f>
        <v>0</v>
      </c>
      <c r="P156" s="34">
        <f>IF(Single.Stream!$D$122="No",0,IF(P$138=Common!$B$116,P20,IF(P$138=Common!$B$118,P110,IF(P$138=Common!$B$117,P65,"ERROR"))))</f>
        <v>0</v>
      </c>
      <c r="Q156" s="34">
        <f>IF(Single.Stream!$D$123="No",0,IF(Q$138=Common!$B$116,Q20,IF(Q$138=Common!$B$118,Q110,IF(Q$138=Common!$B$117,Q65,"ERROR"))))</f>
        <v>0</v>
      </c>
      <c r="R156" s="34">
        <f>IF(Single.Stream!$D$124="No",0,IF(R$138=Common!$B$116,R20,IF(R$138=Common!$B$118,R110,IF(R$138=Common!$B$117,R65,"ERROR"))))</f>
        <v>0</v>
      </c>
      <c r="S156" s="34">
        <f>IF(Single.Stream!$D$125="No",0,IF(S$138=Common!$B$116,S20,IF(S$138=Common!$B$118,S110,IF(S$138=Common!$B$117,S65,"ERROR"))))</f>
        <v>0</v>
      </c>
      <c r="T156" s="34">
        <f>IF(Single.Stream!$D$126="No",0,IF(T$138=Common!$B$116,T20,IF(T$138=Common!$B$118,T110,IF(T$138=Common!$B$117,T65,"ERROR"))))</f>
        <v>0</v>
      </c>
      <c r="U156" s="34">
        <f>IF(Single.Stream!$D$127="No",0,IF(U$138=Common!$B$116,U20,IF(U$138=Common!$B$118,U110,IF(U$138=Common!$B$117,U65,"ERROR"))))</f>
        <v>0</v>
      </c>
      <c r="V156" s="34">
        <f>IF(Single.Stream!$D$128="No",0,IF(V$138=Common!$B$116,V20,IF(V$138=Common!$B$118,V110,IF(V$138=Common!$B$117,V65,"ERROR"))))</f>
        <v>0</v>
      </c>
      <c r="W156" s="35">
        <f>IF(Single.Stream!$D$129="No",0,IF(W$138=Common!$B$116,W20,IF(W$138=Common!$B$118,W110,IF(W$138=Common!$B$117,W65,"ERROR"))))</f>
        <v>0</v>
      </c>
      <c r="X156" s="34">
        <f>IF(Single.Stream!$D$130="No",0,IF(X$138=Common!$B$116,X20,IF(X$138=Common!$B$118,X110,IF(X$138=Common!$B$117,X65,"ERROR"))))</f>
        <v>0</v>
      </c>
      <c r="Y156" s="34">
        <f>IF(Single.Stream!$D$131="No",0,IF(Y$138=Common!$B$116,Y20,IF(Y$138=Common!$B$118,Y110,IF(Y$138=Common!$B$117,Y65,"ERROR"))))</f>
        <v>0</v>
      </c>
      <c r="Z156" s="34">
        <f>IF(Single.Stream!$D$132="No",0,IF(Z$138=Common!$B$116,Z20,IF(Z$138=Common!$B$118,Z110,IF(Z$138=Common!$B$117,Z65,"ERROR"))))</f>
        <v>9.9999999999999995E-7</v>
      </c>
    </row>
    <row r="157" spans="1:26" s="9" customFormat="1" x14ac:dyDescent="0.35">
      <c r="A157" s="13" t="str">
        <f t="shared" si="113"/>
        <v>HDPE - Translucent Containers</v>
      </c>
      <c r="C157" s="34">
        <f>IF(Single.Stream!$D$109="No",0,IF(C$138=Common!$B$116,C21,IF(C$138=Common!$B$118,C111,IF(C$138=Common!$B$117,C66,"ERROR"))))</f>
        <v>1.1000000000000001</v>
      </c>
      <c r="D157" s="34">
        <f>IF(Single.Stream!$D$110="No",0,IF(D$138=Common!$B$116,D21,IF(D$138=Common!$B$118,D111,IF(D$138=Common!$B$117,D66,"ERROR"))))</f>
        <v>1.1000000000000001</v>
      </c>
      <c r="E157" s="35">
        <f>IF(Single.Stream!$D$111="No",0,IF(E$138=Common!$B$116,E21,IF(E$138=Common!$B$118,E111,IF(E$138=Common!$B$117,E66,"ERROR"))))</f>
        <v>0</v>
      </c>
      <c r="F157" s="34">
        <f>IF(Single.Stream!$D$112="No",0,IF(F$138=Common!$B$116,F21,IF(F$138=Common!$B$118,F111,IF(F$138=Common!$B$117,F66,"ERROR"))))</f>
        <v>1.1000000000000001</v>
      </c>
      <c r="G157" s="34">
        <f>IF(Single.Stream!$D$113="No",0,IF(G$138=Common!$B$116,G21,IF(G$138=Common!$B$118,G111,IF(G$138=Common!$B$117,G66,"ERROR"))))</f>
        <v>1.1000000000000001</v>
      </c>
      <c r="H157" s="34">
        <f>IF(Single.Stream!$D$114="No",0,IF(H$138=Common!$B$116,H21,IF(H$138=Common!$B$118,H111,IF(H$138=Common!$B$117,H66,"ERROR"))))</f>
        <v>1.1000000000000001</v>
      </c>
      <c r="I157" s="35">
        <f>IF(Single.Stream!$D$115="No",0,IF(I$138=Common!$B$116,I21,IF(I$138=Common!$B$118,I111,IF(I$138=Common!$B$117,I66,"ERROR"))))</f>
        <v>0</v>
      </c>
      <c r="J157" s="36">
        <f>IF(Single.Stream!$D$116="No",0,IF(J$138=Common!$B$116,J21,IF(J$138=Common!$B$118,J111,IF(J$138=Common!$B$117,J66,"ERROR"))))</f>
        <v>0</v>
      </c>
      <c r="K157" s="37">
        <f>IF(Single.Stream!$D$117="No",0,IF(K$138=Common!$B$116,K21,IF(K$138=Common!$B$118,K111,IF(K$138=Common!$B$117,K66,"ERROR"))))</f>
        <v>0</v>
      </c>
      <c r="L157" s="34">
        <f>IF(Single.Stream!$D$118="No",0,IF(L$138=Common!$B$116,L21,IF(L$138=Common!$B$118,L111,IF(L$138=Common!$B$117,L66,"ERROR"))))</f>
        <v>5.5000000000000007E-2</v>
      </c>
      <c r="M157" s="36">
        <f>IF(Single.Stream!$D$119="No",0,IF(M$138=Common!$B$116,M21,IF(M$138=Common!$B$118,M111,IF(M$138=Common!$B$117,M66,"ERROR"))))</f>
        <v>5.5000000000000007E-2</v>
      </c>
      <c r="N157" s="34">
        <f>IF(Single.Stream!$D$120="No",0,IF(N$138=Common!$B$116,N21,IF(N$138=Common!$B$118,N111,IF(N$138=Common!$B$117,N66,"ERROR"))))</f>
        <v>0</v>
      </c>
      <c r="O157" s="37">
        <f>IF(Single.Stream!$D$121="No",0,IF(O$138=Common!$B$116,O21,IF(O$138=Common!$B$118,O111,IF(O$138=Common!$B$117,O66,"ERROR"))))</f>
        <v>0</v>
      </c>
      <c r="P157" s="34">
        <f>IF(Single.Stream!$D$122="No",0,IF(P$138=Common!$B$116,P21,IF(P$138=Common!$B$118,P111,IF(P$138=Common!$B$117,P66,"ERROR"))))</f>
        <v>0</v>
      </c>
      <c r="Q157" s="34">
        <f>IF(Single.Stream!$D$123="No",0,IF(Q$138=Common!$B$116,Q21,IF(Q$138=Common!$B$118,Q111,IF(Q$138=Common!$B$117,Q66,"ERROR"))))</f>
        <v>0</v>
      </c>
      <c r="R157" s="34">
        <f>IF(Single.Stream!$D$124="No",0,IF(R$138=Common!$B$116,R21,IF(R$138=Common!$B$118,R111,IF(R$138=Common!$B$117,R66,"ERROR"))))</f>
        <v>1.0763830000000001</v>
      </c>
      <c r="S157" s="34">
        <f>IF(Single.Stream!$D$125="No",0,IF(S$138=Common!$B$116,S21,IF(S$138=Common!$B$118,S111,IF(S$138=Common!$B$117,S66,"ERROR"))))</f>
        <v>0</v>
      </c>
      <c r="T157" s="34">
        <f>IF(Single.Stream!$D$126="No",0,IF(T$138=Common!$B$116,T21,IF(T$138=Common!$B$118,T111,IF(T$138=Common!$B$117,T66,"ERROR"))))</f>
        <v>0</v>
      </c>
      <c r="U157" s="34">
        <f>IF(Single.Stream!$D$127="No",0,IF(U$138=Common!$B$116,U21,IF(U$138=Common!$B$118,U111,IF(U$138=Common!$B$117,U66,"ERROR"))))</f>
        <v>0</v>
      </c>
      <c r="V157" s="34">
        <f>IF(Single.Stream!$D$128="No",0,IF(V$138=Common!$B$116,V21,IF(V$138=Common!$B$118,V111,IF(V$138=Common!$B$117,V66,"ERROR"))))</f>
        <v>0</v>
      </c>
      <c r="W157" s="35">
        <f>IF(Single.Stream!$D$129="No",0,IF(W$138=Common!$B$116,W21,IF(W$138=Common!$B$118,W111,IF(W$138=Common!$B$117,W66,"ERROR"))))</f>
        <v>0</v>
      </c>
      <c r="X157" s="34">
        <f>IF(Single.Stream!$D$130="No",0,IF(X$138=Common!$B$116,X21,IF(X$138=Common!$B$118,X111,IF(X$138=Common!$B$117,X66,"ERROR"))))</f>
        <v>0</v>
      </c>
      <c r="Y157" s="34">
        <f>IF(Single.Stream!$D$131="No",0,IF(Y$138=Common!$B$116,Y21,IF(Y$138=Common!$B$118,Y111,IF(Y$138=Common!$B$117,Y66,"ERROR"))))</f>
        <v>1.0763830000000001</v>
      </c>
      <c r="Z157" s="34">
        <f>IF(Single.Stream!$D$132="No",0,IF(Z$138=Common!$B$116,Z21,IF(Z$138=Common!$B$118,Z111,IF(Z$138=Common!$B$117,Z66,"ERROR"))))</f>
        <v>1.1000000000000001</v>
      </c>
    </row>
    <row r="158" spans="1:26" s="9" customFormat="1" x14ac:dyDescent="0.35">
      <c r="A158" s="13" t="str">
        <f t="shared" si="113"/>
        <v>HDPE - Pigmented Containers</v>
      </c>
      <c r="C158" s="34">
        <f>IF(Single.Stream!$D$109="No",0,IF(C$138=Common!$B$116,C22,IF(C$138=Common!$B$118,C112,IF(C$138=Common!$B$117,C67,"ERROR"))))</f>
        <v>2</v>
      </c>
      <c r="D158" s="34">
        <f>IF(Single.Stream!$D$110="No",0,IF(D$138=Common!$B$116,D22,IF(D$138=Common!$B$118,D112,IF(D$138=Common!$B$117,D67,"ERROR"))))</f>
        <v>2</v>
      </c>
      <c r="E158" s="35">
        <f>IF(Single.Stream!$D$111="No",0,IF(E$138=Common!$B$116,E22,IF(E$138=Common!$B$118,E112,IF(E$138=Common!$B$117,E67,"ERROR"))))</f>
        <v>0</v>
      </c>
      <c r="F158" s="34">
        <f>IF(Single.Stream!$D$112="No",0,IF(F$138=Common!$B$116,F22,IF(F$138=Common!$B$118,F112,IF(F$138=Common!$B$117,F67,"ERROR"))))</f>
        <v>2</v>
      </c>
      <c r="G158" s="34">
        <f>IF(Single.Stream!$D$113="No",0,IF(G$138=Common!$B$116,G22,IF(G$138=Common!$B$118,G112,IF(G$138=Common!$B$117,G67,"ERROR"))))</f>
        <v>2</v>
      </c>
      <c r="H158" s="34">
        <f>IF(Single.Stream!$D$114="No",0,IF(H$138=Common!$B$116,H22,IF(H$138=Common!$B$118,H112,IF(H$138=Common!$B$117,H67,"ERROR"))))</f>
        <v>2</v>
      </c>
      <c r="I158" s="35">
        <f>IF(Single.Stream!$D$115="No",0,IF(I$138=Common!$B$116,I22,IF(I$138=Common!$B$118,I112,IF(I$138=Common!$B$117,I67,"ERROR"))))</f>
        <v>0</v>
      </c>
      <c r="J158" s="36">
        <f>IF(Single.Stream!$D$116="No",0,IF(J$138=Common!$B$116,J22,IF(J$138=Common!$B$118,J112,IF(J$138=Common!$B$117,J67,"ERROR"))))</f>
        <v>0</v>
      </c>
      <c r="K158" s="37">
        <f>IF(Single.Stream!$D$117="No",0,IF(K$138=Common!$B$116,K22,IF(K$138=Common!$B$118,K112,IF(K$138=Common!$B$117,K67,"ERROR"))))</f>
        <v>0</v>
      </c>
      <c r="L158" s="34">
        <f>IF(Single.Stream!$D$118="No",0,IF(L$138=Common!$B$116,L22,IF(L$138=Common!$B$118,L112,IF(L$138=Common!$B$117,L67,"ERROR"))))</f>
        <v>0.1</v>
      </c>
      <c r="M158" s="36">
        <f>IF(Single.Stream!$D$119="No",0,IF(M$138=Common!$B$116,M22,IF(M$138=Common!$B$118,M112,IF(M$138=Common!$B$117,M67,"ERROR"))))</f>
        <v>0.1</v>
      </c>
      <c r="N158" s="34">
        <f>IF(Single.Stream!$D$120="No",0,IF(N$138=Common!$B$116,N22,IF(N$138=Common!$B$118,N112,IF(N$138=Common!$B$117,N67,"ERROR"))))</f>
        <v>0</v>
      </c>
      <c r="O158" s="37">
        <f>IF(Single.Stream!$D$121="No",0,IF(O$138=Common!$B$116,O22,IF(O$138=Common!$B$118,O112,IF(O$138=Common!$B$117,O67,"ERROR"))))</f>
        <v>0</v>
      </c>
      <c r="P158" s="34">
        <f>IF(Single.Stream!$D$122="No",0,IF(P$138=Common!$B$116,P22,IF(P$138=Common!$B$118,P112,IF(P$138=Common!$B$117,P67,"ERROR"))))</f>
        <v>0</v>
      </c>
      <c r="Q158" s="34">
        <f>IF(Single.Stream!$D$123="No",0,IF(Q$138=Common!$B$116,Q22,IF(Q$138=Common!$B$118,Q112,IF(Q$138=Common!$B$117,Q67,"ERROR"))))</f>
        <v>0</v>
      </c>
      <c r="R158" s="34">
        <f>IF(Single.Stream!$D$124="No",0,IF(R$138=Common!$B$116,R22,IF(R$138=Common!$B$118,R112,IF(R$138=Common!$B$117,R67,"ERROR"))))</f>
        <v>1.9570599999999998</v>
      </c>
      <c r="S158" s="34">
        <f>IF(Single.Stream!$D$125="No",0,IF(S$138=Common!$B$116,S22,IF(S$138=Common!$B$118,S112,IF(S$138=Common!$B$117,S67,"ERROR"))))</f>
        <v>0</v>
      </c>
      <c r="T158" s="34">
        <f>IF(Single.Stream!$D$126="No",0,IF(T$138=Common!$B$116,T22,IF(T$138=Common!$B$118,T112,IF(T$138=Common!$B$117,T67,"ERROR"))))</f>
        <v>0</v>
      </c>
      <c r="U158" s="34">
        <f>IF(Single.Stream!$D$127="No",0,IF(U$138=Common!$B$116,U22,IF(U$138=Common!$B$118,U112,IF(U$138=Common!$B$117,U67,"ERROR"))))</f>
        <v>0</v>
      </c>
      <c r="V158" s="34">
        <f>IF(Single.Stream!$D$128="No",0,IF(V$138=Common!$B$116,V22,IF(V$138=Common!$B$118,V112,IF(V$138=Common!$B$117,V67,"ERROR"))))</f>
        <v>0</v>
      </c>
      <c r="W158" s="35">
        <f>IF(Single.Stream!$D$129="No",0,IF(W$138=Common!$B$116,W22,IF(W$138=Common!$B$118,W112,IF(W$138=Common!$B$117,W67,"ERROR"))))</f>
        <v>0</v>
      </c>
      <c r="X158" s="34">
        <f>IF(Single.Stream!$D$130="No",0,IF(X$138=Common!$B$116,X22,IF(X$138=Common!$B$118,X112,IF(X$138=Common!$B$117,X67,"ERROR"))))</f>
        <v>0</v>
      </c>
      <c r="Y158" s="34">
        <f>IF(Single.Stream!$D$131="No",0,IF(Y$138=Common!$B$116,Y22,IF(Y$138=Common!$B$118,Y112,IF(Y$138=Common!$B$117,Y67,"ERROR"))))</f>
        <v>1.9570599999999998</v>
      </c>
      <c r="Z158" s="34">
        <f>IF(Single.Stream!$D$132="No",0,IF(Z$138=Common!$B$116,Z22,IF(Z$138=Common!$B$118,Z112,IF(Z$138=Common!$B$117,Z67,"ERROR"))))</f>
        <v>2</v>
      </c>
    </row>
    <row r="159" spans="1:26" s="9" customFormat="1" x14ac:dyDescent="0.35">
      <c r="A159" s="13" t="str">
        <f t="shared" si="113"/>
        <v>PET - Containers</v>
      </c>
      <c r="C159" s="34">
        <f>IF(Single.Stream!$D$109="No",0,IF(C$138=Common!$B$116,C23,IF(C$138=Common!$B$118,C113,IF(C$138=Common!$B$117,C68,"ERROR"))))</f>
        <v>3.7</v>
      </c>
      <c r="D159" s="34">
        <f>IF(Single.Stream!$D$110="No",0,IF(D$138=Common!$B$116,D23,IF(D$138=Common!$B$118,D113,IF(D$138=Common!$B$117,D68,"ERROR"))))</f>
        <v>3.7</v>
      </c>
      <c r="E159" s="35">
        <f>IF(Single.Stream!$D$111="No",0,IF(E$138=Common!$B$116,E23,IF(E$138=Common!$B$118,E113,IF(E$138=Common!$B$117,E68,"ERROR"))))</f>
        <v>0</v>
      </c>
      <c r="F159" s="34">
        <f>IF(Single.Stream!$D$112="No",0,IF(F$138=Common!$B$116,F23,IF(F$138=Common!$B$118,F113,IF(F$138=Common!$B$117,F68,"ERROR"))))</f>
        <v>3.7</v>
      </c>
      <c r="G159" s="34">
        <f>IF(Single.Stream!$D$113="No",0,IF(G$138=Common!$B$116,G23,IF(G$138=Common!$B$118,G113,IF(G$138=Common!$B$117,G68,"ERROR"))))</f>
        <v>3.7</v>
      </c>
      <c r="H159" s="34">
        <f>IF(Single.Stream!$D$114="No",0,IF(H$138=Common!$B$116,H23,IF(H$138=Common!$B$118,H113,IF(H$138=Common!$B$117,H68,"ERROR"))))</f>
        <v>3.7</v>
      </c>
      <c r="I159" s="35">
        <f>IF(Single.Stream!$D$115="No",0,IF(I$138=Common!$B$116,I23,IF(I$138=Common!$B$118,I113,IF(I$138=Common!$B$117,I68,"ERROR"))))</f>
        <v>0</v>
      </c>
      <c r="J159" s="36">
        <f>IF(Single.Stream!$D$116="No",0,IF(J$138=Common!$B$116,J23,IF(J$138=Common!$B$118,J113,IF(J$138=Common!$B$117,J68,"ERROR"))))</f>
        <v>0</v>
      </c>
      <c r="K159" s="37">
        <f>IF(Single.Stream!$D$117="No",0,IF(K$138=Common!$B$116,K23,IF(K$138=Common!$B$118,K113,IF(K$138=Common!$B$117,K68,"ERROR"))))</f>
        <v>0</v>
      </c>
      <c r="L159" s="34">
        <f>IF(Single.Stream!$D$118="No",0,IF(L$138=Common!$B$116,L23,IF(L$138=Common!$B$118,L113,IF(L$138=Common!$B$117,L68,"ERROR"))))</f>
        <v>0.18500000000000003</v>
      </c>
      <c r="M159" s="36">
        <f>IF(Single.Stream!$D$119="No",0,IF(M$138=Common!$B$116,M23,IF(M$138=Common!$B$118,M113,IF(M$138=Common!$B$117,M68,"ERROR"))))</f>
        <v>0.18500000000000003</v>
      </c>
      <c r="N159" s="34">
        <f>IF(Single.Stream!$D$120="No",0,IF(N$138=Common!$B$116,N23,IF(N$138=Common!$B$118,N113,IF(N$138=Common!$B$117,N68,"ERROR"))))</f>
        <v>0</v>
      </c>
      <c r="O159" s="37">
        <f>IF(Single.Stream!$D$121="No",0,IF(O$138=Common!$B$116,O23,IF(O$138=Common!$B$118,O113,IF(O$138=Common!$B$117,O68,"ERROR"))))</f>
        <v>0</v>
      </c>
      <c r="P159" s="34">
        <f>IF(Single.Stream!$D$122="No",0,IF(P$138=Common!$B$116,P23,IF(P$138=Common!$B$118,P113,IF(P$138=Common!$B$117,P68,"ERROR"))))</f>
        <v>3.6205610000000004</v>
      </c>
      <c r="Q159" s="34">
        <f>IF(Single.Stream!$D$123="No",0,IF(Q$138=Common!$B$116,Q23,IF(Q$138=Common!$B$118,Q113,IF(Q$138=Common!$B$117,Q68,"ERROR"))))</f>
        <v>0</v>
      </c>
      <c r="R159" s="34">
        <f>IF(Single.Stream!$D$124="No",0,IF(R$138=Common!$B$116,R23,IF(R$138=Common!$B$118,R113,IF(R$138=Common!$B$117,R68,"ERROR"))))</f>
        <v>0</v>
      </c>
      <c r="S159" s="34">
        <f>IF(Single.Stream!$D$125="No",0,IF(S$138=Common!$B$116,S23,IF(S$138=Common!$B$118,S113,IF(S$138=Common!$B$117,S68,"ERROR"))))</f>
        <v>0</v>
      </c>
      <c r="T159" s="34">
        <f>IF(Single.Stream!$D$126="No",0,IF(T$138=Common!$B$116,T23,IF(T$138=Common!$B$118,T113,IF(T$138=Common!$B$117,T68,"ERROR"))))</f>
        <v>0</v>
      </c>
      <c r="U159" s="34">
        <f>IF(Single.Stream!$D$127="No",0,IF(U$138=Common!$B$116,U23,IF(U$138=Common!$B$118,U113,IF(U$138=Common!$B$117,U68,"ERROR"))))</f>
        <v>0</v>
      </c>
      <c r="V159" s="34">
        <f>IF(Single.Stream!$D$128="No",0,IF(V$138=Common!$B$116,V23,IF(V$138=Common!$B$118,V113,IF(V$138=Common!$B$117,V68,"ERROR"))))</f>
        <v>0</v>
      </c>
      <c r="W159" s="35">
        <f>IF(Single.Stream!$D$129="No",0,IF(W$138=Common!$B$116,W23,IF(W$138=Common!$B$118,W113,IF(W$138=Common!$B$117,W68,"ERROR"))))</f>
        <v>0</v>
      </c>
      <c r="X159" s="34">
        <f>IF(Single.Stream!$D$130="No",0,IF(X$138=Common!$B$116,X23,IF(X$138=Common!$B$118,X113,IF(X$138=Common!$B$117,X68,"ERROR"))))</f>
        <v>0</v>
      </c>
      <c r="Y159" s="34">
        <f>IF(Single.Stream!$D$131="No",0,IF(Y$138=Common!$B$116,Y23,IF(Y$138=Common!$B$118,Y113,IF(Y$138=Common!$B$117,Y68,"ERROR"))))</f>
        <v>3.6205610000000004</v>
      </c>
      <c r="Z159" s="34">
        <f>IF(Single.Stream!$D$132="No",0,IF(Z$138=Common!$B$116,Z23,IF(Z$138=Common!$B$118,Z113,IF(Z$138=Common!$B$117,Z68,"ERROR"))))</f>
        <v>3.7</v>
      </c>
    </row>
    <row r="160" spans="1:26" s="9" customFormat="1" x14ac:dyDescent="0.35">
      <c r="A160" s="13" t="str">
        <f t="shared" si="113"/>
        <v>Plastic - Other # 1, Polypropylene</v>
      </c>
      <c r="C160" s="34">
        <f>IF(Single.Stream!$D$109="No",0,IF(C$138=Common!$B$116,C24,IF(C$138=Common!$B$118,C114,IF(C$138=Common!$B$117,C69,"ERROR"))))</f>
        <v>9.9999999999999995E-7</v>
      </c>
      <c r="D160" s="34">
        <f>IF(Single.Stream!$D$110="No",0,IF(D$138=Common!$B$116,D24,IF(D$138=Common!$B$118,D114,IF(D$138=Common!$B$117,D69,"ERROR"))))</f>
        <v>9.9999999999999995E-7</v>
      </c>
      <c r="E160" s="35">
        <f>IF(Single.Stream!$D$111="No",0,IF(E$138=Common!$B$116,E24,IF(E$138=Common!$B$118,E114,IF(E$138=Common!$B$117,E69,"ERROR"))))</f>
        <v>0</v>
      </c>
      <c r="F160" s="34">
        <f>IF(Single.Stream!$D$112="No",0,IF(F$138=Common!$B$116,F24,IF(F$138=Common!$B$118,F114,IF(F$138=Common!$B$117,F69,"ERROR"))))</f>
        <v>9.9999999999999995E-7</v>
      </c>
      <c r="G160" s="34">
        <f>IF(Single.Stream!$D$113="No",0,IF(G$138=Common!$B$116,G24,IF(G$138=Common!$B$118,G114,IF(G$138=Common!$B$117,G69,"ERROR"))))</f>
        <v>9.9999999999999995E-7</v>
      </c>
      <c r="H160" s="34">
        <f>IF(Single.Stream!$D$114="No",0,IF(H$138=Common!$B$116,H24,IF(H$138=Common!$B$118,H114,IF(H$138=Common!$B$117,H69,"ERROR"))))</f>
        <v>9.9999999999999995E-7</v>
      </c>
      <c r="I160" s="35">
        <f>IF(Single.Stream!$D$115="No",0,IF(I$138=Common!$B$116,I24,IF(I$138=Common!$B$118,I114,IF(I$138=Common!$B$117,I69,"ERROR"))))</f>
        <v>0</v>
      </c>
      <c r="J160" s="36">
        <f>IF(Single.Stream!$D$116="No",0,IF(J$138=Common!$B$116,J24,IF(J$138=Common!$B$118,J114,IF(J$138=Common!$B$117,J69,"ERROR"))))</f>
        <v>0</v>
      </c>
      <c r="K160" s="37">
        <f>IF(Single.Stream!$D$117="No",0,IF(K$138=Common!$B$116,K24,IF(K$138=Common!$B$118,K114,IF(K$138=Common!$B$117,K69,"ERROR"))))</f>
        <v>0</v>
      </c>
      <c r="L160" s="34">
        <f>IF(Single.Stream!$D$118="No",0,IF(L$138=Common!$B$116,L24,IF(L$138=Common!$B$118,L114,IF(L$138=Common!$B$117,L69,"ERROR"))))</f>
        <v>4.9999999999999998E-8</v>
      </c>
      <c r="M160" s="36">
        <f>IF(Single.Stream!$D$119="No",0,IF(M$138=Common!$B$116,M24,IF(M$138=Common!$B$118,M114,IF(M$138=Common!$B$117,M69,"ERROR"))))</f>
        <v>4.9999999999999998E-8</v>
      </c>
      <c r="N160" s="34">
        <f>IF(Single.Stream!$D$120="No",0,IF(N$138=Common!$B$116,N24,IF(N$138=Common!$B$118,N114,IF(N$138=Common!$B$117,N69,"ERROR"))))</f>
        <v>0</v>
      </c>
      <c r="O160" s="37">
        <f>IF(Single.Stream!$D$121="No",0,IF(O$138=Common!$B$116,O24,IF(O$138=Common!$B$118,O114,IF(O$138=Common!$B$117,O69,"ERROR"))))</f>
        <v>0</v>
      </c>
      <c r="P160" s="34">
        <f>IF(Single.Stream!$D$122="No",0,IF(P$138=Common!$B$116,P24,IF(P$138=Common!$B$118,P114,IF(P$138=Common!$B$117,P69,"ERROR"))))</f>
        <v>0</v>
      </c>
      <c r="Q160" s="34">
        <f>IF(Single.Stream!$D$123="No",0,IF(Q$138=Common!$B$116,Q24,IF(Q$138=Common!$B$118,Q114,IF(Q$138=Common!$B$117,Q69,"ERROR"))))</f>
        <v>0</v>
      </c>
      <c r="R160" s="34">
        <f>IF(Single.Stream!$D$124="No",0,IF(R$138=Common!$B$116,R24,IF(R$138=Common!$B$118,R114,IF(R$138=Common!$B$117,R69,"ERROR"))))</f>
        <v>0</v>
      </c>
      <c r="S160" s="34">
        <f>IF(Single.Stream!$D$125="No",0,IF(S$138=Common!$B$116,S24,IF(S$138=Common!$B$118,S114,IF(S$138=Common!$B$117,S69,"ERROR"))))</f>
        <v>0</v>
      </c>
      <c r="T160" s="34">
        <f>IF(Single.Stream!$D$126="No",0,IF(T$138=Common!$B$116,T24,IF(T$138=Common!$B$118,T114,IF(T$138=Common!$B$117,T69,"ERROR"))))</f>
        <v>0</v>
      </c>
      <c r="U160" s="34">
        <f>IF(Single.Stream!$D$127="No",0,IF(U$138=Common!$B$116,U24,IF(U$138=Common!$B$118,U114,IF(U$138=Common!$B$117,U69,"ERROR"))))</f>
        <v>0</v>
      </c>
      <c r="V160" s="34">
        <f>IF(Single.Stream!$D$128="No",0,IF(V$138=Common!$B$116,V24,IF(V$138=Common!$B$118,V114,IF(V$138=Common!$B$117,V69,"ERROR"))))</f>
        <v>0</v>
      </c>
      <c r="W160" s="35">
        <f>IF(Single.Stream!$D$129="No",0,IF(W$138=Common!$B$116,W24,IF(W$138=Common!$B$118,W114,IF(W$138=Common!$B$117,W69,"ERROR"))))</f>
        <v>0</v>
      </c>
      <c r="X160" s="34">
        <f>IF(Single.Stream!$D$130="No",0,IF(X$138=Common!$B$116,X24,IF(X$138=Common!$B$118,X114,IF(X$138=Common!$B$117,X69,"ERROR"))))</f>
        <v>0</v>
      </c>
      <c r="Y160" s="34">
        <f>IF(Single.Stream!$D$131="No",0,IF(Y$138=Common!$B$116,Y24,IF(Y$138=Common!$B$118,Y114,IF(Y$138=Common!$B$117,Y69,"ERROR"))))</f>
        <v>0</v>
      </c>
      <c r="Z160" s="34">
        <f>IF(Single.Stream!$D$132="No",0,IF(Z$138=Common!$B$116,Z24,IF(Z$138=Common!$B$118,Z114,IF(Z$138=Common!$B$117,Z69,"ERROR"))))</f>
        <v>9.9999999999999995E-7</v>
      </c>
    </row>
    <row r="161" spans="1:26" s="9" customFormat="1" x14ac:dyDescent="0.35">
      <c r="A161" s="13" t="str">
        <f t="shared" si="113"/>
        <v>Plastic - Other # 2</v>
      </c>
      <c r="C161" s="34">
        <f>IF(Single.Stream!$D$109="No",0,IF(C$138=Common!$B$116,C25,IF(C$138=Common!$B$118,C115,IF(C$138=Common!$B$117,C70,"ERROR"))))</f>
        <v>9.9999999999999995E-7</v>
      </c>
      <c r="D161" s="34">
        <f>IF(Single.Stream!$D$110="No",0,IF(D$138=Common!$B$116,D25,IF(D$138=Common!$B$118,D115,IF(D$138=Common!$B$117,D70,"ERROR"))))</f>
        <v>9.9999999999999995E-7</v>
      </c>
      <c r="E161" s="35">
        <f>IF(Single.Stream!$D$111="No",0,IF(E$138=Common!$B$116,E25,IF(E$138=Common!$B$118,E115,IF(E$138=Common!$B$117,E70,"ERROR"))))</f>
        <v>0</v>
      </c>
      <c r="F161" s="34">
        <f>IF(Single.Stream!$D$112="No",0,IF(F$138=Common!$B$116,F25,IF(F$138=Common!$B$118,F115,IF(F$138=Common!$B$117,F70,"ERROR"))))</f>
        <v>9.9999999999999995E-7</v>
      </c>
      <c r="G161" s="34">
        <f>IF(Single.Stream!$D$113="No",0,IF(G$138=Common!$B$116,G25,IF(G$138=Common!$B$118,G115,IF(G$138=Common!$B$117,G70,"ERROR"))))</f>
        <v>9.9999999999999995E-7</v>
      </c>
      <c r="H161" s="34">
        <f>IF(Single.Stream!$D$114="No",0,IF(H$138=Common!$B$116,H25,IF(H$138=Common!$B$118,H115,IF(H$138=Common!$B$117,H70,"ERROR"))))</f>
        <v>9.9999999999999995E-7</v>
      </c>
      <c r="I161" s="35">
        <f>IF(Single.Stream!$D$115="No",0,IF(I$138=Common!$B$116,I25,IF(I$138=Common!$B$118,I115,IF(I$138=Common!$B$117,I70,"ERROR"))))</f>
        <v>0</v>
      </c>
      <c r="J161" s="36">
        <f>IF(Single.Stream!$D$116="No",0,IF(J$138=Common!$B$116,J25,IF(J$138=Common!$B$118,J115,IF(J$138=Common!$B$117,J70,"ERROR"))))</f>
        <v>0</v>
      </c>
      <c r="K161" s="37">
        <f>IF(Single.Stream!$D$117="No",0,IF(K$138=Common!$B$116,K25,IF(K$138=Common!$B$118,K115,IF(K$138=Common!$B$117,K70,"ERROR"))))</f>
        <v>0</v>
      </c>
      <c r="L161" s="34">
        <f>IF(Single.Stream!$D$118="No",0,IF(L$138=Common!$B$116,L25,IF(L$138=Common!$B$118,L115,IF(L$138=Common!$B$117,L70,"ERROR"))))</f>
        <v>4.9999999999999998E-8</v>
      </c>
      <c r="M161" s="36">
        <f>IF(Single.Stream!$D$119="No",0,IF(M$138=Common!$B$116,M25,IF(M$138=Common!$B$118,M115,IF(M$138=Common!$B$117,M70,"ERROR"))))</f>
        <v>4.9999999999999998E-8</v>
      </c>
      <c r="N161" s="34">
        <f>IF(Single.Stream!$D$120="No",0,IF(N$138=Common!$B$116,N25,IF(N$138=Common!$B$118,N115,IF(N$138=Common!$B$117,N70,"ERROR"))))</f>
        <v>0</v>
      </c>
      <c r="O161" s="37">
        <f>IF(Single.Stream!$D$121="No",0,IF(O$138=Common!$B$116,O25,IF(O$138=Common!$B$118,O115,IF(O$138=Common!$B$117,O70,"ERROR"))))</f>
        <v>0</v>
      </c>
      <c r="P161" s="34">
        <f>IF(Single.Stream!$D$122="No",0,IF(P$138=Common!$B$116,P25,IF(P$138=Common!$B$118,P115,IF(P$138=Common!$B$117,P70,"ERROR"))))</f>
        <v>0</v>
      </c>
      <c r="Q161" s="34">
        <f>IF(Single.Stream!$D$123="No",0,IF(Q$138=Common!$B$116,Q25,IF(Q$138=Common!$B$118,Q115,IF(Q$138=Common!$B$117,Q70,"ERROR"))))</f>
        <v>0</v>
      </c>
      <c r="R161" s="34">
        <f>IF(Single.Stream!$D$124="No",0,IF(R$138=Common!$B$116,R25,IF(R$138=Common!$B$118,R115,IF(R$138=Common!$B$117,R70,"ERROR"))))</f>
        <v>0</v>
      </c>
      <c r="S161" s="34">
        <f>IF(Single.Stream!$D$125="No",0,IF(S$138=Common!$B$116,S25,IF(S$138=Common!$B$118,S115,IF(S$138=Common!$B$117,S70,"ERROR"))))</f>
        <v>0</v>
      </c>
      <c r="T161" s="34">
        <f>IF(Single.Stream!$D$126="No",0,IF(T$138=Common!$B$116,T25,IF(T$138=Common!$B$118,T115,IF(T$138=Common!$B$117,T70,"ERROR"))))</f>
        <v>0</v>
      </c>
      <c r="U161" s="34">
        <f>IF(Single.Stream!$D$127="No",0,IF(U$138=Common!$B$116,U25,IF(U$138=Common!$B$118,U115,IF(U$138=Common!$B$117,U70,"ERROR"))))</f>
        <v>0</v>
      </c>
      <c r="V161" s="34">
        <f>IF(Single.Stream!$D$128="No",0,IF(V$138=Common!$B$116,V25,IF(V$138=Common!$B$118,V115,IF(V$138=Common!$B$117,V70,"ERROR"))))</f>
        <v>0</v>
      </c>
      <c r="W161" s="35">
        <f>IF(Single.Stream!$D$129="No",0,IF(W$138=Common!$B$116,W25,IF(W$138=Common!$B$118,W115,IF(W$138=Common!$B$117,W70,"ERROR"))))</f>
        <v>0</v>
      </c>
      <c r="X161" s="34">
        <f>IF(Single.Stream!$D$130="No",0,IF(X$138=Common!$B$116,X25,IF(X$138=Common!$B$118,X115,IF(X$138=Common!$B$117,X70,"ERROR"))))</f>
        <v>0</v>
      </c>
      <c r="Y161" s="34">
        <f>IF(Single.Stream!$D$131="No",0,IF(Y$138=Common!$B$116,Y25,IF(Y$138=Common!$B$118,Y115,IF(Y$138=Common!$B$117,Y70,"ERROR"))))</f>
        <v>0</v>
      </c>
      <c r="Z161" s="34">
        <f>IF(Single.Stream!$D$132="No",0,IF(Z$138=Common!$B$116,Z25,IF(Z$138=Common!$B$118,Z115,IF(Z$138=Common!$B$117,Z70,"ERROR"))))</f>
        <v>9.9999999999999995E-7</v>
      </c>
    </row>
    <row r="162" spans="1:26" s="9" customFormat="1" x14ac:dyDescent="0.35">
      <c r="A162" s="13" t="str">
        <f t="shared" si="113"/>
        <v>Mixed Plastic</v>
      </c>
      <c r="C162" s="34">
        <f>IF(Single.Stream!$D$109="No",0,IF(C$138=Common!$B$116,C26,IF(C$138=Common!$B$118,C116,IF(C$138=Common!$B$117,C71,"ERROR"))))</f>
        <v>9.9999999999999995E-7</v>
      </c>
      <c r="D162" s="34">
        <f>IF(Single.Stream!$D$110="No",0,IF(D$138=Common!$B$116,D26,IF(D$138=Common!$B$118,D116,IF(D$138=Common!$B$117,D71,"ERROR"))))</f>
        <v>9.9999999999999995E-7</v>
      </c>
      <c r="E162" s="35">
        <f>IF(Single.Stream!$D$111="No",0,IF(E$138=Common!$B$116,E26,IF(E$138=Common!$B$118,E116,IF(E$138=Common!$B$117,E71,"ERROR"))))</f>
        <v>0</v>
      </c>
      <c r="F162" s="34">
        <f>IF(Single.Stream!$D$112="No",0,IF(F$138=Common!$B$116,F26,IF(F$138=Common!$B$118,F116,IF(F$138=Common!$B$117,F71,"ERROR"))))</f>
        <v>9.9999999999999995E-7</v>
      </c>
      <c r="G162" s="34">
        <f>IF(Single.Stream!$D$113="No",0,IF(G$138=Common!$B$116,G26,IF(G$138=Common!$B$118,G116,IF(G$138=Common!$B$117,G71,"ERROR"))))</f>
        <v>9.9999999999999995E-7</v>
      </c>
      <c r="H162" s="34">
        <f>IF(Single.Stream!$D$114="No",0,IF(H$138=Common!$B$116,H26,IF(H$138=Common!$B$118,H116,IF(H$138=Common!$B$117,H71,"ERROR"))))</f>
        <v>9.9999999999999995E-7</v>
      </c>
      <c r="I162" s="35">
        <f>IF(Single.Stream!$D$115="No",0,IF(I$138=Common!$B$116,I26,IF(I$138=Common!$B$118,I116,IF(I$138=Common!$B$117,I71,"ERROR"))))</f>
        <v>0</v>
      </c>
      <c r="J162" s="36">
        <f>IF(Single.Stream!$D$116="No",0,IF(J$138=Common!$B$116,J26,IF(J$138=Common!$B$118,J116,IF(J$138=Common!$B$117,J71,"ERROR"))))</f>
        <v>0</v>
      </c>
      <c r="K162" s="37">
        <f>IF(Single.Stream!$D$117="No",0,IF(K$138=Common!$B$116,K26,IF(K$138=Common!$B$118,K116,IF(K$138=Common!$B$117,K71,"ERROR"))))</f>
        <v>0</v>
      </c>
      <c r="L162" s="34">
        <f>IF(Single.Stream!$D$118="No",0,IF(L$138=Common!$B$116,L26,IF(L$138=Common!$B$118,L116,IF(L$138=Common!$B$117,L71,"ERROR"))))</f>
        <v>4.9999999999999998E-8</v>
      </c>
      <c r="M162" s="36">
        <f>IF(Single.Stream!$D$119="No",0,IF(M$138=Common!$B$116,M26,IF(M$138=Common!$B$118,M116,IF(M$138=Common!$B$117,M71,"ERROR"))))</f>
        <v>4.9999999999999998E-8</v>
      </c>
      <c r="N162" s="34">
        <f>IF(Single.Stream!$D$120="No",0,IF(N$138=Common!$B$116,N26,IF(N$138=Common!$B$118,N116,IF(N$138=Common!$B$117,N71,"ERROR"))))</f>
        <v>0</v>
      </c>
      <c r="O162" s="37">
        <f>IF(Single.Stream!$D$121="No",0,IF(O$138=Common!$B$116,O26,IF(O$138=Common!$B$118,O116,IF(O$138=Common!$B$117,O71,"ERROR"))))</f>
        <v>0</v>
      </c>
      <c r="P162" s="34">
        <f>IF(Single.Stream!$D$122="No",0,IF(P$138=Common!$B$116,P26,IF(P$138=Common!$B$118,P116,IF(P$138=Common!$B$117,P71,"ERROR"))))</f>
        <v>0</v>
      </c>
      <c r="Q162" s="34">
        <f>IF(Single.Stream!$D$123="No",0,IF(Q$138=Common!$B$116,Q26,IF(Q$138=Common!$B$118,Q116,IF(Q$138=Common!$B$117,Q71,"ERROR"))))</f>
        <v>0</v>
      </c>
      <c r="R162" s="34">
        <f>IF(Single.Stream!$D$124="No",0,IF(R$138=Common!$B$116,R26,IF(R$138=Common!$B$118,R116,IF(R$138=Common!$B$117,R71,"ERROR"))))</f>
        <v>0</v>
      </c>
      <c r="S162" s="34">
        <f>IF(Single.Stream!$D$125="No",0,IF(S$138=Common!$B$116,S26,IF(S$138=Common!$B$118,S116,IF(S$138=Common!$B$117,S71,"ERROR"))))</f>
        <v>0</v>
      </c>
      <c r="T162" s="34">
        <f>IF(Single.Stream!$D$126="No",0,IF(T$138=Common!$B$116,T26,IF(T$138=Common!$B$118,T116,IF(T$138=Common!$B$117,T71,"ERROR"))))</f>
        <v>0</v>
      </c>
      <c r="U162" s="34">
        <f>IF(Single.Stream!$D$127="No",0,IF(U$138=Common!$B$116,U26,IF(U$138=Common!$B$118,U116,IF(U$138=Common!$B$117,U71,"ERROR"))))</f>
        <v>0</v>
      </c>
      <c r="V162" s="34">
        <f>IF(Single.Stream!$D$128="No",0,IF(V$138=Common!$B$116,V26,IF(V$138=Common!$B$118,V116,IF(V$138=Common!$B$117,V71,"ERROR"))))</f>
        <v>0</v>
      </c>
      <c r="W162" s="35">
        <f>IF(Single.Stream!$D$129="No",0,IF(W$138=Common!$B$116,W26,IF(W$138=Common!$B$118,W116,IF(W$138=Common!$B$117,W71,"ERROR"))))</f>
        <v>0</v>
      </c>
      <c r="X162" s="34">
        <f>IF(Single.Stream!$D$130="No",0,IF(X$138=Common!$B$116,X26,IF(X$138=Common!$B$118,X116,IF(X$138=Common!$B$117,X71,"ERROR"))))</f>
        <v>0</v>
      </c>
      <c r="Y162" s="34">
        <f>IF(Single.Stream!$D$131="No",0,IF(Y$138=Common!$B$116,Y26,IF(Y$138=Common!$B$118,Y116,IF(Y$138=Common!$B$117,Y71,"ERROR"))))</f>
        <v>0</v>
      </c>
      <c r="Z162" s="34">
        <f>IF(Single.Stream!$D$132="No",0,IF(Z$138=Common!$B$116,Z26,IF(Z$138=Common!$B$118,Z116,IF(Z$138=Common!$B$117,Z71,"ERROR"))))</f>
        <v>9.9999999999999995E-7</v>
      </c>
    </row>
    <row r="163" spans="1:26" s="9" customFormat="1" x14ac:dyDescent="0.35">
      <c r="A163" s="13" t="str">
        <f t="shared" si="113"/>
        <v>Plastic Film</v>
      </c>
      <c r="C163" s="34">
        <f>IF(Single.Stream!$D$109="No",0,IF(C$138=Common!$B$116,C27,IF(C$138=Common!$B$118,C117,IF(C$138=Common!$B$117,C72,"ERROR"))))</f>
        <v>5.4</v>
      </c>
      <c r="D163" s="34">
        <f>IF(Single.Stream!$D$110="No",0,IF(D$138=Common!$B$116,D27,IF(D$138=Common!$B$118,D117,IF(D$138=Common!$B$117,D72,"ERROR"))))</f>
        <v>5.4</v>
      </c>
      <c r="E163" s="35">
        <f>IF(Single.Stream!$D$111="No",0,IF(E$138=Common!$B$116,E27,IF(E$138=Common!$B$118,E117,IF(E$138=Common!$B$117,E72,"ERROR"))))</f>
        <v>4.8600000000000003</v>
      </c>
      <c r="F163" s="34">
        <f>IF(Single.Stream!$D$112="No",0,IF(F$138=Common!$B$116,F27,IF(F$138=Common!$B$118,F117,IF(F$138=Common!$B$117,F72,"ERROR"))))</f>
        <v>0.54</v>
      </c>
      <c r="G163" s="34">
        <f>IF(Single.Stream!$D$113="No",0,IF(G$138=Common!$B$116,G27,IF(G$138=Common!$B$118,G117,IF(G$138=Common!$B$117,G72,"ERROR"))))</f>
        <v>0.54</v>
      </c>
      <c r="H163" s="34">
        <f>IF(Single.Stream!$D$114="No",0,IF(H$138=Common!$B$116,H27,IF(H$138=Common!$B$118,H117,IF(H$138=Common!$B$117,H72,"ERROR"))))</f>
        <v>0.54</v>
      </c>
      <c r="I163" s="35">
        <f>IF(Single.Stream!$D$115="No",0,IF(I$138=Common!$B$116,I27,IF(I$138=Common!$B$118,I117,IF(I$138=Common!$B$117,I72,"ERROR"))))</f>
        <v>0</v>
      </c>
      <c r="J163" s="36">
        <f>IF(Single.Stream!$D$116="No",0,IF(J$138=Common!$B$116,J27,IF(J$138=Common!$B$118,J117,IF(J$138=Common!$B$117,J72,"ERROR"))))</f>
        <v>0</v>
      </c>
      <c r="K163" s="37">
        <f>IF(Single.Stream!$D$117="No",0,IF(K$138=Common!$B$116,K27,IF(K$138=Common!$B$118,K117,IF(K$138=Common!$B$117,K72,"ERROR"))))</f>
        <v>0</v>
      </c>
      <c r="L163" s="34">
        <f>IF(Single.Stream!$D$118="No",0,IF(L$138=Common!$B$116,L27,IF(L$138=Common!$B$118,L117,IF(L$138=Common!$B$117,L72,"ERROR"))))</f>
        <v>0</v>
      </c>
      <c r="M163" s="36">
        <f>IF(Single.Stream!$D$119="No",0,IF(M$138=Common!$B$116,M27,IF(M$138=Common!$B$118,M117,IF(M$138=Common!$B$117,M72,"ERROR"))))</f>
        <v>0</v>
      </c>
      <c r="N163" s="34">
        <f>IF(Single.Stream!$D$120="No",0,IF(N$138=Common!$B$116,N27,IF(N$138=Common!$B$118,N117,IF(N$138=Common!$B$117,N72,"ERROR"))))</f>
        <v>0</v>
      </c>
      <c r="O163" s="37">
        <f>IF(Single.Stream!$D$121="No",0,IF(O$138=Common!$B$116,O27,IF(O$138=Common!$B$118,O117,IF(O$138=Common!$B$117,O72,"ERROR"))))</f>
        <v>0</v>
      </c>
      <c r="P163" s="34">
        <f>IF(Single.Stream!$D$122="No",0,IF(P$138=Common!$B$116,P27,IF(P$138=Common!$B$118,P117,IF(P$138=Common!$B$117,P72,"ERROR"))))</f>
        <v>0</v>
      </c>
      <c r="Q163" s="34">
        <f>IF(Single.Stream!$D$123="No",0,IF(Q$138=Common!$B$116,Q27,IF(Q$138=Common!$B$118,Q117,IF(Q$138=Common!$B$117,Q72,"ERROR"))))</f>
        <v>0</v>
      </c>
      <c r="R163" s="34">
        <f>IF(Single.Stream!$D$124="No",0,IF(R$138=Common!$B$116,R27,IF(R$138=Common!$B$118,R117,IF(R$138=Common!$B$117,R72,"ERROR"))))</f>
        <v>0</v>
      </c>
      <c r="S163" s="34">
        <f>IF(Single.Stream!$D$125="No",0,IF(S$138=Common!$B$116,S27,IF(S$138=Common!$B$118,S117,IF(S$138=Common!$B$117,S72,"ERROR"))))</f>
        <v>0</v>
      </c>
      <c r="T163" s="34">
        <f>IF(Single.Stream!$D$126="No",0,IF(T$138=Common!$B$116,T27,IF(T$138=Common!$B$118,T117,IF(T$138=Common!$B$117,T72,"ERROR"))))</f>
        <v>0</v>
      </c>
      <c r="U163" s="34">
        <f>IF(Single.Stream!$D$127="No",0,IF(U$138=Common!$B$116,U27,IF(U$138=Common!$B$118,U117,IF(U$138=Common!$B$117,U72,"ERROR"))))</f>
        <v>0</v>
      </c>
      <c r="V163" s="34">
        <f>IF(Single.Stream!$D$128="No",0,IF(V$138=Common!$B$116,V27,IF(V$138=Common!$B$118,V117,IF(V$138=Common!$B$117,V72,"ERROR"))))</f>
        <v>0</v>
      </c>
      <c r="W163" s="35">
        <f>IF(Single.Stream!$D$129="No",0,IF(W$138=Common!$B$116,W27,IF(W$138=Common!$B$118,W117,IF(W$138=Common!$B$117,W72,"ERROR"))))</f>
        <v>0</v>
      </c>
      <c r="X163" s="34">
        <f>IF(Single.Stream!$D$130="No",0,IF(X$138=Common!$B$116,X27,IF(X$138=Common!$B$118,X117,IF(X$138=Common!$B$117,X72,"ERROR"))))</f>
        <v>0</v>
      </c>
      <c r="Y163" s="34">
        <f>IF(Single.Stream!$D$131="No",0,IF(Y$138=Common!$B$116,Y27,IF(Y$138=Common!$B$118,Y117,IF(Y$138=Common!$B$117,Y72,"ERROR"))))</f>
        <v>4.8600000000000003</v>
      </c>
      <c r="Z163" s="34">
        <f>IF(Single.Stream!$D$132="No",0,IF(Z$138=Common!$B$116,Z27,IF(Z$138=Common!$B$118,Z117,IF(Z$138=Common!$B$117,Z72,"ERROR"))))</f>
        <v>5.4</v>
      </c>
    </row>
    <row r="164" spans="1:26" s="9" customFormat="1" x14ac:dyDescent="0.35">
      <c r="A164" s="13" t="str">
        <f t="shared" si="113"/>
        <v xml:space="preserve">Plastic - Non-Recyclable </v>
      </c>
      <c r="C164" s="34">
        <f>IF(Single.Stream!$D$109="No",0,IF(C$138=Common!$B$116,C28,IF(C$138=Common!$B$118,C118,IF(C$138=Common!$B$117,C73,"ERROR"))))</f>
        <v>9.9999999999999995E-7</v>
      </c>
      <c r="D164" s="34">
        <f>IF(Single.Stream!$D$110="No",0,IF(D$138=Common!$B$116,D28,IF(D$138=Common!$B$118,D118,IF(D$138=Common!$B$117,D73,"ERROR"))))</f>
        <v>9.9999999999999995E-7</v>
      </c>
      <c r="E164" s="35">
        <f>IF(Single.Stream!$D$111="No",0,IF(E$138=Common!$B$116,E28,IF(E$138=Common!$B$118,E118,IF(E$138=Common!$B$117,E73,"ERROR"))))</f>
        <v>0</v>
      </c>
      <c r="F164" s="34">
        <f>IF(Single.Stream!$D$112="No",0,IF(F$138=Common!$B$116,F28,IF(F$138=Common!$B$118,F118,IF(F$138=Common!$B$117,F73,"ERROR"))))</f>
        <v>9.9999999999999995E-7</v>
      </c>
      <c r="G164" s="34">
        <f>IF(Single.Stream!$D$113="No",0,IF(G$138=Common!$B$116,G28,IF(G$138=Common!$B$118,G118,IF(G$138=Common!$B$117,G73,"ERROR"))))</f>
        <v>9.9999999999999995E-7</v>
      </c>
      <c r="H164" s="34">
        <f>IF(Single.Stream!$D$114="No",0,IF(H$138=Common!$B$116,H28,IF(H$138=Common!$B$118,H118,IF(H$138=Common!$B$117,H73,"ERROR"))))</f>
        <v>9.9999999999999995E-7</v>
      </c>
      <c r="I164" s="35">
        <f>IF(Single.Stream!$D$115="No",0,IF(I$138=Common!$B$116,I28,IF(I$138=Common!$B$118,I118,IF(I$138=Common!$B$117,I73,"ERROR"))))</f>
        <v>0</v>
      </c>
      <c r="J164" s="36">
        <f>IF(Single.Stream!$D$116="No",0,IF(J$138=Common!$B$116,J28,IF(J$138=Common!$B$118,J118,IF(J$138=Common!$B$117,J73,"ERROR"))))</f>
        <v>0</v>
      </c>
      <c r="K164" s="37">
        <f>IF(Single.Stream!$D$117="No",0,IF(K$138=Common!$B$116,K28,IF(K$138=Common!$B$118,K118,IF(K$138=Common!$B$117,K73,"ERROR"))))</f>
        <v>0</v>
      </c>
      <c r="L164" s="34">
        <f>IF(Single.Stream!$D$118="No",0,IF(L$138=Common!$B$116,L28,IF(L$138=Common!$B$118,L118,IF(L$138=Common!$B$117,L73,"ERROR"))))</f>
        <v>0</v>
      </c>
      <c r="M164" s="36">
        <f>IF(Single.Stream!$D$119="No",0,IF(M$138=Common!$B$116,M28,IF(M$138=Common!$B$118,M118,IF(M$138=Common!$B$117,M73,"ERROR"))))</f>
        <v>0</v>
      </c>
      <c r="N164" s="34">
        <f>IF(Single.Stream!$D$120="No",0,IF(N$138=Common!$B$116,N28,IF(N$138=Common!$B$118,N118,IF(N$138=Common!$B$117,N73,"ERROR"))))</f>
        <v>0</v>
      </c>
      <c r="O164" s="37">
        <f>IF(Single.Stream!$D$121="No",0,IF(O$138=Common!$B$116,O28,IF(O$138=Common!$B$118,O118,IF(O$138=Common!$B$117,O73,"ERROR"))))</f>
        <v>0</v>
      </c>
      <c r="P164" s="34">
        <f>IF(Single.Stream!$D$122="No",0,IF(P$138=Common!$B$116,P28,IF(P$138=Common!$B$118,P118,IF(P$138=Common!$B$117,P73,"ERROR"))))</f>
        <v>0</v>
      </c>
      <c r="Q164" s="34">
        <f>IF(Single.Stream!$D$123="No",0,IF(Q$138=Common!$B$116,Q28,IF(Q$138=Common!$B$118,Q118,IF(Q$138=Common!$B$117,Q73,"ERROR"))))</f>
        <v>0</v>
      </c>
      <c r="R164" s="34">
        <f>IF(Single.Stream!$D$124="No",0,IF(R$138=Common!$B$116,R28,IF(R$138=Common!$B$118,R118,IF(R$138=Common!$B$117,R73,"ERROR"))))</f>
        <v>0</v>
      </c>
      <c r="S164" s="34">
        <f>IF(Single.Stream!$D$125="No",0,IF(S$138=Common!$B$116,S28,IF(S$138=Common!$B$118,S118,IF(S$138=Common!$B$117,S73,"ERROR"))))</f>
        <v>0</v>
      </c>
      <c r="T164" s="34">
        <f>IF(Single.Stream!$D$126="No",0,IF(T$138=Common!$B$116,T28,IF(T$138=Common!$B$118,T118,IF(T$138=Common!$B$117,T73,"ERROR"))))</f>
        <v>0</v>
      </c>
      <c r="U164" s="34">
        <f>IF(Single.Stream!$D$127="No",0,IF(U$138=Common!$B$116,U28,IF(U$138=Common!$B$118,U118,IF(U$138=Common!$B$117,U73,"ERROR"))))</f>
        <v>0</v>
      </c>
      <c r="V164" s="34">
        <f>IF(Single.Stream!$D$128="No",0,IF(V$138=Common!$B$116,V28,IF(V$138=Common!$B$118,V118,IF(V$138=Common!$B$117,V73,"ERROR"))))</f>
        <v>0</v>
      </c>
      <c r="W164" s="35">
        <f>IF(Single.Stream!$D$129="No",0,IF(W$138=Common!$B$116,W28,IF(W$138=Common!$B$118,W118,IF(W$138=Common!$B$117,W73,"ERROR"))))</f>
        <v>0</v>
      </c>
      <c r="X164" s="34">
        <f>IF(Single.Stream!$D$130="No",0,IF(X$138=Common!$B$116,X28,IF(X$138=Common!$B$118,X118,IF(X$138=Common!$B$117,X73,"ERROR"))))</f>
        <v>0</v>
      </c>
      <c r="Y164" s="34">
        <f>IF(Single.Stream!$D$131="No",0,IF(Y$138=Common!$B$116,Y28,IF(Y$138=Common!$B$118,Y118,IF(Y$138=Common!$B$117,Y73,"ERROR"))))</f>
        <v>0</v>
      </c>
      <c r="Z164" s="34">
        <f>IF(Single.Stream!$D$132="No",0,IF(Z$138=Common!$B$116,Z28,IF(Z$138=Common!$B$118,Z118,IF(Z$138=Common!$B$117,Z73,"ERROR"))))</f>
        <v>9.9999999999999995E-7</v>
      </c>
    </row>
    <row r="165" spans="1:26" s="9" customFormat="1" x14ac:dyDescent="0.35">
      <c r="A165" s="13" t="str">
        <f t="shared" si="113"/>
        <v>Ferrous Cans</v>
      </c>
      <c r="C165" s="34">
        <f>IF(Single.Stream!$D$109="No",0,IF(C$138=Common!$B$116,C29,IF(C$138=Common!$B$118,C119,IF(C$138=Common!$B$117,C74,"ERROR"))))</f>
        <v>3.2</v>
      </c>
      <c r="D165" s="34">
        <f>IF(Single.Stream!$D$110="No",0,IF(D$138=Common!$B$116,D29,IF(D$138=Common!$B$118,D119,IF(D$138=Common!$B$117,D74,"ERROR"))))</f>
        <v>3.2</v>
      </c>
      <c r="E165" s="35">
        <f>IF(Single.Stream!$D$111="No",0,IF(E$138=Common!$B$116,E29,IF(E$138=Common!$B$118,E119,IF(E$138=Common!$B$117,E74,"ERROR"))))</f>
        <v>0</v>
      </c>
      <c r="F165" s="34">
        <f>IF(Single.Stream!$D$112="No",0,IF(F$138=Common!$B$116,F29,IF(F$138=Common!$B$118,F119,IF(F$138=Common!$B$117,F74,"ERROR"))))</f>
        <v>3.2</v>
      </c>
      <c r="G165" s="34">
        <f>IF(Single.Stream!$D$113="No",0,IF(G$138=Common!$B$116,G29,IF(G$138=Common!$B$118,G119,IF(G$138=Common!$B$117,G74,"ERROR"))))</f>
        <v>3.2</v>
      </c>
      <c r="H165" s="34">
        <f>IF(Single.Stream!$D$114="No",0,IF(H$138=Common!$B$116,H29,IF(H$138=Common!$B$118,H119,IF(H$138=Common!$B$117,H74,"ERROR"))))</f>
        <v>3.2</v>
      </c>
      <c r="I165" s="35">
        <f>IF(Single.Stream!$D$115="No",0,IF(I$138=Common!$B$116,I29,IF(I$138=Common!$B$118,I119,IF(I$138=Common!$B$117,I74,"ERROR"))))</f>
        <v>0</v>
      </c>
      <c r="J165" s="36">
        <f>IF(Single.Stream!$D$116="No",0,IF(J$138=Common!$B$116,J29,IF(J$138=Common!$B$118,J119,IF(J$138=Common!$B$117,J74,"ERROR"))))</f>
        <v>0</v>
      </c>
      <c r="K165" s="37">
        <f>IF(Single.Stream!$D$117="No",0,IF(K$138=Common!$B$116,K29,IF(K$138=Common!$B$118,K119,IF(K$138=Common!$B$117,K74,"ERROR"))))</f>
        <v>0</v>
      </c>
      <c r="L165" s="34">
        <f>IF(Single.Stream!$D$118="No",0,IF(L$138=Common!$B$116,L29,IF(L$138=Common!$B$118,L119,IF(L$138=Common!$B$117,L74,"ERROR"))))</f>
        <v>0</v>
      </c>
      <c r="M165" s="36">
        <f>IF(Single.Stream!$D$119="No",0,IF(M$138=Common!$B$116,M29,IF(M$138=Common!$B$118,M119,IF(M$138=Common!$B$117,M74,"ERROR"))))</f>
        <v>0</v>
      </c>
      <c r="N165" s="34">
        <f>IF(Single.Stream!$D$120="No",0,IF(N$138=Common!$B$116,N29,IF(N$138=Common!$B$118,N119,IF(N$138=Common!$B$117,N74,"ERROR"))))</f>
        <v>0</v>
      </c>
      <c r="O165" s="37">
        <f>IF(Single.Stream!$D$121="No",0,IF(O$138=Common!$B$116,O29,IF(O$138=Common!$B$118,O119,IF(O$138=Common!$B$117,O74,"ERROR"))))</f>
        <v>0</v>
      </c>
      <c r="P165" s="34">
        <f>IF(Single.Stream!$D$122="No",0,IF(P$138=Common!$B$116,P29,IF(P$138=Common!$B$118,P119,IF(P$138=Common!$B$117,P74,"ERROR"))))</f>
        <v>0</v>
      </c>
      <c r="Q165" s="34">
        <f>IF(Single.Stream!$D$123="No",0,IF(Q$138=Common!$B$116,Q29,IF(Q$138=Common!$B$118,Q119,IF(Q$138=Common!$B$117,Q74,"ERROR"))))</f>
        <v>0</v>
      </c>
      <c r="R165" s="34">
        <f>IF(Single.Stream!$D$124="No",0,IF(R$138=Common!$B$116,R29,IF(R$138=Common!$B$118,R119,IF(R$138=Common!$B$117,R74,"ERROR"))))</f>
        <v>0</v>
      </c>
      <c r="S165" s="34">
        <f>IF(Single.Stream!$D$125="No",0,IF(S$138=Common!$B$116,S29,IF(S$138=Common!$B$118,S119,IF(S$138=Common!$B$117,S74,"ERROR"))))</f>
        <v>0</v>
      </c>
      <c r="T165" s="34">
        <f>IF(Single.Stream!$D$126="No",0,IF(T$138=Common!$B$116,T29,IF(T$138=Common!$B$118,T119,IF(T$138=Common!$B$117,T74,"ERROR"))))</f>
        <v>3.1360000000000001</v>
      </c>
      <c r="U165" s="34">
        <f>IF(Single.Stream!$D$127="No",0,IF(U$138=Common!$B$116,U29,IF(U$138=Common!$B$118,U119,IF(U$138=Common!$B$117,U74,"ERROR"))))</f>
        <v>0</v>
      </c>
      <c r="V165" s="34">
        <f>IF(Single.Stream!$D$128="No",0,IF(V$138=Common!$B$116,V29,IF(V$138=Common!$B$118,V119,IF(V$138=Common!$B$117,V74,"ERROR"))))</f>
        <v>0</v>
      </c>
      <c r="W165" s="35">
        <f>IF(Single.Stream!$D$129="No",0,IF(W$138=Common!$B$116,W29,IF(W$138=Common!$B$118,W119,IF(W$138=Common!$B$117,W74,"ERROR"))))</f>
        <v>0</v>
      </c>
      <c r="X165" s="34">
        <f>IF(Single.Stream!$D$130="No",0,IF(X$138=Common!$B$116,X29,IF(X$138=Common!$B$118,X119,IF(X$138=Common!$B$117,X74,"ERROR"))))</f>
        <v>0</v>
      </c>
      <c r="Y165" s="34">
        <f>IF(Single.Stream!$D$131="No",0,IF(Y$138=Common!$B$116,Y29,IF(Y$138=Common!$B$118,Y119,IF(Y$138=Common!$B$117,Y74,"ERROR"))))</f>
        <v>3.1360000000000001</v>
      </c>
      <c r="Z165" s="34">
        <f>IF(Single.Stream!$D$132="No",0,IF(Z$138=Common!$B$116,Z29,IF(Z$138=Common!$B$118,Z119,IF(Z$138=Common!$B$117,Z74,"ERROR"))))</f>
        <v>3.2</v>
      </c>
    </row>
    <row r="166" spans="1:26" s="9" customFormat="1" x14ac:dyDescent="0.35">
      <c r="A166" s="13" t="str">
        <f t="shared" si="113"/>
        <v>Ferrous Metal - Other</v>
      </c>
      <c r="C166" s="34">
        <f>IF(Single.Stream!$D$109="No",0,IF(C$138=Common!$B$116,C30,IF(C$138=Common!$B$118,C120,IF(C$138=Common!$B$117,C75,"ERROR"))))</f>
        <v>0.6</v>
      </c>
      <c r="D166" s="34">
        <f>IF(Single.Stream!$D$110="No",0,IF(D$138=Common!$B$116,D30,IF(D$138=Common!$B$118,D120,IF(D$138=Common!$B$117,D75,"ERROR"))))</f>
        <v>0.6</v>
      </c>
      <c r="E166" s="35">
        <f>IF(Single.Stream!$D$111="No",0,IF(E$138=Common!$B$116,E30,IF(E$138=Common!$B$118,E120,IF(E$138=Common!$B$117,E75,"ERROR"))))</f>
        <v>0</v>
      </c>
      <c r="F166" s="34">
        <f>IF(Single.Stream!$D$112="No",0,IF(F$138=Common!$B$116,F30,IF(F$138=Common!$B$118,F120,IF(F$138=Common!$B$117,F75,"ERROR"))))</f>
        <v>0.6</v>
      </c>
      <c r="G166" s="34">
        <f>IF(Single.Stream!$D$113="No",0,IF(G$138=Common!$B$116,G30,IF(G$138=Common!$B$118,G120,IF(G$138=Common!$B$117,G75,"ERROR"))))</f>
        <v>0.6</v>
      </c>
      <c r="H166" s="34">
        <f>IF(Single.Stream!$D$114="No",0,IF(H$138=Common!$B$116,H30,IF(H$138=Common!$B$118,H120,IF(H$138=Common!$B$117,H75,"ERROR"))))</f>
        <v>0.6</v>
      </c>
      <c r="I166" s="35">
        <f>IF(Single.Stream!$D$115="No",0,IF(I$138=Common!$B$116,I30,IF(I$138=Common!$B$118,I120,IF(I$138=Common!$B$117,I75,"ERROR"))))</f>
        <v>0</v>
      </c>
      <c r="J166" s="36">
        <f>IF(Single.Stream!$D$116="No",0,IF(J$138=Common!$B$116,J30,IF(J$138=Common!$B$118,J120,IF(J$138=Common!$B$117,J75,"ERROR"))))</f>
        <v>0</v>
      </c>
      <c r="K166" s="37">
        <f>IF(Single.Stream!$D$117="No",0,IF(K$138=Common!$B$116,K30,IF(K$138=Common!$B$118,K120,IF(K$138=Common!$B$117,K75,"ERROR"))))</f>
        <v>0</v>
      </c>
      <c r="L166" s="34">
        <f>IF(Single.Stream!$D$118="No",0,IF(L$138=Common!$B$116,L30,IF(L$138=Common!$B$118,L120,IF(L$138=Common!$B$117,L75,"ERROR"))))</f>
        <v>0</v>
      </c>
      <c r="M166" s="36">
        <f>IF(Single.Stream!$D$119="No",0,IF(M$138=Common!$B$116,M30,IF(M$138=Common!$B$118,M120,IF(M$138=Common!$B$117,M75,"ERROR"))))</f>
        <v>0</v>
      </c>
      <c r="N166" s="34">
        <f>IF(Single.Stream!$D$120="No",0,IF(N$138=Common!$B$116,N30,IF(N$138=Common!$B$118,N120,IF(N$138=Common!$B$117,N75,"ERROR"))))</f>
        <v>0</v>
      </c>
      <c r="O166" s="37">
        <f>IF(Single.Stream!$D$121="No",0,IF(O$138=Common!$B$116,O30,IF(O$138=Common!$B$118,O120,IF(O$138=Common!$B$117,O75,"ERROR"))))</f>
        <v>0</v>
      </c>
      <c r="P166" s="34">
        <f>IF(Single.Stream!$D$122="No",0,IF(P$138=Common!$B$116,P30,IF(P$138=Common!$B$118,P120,IF(P$138=Common!$B$117,P75,"ERROR"))))</f>
        <v>0</v>
      </c>
      <c r="Q166" s="34">
        <f>IF(Single.Stream!$D$123="No",0,IF(Q$138=Common!$B$116,Q30,IF(Q$138=Common!$B$118,Q120,IF(Q$138=Common!$B$117,Q75,"ERROR"))))</f>
        <v>0</v>
      </c>
      <c r="R166" s="34">
        <f>IF(Single.Stream!$D$124="No",0,IF(R$138=Common!$B$116,R30,IF(R$138=Common!$B$118,R120,IF(R$138=Common!$B$117,R75,"ERROR"))))</f>
        <v>0</v>
      </c>
      <c r="S166" s="34">
        <f>IF(Single.Stream!$D$125="No",0,IF(S$138=Common!$B$116,S30,IF(S$138=Common!$B$118,S120,IF(S$138=Common!$B$117,S75,"ERROR"))))</f>
        <v>0</v>
      </c>
      <c r="T166" s="34">
        <f>IF(Single.Stream!$D$126="No",0,IF(T$138=Common!$B$116,T30,IF(T$138=Common!$B$118,T120,IF(T$138=Common!$B$117,T75,"ERROR"))))</f>
        <v>0.58799999999999997</v>
      </c>
      <c r="U166" s="34">
        <f>IF(Single.Stream!$D$127="No",0,IF(U$138=Common!$B$116,U30,IF(U$138=Common!$B$118,U120,IF(U$138=Common!$B$117,U75,"ERROR"))))</f>
        <v>0</v>
      </c>
      <c r="V166" s="34">
        <f>IF(Single.Stream!$D$128="No",0,IF(V$138=Common!$B$116,V30,IF(V$138=Common!$B$118,V120,IF(V$138=Common!$B$117,V75,"ERROR"))))</f>
        <v>0</v>
      </c>
      <c r="W166" s="35">
        <f>IF(Single.Stream!$D$129="No",0,IF(W$138=Common!$B$116,W30,IF(W$138=Common!$B$118,W120,IF(W$138=Common!$B$117,W75,"ERROR"))))</f>
        <v>0</v>
      </c>
      <c r="X166" s="34">
        <f>IF(Single.Stream!$D$130="No",0,IF(X$138=Common!$B$116,X30,IF(X$138=Common!$B$118,X120,IF(X$138=Common!$B$117,X75,"ERROR"))))</f>
        <v>0</v>
      </c>
      <c r="Y166" s="34">
        <f>IF(Single.Stream!$D$131="No",0,IF(Y$138=Common!$B$116,Y30,IF(Y$138=Common!$B$118,Y120,IF(Y$138=Common!$B$117,Y75,"ERROR"))))</f>
        <v>0.58799999999999997</v>
      </c>
      <c r="Z166" s="34">
        <f>IF(Single.Stream!$D$132="No",0,IF(Z$138=Common!$B$116,Z30,IF(Z$138=Common!$B$118,Z120,IF(Z$138=Common!$B$117,Z75,"ERROR"))))</f>
        <v>0.6</v>
      </c>
    </row>
    <row r="167" spans="1:26" s="9" customFormat="1" x14ac:dyDescent="0.35">
      <c r="A167" s="13" t="str">
        <f t="shared" si="113"/>
        <v>Aluminum Cans</v>
      </c>
      <c r="C167" s="34">
        <f>IF(Single.Stream!$D$109="No",0,IF(C$138=Common!$B$116,C31,IF(C$138=Common!$B$118,C121,IF(C$138=Common!$B$117,C76,"ERROR"))))</f>
        <v>2</v>
      </c>
      <c r="D167" s="34">
        <f>IF(Single.Stream!$D$110="No",0,IF(D$138=Common!$B$116,D31,IF(D$138=Common!$B$118,D121,IF(D$138=Common!$B$117,D76,"ERROR"))))</f>
        <v>2</v>
      </c>
      <c r="E167" s="35">
        <f>IF(Single.Stream!$D$111="No",0,IF(E$138=Common!$B$116,E31,IF(E$138=Common!$B$118,E121,IF(E$138=Common!$B$117,E76,"ERROR"))))</f>
        <v>0</v>
      </c>
      <c r="F167" s="34">
        <f>IF(Single.Stream!$D$112="No",0,IF(F$138=Common!$B$116,F31,IF(F$138=Common!$B$118,F121,IF(F$138=Common!$B$117,F76,"ERROR"))))</f>
        <v>2</v>
      </c>
      <c r="G167" s="34">
        <f>IF(Single.Stream!$D$113="No",0,IF(G$138=Common!$B$116,G31,IF(G$138=Common!$B$118,G121,IF(G$138=Common!$B$117,G76,"ERROR"))))</f>
        <v>2</v>
      </c>
      <c r="H167" s="34">
        <f>IF(Single.Stream!$D$114="No",0,IF(H$138=Common!$B$116,H31,IF(H$138=Common!$B$118,H121,IF(H$138=Common!$B$117,H76,"ERROR"))))</f>
        <v>2</v>
      </c>
      <c r="I167" s="35">
        <f>IF(Single.Stream!$D$115="No",0,IF(I$138=Common!$B$116,I31,IF(I$138=Common!$B$118,I121,IF(I$138=Common!$B$117,I76,"ERROR"))))</f>
        <v>0</v>
      </c>
      <c r="J167" s="36">
        <f>IF(Single.Stream!$D$116="No",0,IF(J$138=Common!$B$116,J31,IF(J$138=Common!$B$118,J121,IF(J$138=Common!$B$117,J76,"ERROR"))))</f>
        <v>0</v>
      </c>
      <c r="K167" s="37">
        <f>IF(Single.Stream!$D$117="No",0,IF(K$138=Common!$B$116,K31,IF(K$138=Common!$B$118,K121,IF(K$138=Common!$B$117,K76,"ERROR"))))</f>
        <v>0</v>
      </c>
      <c r="L167" s="34">
        <f>IF(Single.Stream!$D$118="No",0,IF(L$138=Common!$B$116,L31,IF(L$138=Common!$B$118,L121,IF(L$138=Common!$B$117,L76,"ERROR"))))</f>
        <v>0</v>
      </c>
      <c r="M167" s="36">
        <f>IF(Single.Stream!$D$119="No",0,IF(M$138=Common!$B$116,M31,IF(M$138=Common!$B$118,M121,IF(M$138=Common!$B$117,M76,"ERROR"))))</f>
        <v>0</v>
      </c>
      <c r="N167" s="34">
        <f>IF(Single.Stream!$D$120="No",0,IF(N$138=Common!$B$116,N31,IF(N$138=Common!$B$118,N121,IF(N$138=Common!$B$117,N76,"ERROR"))))</f>
        <v>0</v>
      </c>
      <c r="O167" s="37">
        <f>IF(Single.Stream!$D$121="No",0,IF(O$138=Common!$B$116,O31,IF(O$138=Common!$B$118,O121,IF(O$138=Common!$B$117,O76,"ERROR"))))</f>
        <v>0</v>
      </c>
      <c r="P167" s="34">
        <f>IF(Single.Stream!$D$122="No",0,IF(P$138=Common!$B$116,P31,IF(P$138=Common!$B$118,P121,IF(P$138=Common!$B$117,P76,"ERROR"))))</f>
        <v>0</v>
      </c>
      <c r="Q167" s="34">
        <f>IF(Single.Stream!$D$123="No",0,IF(Q$138=Common!$B$116,Q31,IF(Q$138=Common!$B$118,Q121,IF(Q$138=Common!$B$117,Q76,"ERROR"))))</f>
        <v>0</v>
      </c>
      <c r="R167" s="34">
        <f>IF(Single.Stream!$D$124="No",0,IF(R$138=Common!$B$116,R31,IF(R$138=Common!$B$118,R121,IF(R$138=Common!$B$117,R76,"ERROR"))))</f>
        <v>0</v>
      </c>
      <c r="S167" s="34">
        <f>IF(Single.Stream!$D$125="No",0,IF(S$138=Common!$B$116,S31,IF(S$138=Common!$B$118,S121,IF(S$138=Common!$B$117,S76,"ERROR"))))</f>
        <v>0</v>
      </c>
      <c r="T167" s="34">
        <f>IF(Single.Stream!$D$126="No",0,IF(T$138=Common!$B$116,T31,IF(T$138=Common!$B$118,T121,IF(T$138=Common!$B$117,T76,"ERROR"))))</f>
        <v>0</v>
      </c>
      <c r="U167" s="34">
        <f>IF(Single.Stream!$D$127="No",0,IF(U$138=Common!$B$116,U31,IF(U$138=Common!$B$118,U121,IF(U$138=Common!$B$117,U76,"ERROR"))))</f>
        <v>0</v>
      </c>
      <c r="V167" s="34">
        <f>IF(Single.Stream!$D$128="No",0,IF(V$138=Common!$B$116,V31,IF(V$138=Common!$B$118,V121,IF(V$138=Common!$B$117,V76,"ERROR"))))</f>
        <v>1.94</v>
      </c>
      <c r="W167" s="35">
        <f>IF(Single.Stream!$D$129="No",0,IF(W$138=Common!$B$116,W31,IF(W$138=Common!$B$118,W121,IF(W$138=Common!$B$117,W76,"ERROR"))))</f>
        <v>0</v>
      </c>
      <c r="X167" s="34">
        <f>IF(Single.Stream!$D$130="No",0,IF(X$138=Common!$B$116,X31,IF(X$138=Common!$B$118,X121,IF(X$138=Common!$B$117,X76,"ERROR"))))</f>
        <v>0</v>
      </c>
      <c r="Y167" s="34">
        <f>IF(Single.Stream!$D$131="No",0,IF(Y$138=Common!$B$116,Y31,IF(Y$138=Common!$B$118,Y121,IF(Y$138=Common!$B$117,Y76,"ERROR"))))</f>
        <v>1.94</v>
      </c>
      <c r="Z167" s="34">
        <f>IF(Single.Stream!$D$132="No",0,IF(Z$138=Common!$B$116,Z31,IF(Z$138=Common!$B$118,Z121,IF(Z$138=Common!$B$117,Z76,"ERROR"))))</f>
        <v>2</v>
      </c>
    </row>
    <row r="168" spans="1:26" s="9" customFormat="1" x14ac:dyDescent="0.35">
      <c r="A168" s="13" t="str">
        <f t="shared" si="113"/>
        <v>Aluminum - Foil</v>
      </c>
      <c r="C168" s="34">
        <f>IF(Single.Stream!$D$109="No",0,IF(C$138=Common!$B$116,C32,IF(C$138=Common!$B$118,C122,IF(C$138=Common!$B$117,C77,"ERROR"))))</f>
        <v>0.6</v>
      </c>
      <c r="D168" s="34">
        <f>IF(Single.Stream!$D$110="No",0,IF(D$138=Common!$B$116,D32,IF(D$138=Common!$B$118,D122,IF(D$138=Common!$B$117,D77,"ERROR"))))</f>
        <v>0.6</v>
      </c>
      <c r="E168" s="35">
        <f>IF(Single.Stream!$D$111="No",0,IF(E$138=Common!$B$116,E32,IF(E$138=Common!$B$118,E122,IF(E$138=Common!$B$117,E77,"ERROR"))))</f>
        <v>0</v>
      </c>
      <c r="F168" s="34">
        <f>IF(Single.Stream!$D$112="No",0,IF(F$138=Common!$B$116,F32,IF(F$138=Common!$B$118,F122,IF(F$138=Common!$B$117,F77,"ERROR"))))</f>
        <v>0.6</v>
      </c>
      <c r="G168" s="34">
        <f>IF(Single.Stream!$D$113="No",0,IF(G$138=Common!$B$116,G32,IF(G$138=Common!$B$118,G122,IF(G$138=Common!$B$117,G77,"ERROR"))))</f>
        <v>0.6</v>
      </c>
      <c r="H168" s="34">
        <f>IF(Single.Stream!$D$114="No",0,IF(H$138=Common!$B$116,H32,IF(H$138=Common!$B$118,H122,IF(H$138=Common!$B$117,H77,"ERROR"))))</f>
        <v>0.6</v>
      </c>
      <c r="I168" s="35">
        <f>IF(Single.Stream!$D$115="No",0,IF(I$138=Common!$B$116,I32,IF(I$138=Common!$B$118,I122,IF(I$138=Common!$B$117,I77,"ERROR"))))</f>
        <v>0</v>
      </c>
      <c r="J168" s="36">
        <f>IF(Single.Stream!$D$116="No",0,IF(J$138=Common!$B$116,J32,IF(J$138=Common!$B$118,J122,IF(J$138=Common!$B$117,J77,"ERROR"))))</f>
        <v>0</v>
      </c>
      <c r="K168" s="37">
        <f>IF(Single.Stream!$D$117="No",0,IF(K$138=Common!$B$116,K32,IF(K$138=Common!$B$118,K122,IF(K$138=Common!$B$117,K77,"ERROR"))))</f>
        <v>0</v>
      </c>
      <c r="L168" s="34">
        <f>IF(Single.Stream!$D$118="No",0,IF(L$138=Common!$B$116,L32,IF(L$138=Common!$B$118,L122,IF(L$138=Common!$B$117,L77,"ERROR"))))</f>
        <v>0</v>
      </c>
      <c r="M168" s="36">
        <f>IF(Single.Stream!$D$119="No",0,IF(M$138=Common!$B$116,M32,IF(M$138=Common!$B$118,M122,IF(M$138=Common!$B$117,M77,"ERROR"))))</f>
        <v>0</v>
      </c>
      <c r="N168" s="34">
        <f>IF(Single.Stream!$D$120="No",0,IF(N$138=Common!$B$116,N32,IF(N$138=Common!$B$118,N122,IF(N$138=Common!$B$117,N77,"ERROR"))))</f>
        <v>0</v>
      </c>
      <c r="O168" s="37">
        <f>IF(Single.Stream!$D$121="No",0,IF(O$138=Common!$B$116,O32,IF(O$138=Common!$B$118,O122,IF(O$138=Common!$B$117,O77,"ERROR"))))</f>
        <v>0</v>
      </c>
      <c r="P168" s="34">
        <f>IF(Single.Stream!$D$122="No",0,IF(P$138=Common!$B$116,P32,IF(P$138=Common!$B$118,P122,IF(P$138=Common!$B$117,P77,"ERROR"))))</f>
        <v>0</v>
      </c>
      <c r="Q168" s="34">
        <f>IF(Single.Stream!$D$123="No",0,IF(Q$138=Common!$B$116,Q32,IF(Q$138=Common!$B$118,Q122,IF(Q$138=Common!$B$117,Q77,"ERROR"))))</f>
        <v>0</v>
      </c>
      <c r="R168" s="34">
        <f>IF(Single.Stream!$D$124="No",0,IF(R$138=Common!$B$116,R32,IF(R$138=Common!$B$118,R122,IF(R$138=Common!$B$117,R77,"ERROR"))))</f>
        <v>0</v>
      </c>
      <c r="S168" s="34">
        <f>IF(Single.Stream!$D$125="No",0,IF(S$138=Common!$B$116,S32,IF(S$138=Common!$B$118,S122,IF(S$138=Common!$B$117,S77,"ERROR"))))</f>
        <v>0</v>
      </c>
      <c r="T168" s="34">
        <f>IF(Single.Stream!$D$126="No",0,IF(T$138=Common!$B$116,T32,IF(T$138=Common!$B$118,T122,IF(T$138=Common!$B$117,T77,"ERROR"))))</f>
        <v>0</v>
      </c>
      <c r="U168" s="34">
        <f>IF(Single.Stream!$D$127="No",0,IF(U$138=Common!$B$116,U32,IF(U$138=Common!$B$118,U122,IF(U$138=Common!$B$117,U77,"ERROR"))))</f>
        <v>0</v>
      </c>
      <c r="V168" s="34">
        <f>IF(Single.Stream!$D$128="No",0,IF(V$138=Common!$B$116,V32,IF(V$138=Common!$B$118,V122,IF(V$138=Common!$B$117,V77,"ERROR"))))</f>
        <v>0.58199999999999996</v>
      </c>
      <c r="W168" s="35">
        <f>IF(Single.Stream!$D$129="No",0,IF(W$138=Common!$B$116,W32,IF(W$138=Common!$B$118,W122,IF(W$138=Common!$B$117,W77,"ERROR"))))</f>
        <v>0</v>
      </c>
      <c r="X168" s="34">
        <f>IF(Single.Stream!$D$130="No",0,IF(X$138=Common!$B$116,X32,IF(X$138=Common!$B$118,X122,IF(X$138=Common!$B$117,X77,"ERROR"))))</f>
        <v>0</v>
      </c>
      <c r="Y168" s="34">
        <f>IF(Single.Stream!$D$131="No",0,IF(Y$138=Common!$B$116,Y32,IF(Y$138=Common!$B$118,Y122,IF(Y$138=Common!$B$117,Y77,"ERROR"))))</f>
        <v>0.58199999999999996</v>
      </c>
      <c r="Z168" s="34">
        <f>IF(Single.Stream!$D$132="No",0,IF(Z$138=Common!$B$116,Z32,IF(Z$138=Common!$B$118,Z122,IF(Z$138=Common!$B$117,Z77,"ERROR"))))</f>
        <v>0.6</v>
      </c>
    </row>
    <row r="169" spans="1:26" s="9" customFormat="1" x14ac:dyDescent="0.35">
      <c r="A169" s="13" t="str">
        <f t="shared" si="113"/>
        <v>Aluminum - Other</v>
      </c>
      <c r="C169" s="34">
        <f>IF(Single.Stream!$D$109="No",0,IF(C$138=Common!$B$116,C33,IF(C$138=Common!$B$118,C123,IF(C$138=Common!$B$117,C78,"ERROR"))))</f>
        <v>9.9999999999999995E-7</v>
      </c>
      <c r="D169" s="34">
        <f>IF(Single.Stream!$D$110="No",0,IF(D$138=Common!$B$116,D33,IF(D$138=Common!$B$118,D123,IF(D$138=Common!$B$117,D78,"ERROR"))))</f>
        <v>9.9999999999999995E-7</v>
      </c>
      <c r="E169" s="35">
        <f>IF(Single.Stream!$D$111="No",0,IF(E$138=Common!$B$116,E33,IF(E$138=Common!$B$118,E123,IF(E$138=Common!$B$117,E78,"ERROR"))))</f>
        <v>0</v>
      </c>
      <c r="F169" s="34">
        <f>IF(Single.Stream!$D$112="No",0,IF(F$138=Common!$B$116,F33,IF(F$138=Common!$B$118,F123,IF(F$138=Common!$B$117,F78,"ERROR"))))</f>
        <v>9.9999999999999995E-7</v>
      </c>
      <c r="G169" s="34">
        <f>IF(Single.Stream!$D$113="No",0,IF(G$138=Common!$B$116,G33,IF(G$138=Common!$B$118,G123,IF(G$138=Common!$B$117,G78,"ERROR"))))</f>
        <v>9.9999999999999995E-7</v>
      </c>
      <c r="H169" s="34">
        <f>IF(Single.Stream!$D$114="No",0,IF(H$138=Common!$B$116,H33,IF(H$138=Common!$B$118,H123,IF(H$138=Common!$B$117,H78,"ERROR"))))</f>
        <v>9.9999999999999995E-7</v>
      </c>
      <c r="I169" s="35">
        <f>IF(Single.Stream!$D$115="No",0,IF(I$138=Common!$B$116,I33,IF(I$138=Common!$B$118,I123,IF(I$138=Common!$B$117,I78,"ERROR"))))</f>
        <v>0</v>
      </c>
      <c r="J169" s="36">
        <f>IF(Single.Stream!$D$116="No",0,IF(J$138=Common!$B$116,J33,IF(J$138=Common!$B$118,J123,IF(J$138=Common!$B$117,J78,"ERROR"))))</f>
        <v>0</v>
      </c>
      <c r="K169" s="37">
        <f>IF(Single.Stream!$D$117="No",0,IF(K$138=Common!$B$116,K33,IF(K$138=Common!$B$118,K123,IF(K$138=Common!$B$117,K78,"ERROR"))))</f>
        <v>0</v>
      </c>
      <c r="L169" s="34">
        <f>IF(Single.Stream!$D$118="No",0,IF(L$138=Common!$B$116,L33,IF(L$138=Common!$B$118,L123,IF(L$138=Common!$B$117,L78,"ERROR"))))</f>
        <v>0</v>
      </c>
      <c r="M169" s="36">
        <f>IF(Single.Stream!$D$119="No",0,IF(M$138=Common!$B$116,M33,IF(M$138=Common!$B$118,M123,IF(M$138=Common!$B$117,M78,"ERROR"))))</f>
        <v>0</v>
      </c>
      <c r="N169" s="34">
        <f>IF(Single.Stream!$D$120="No",0,IF(N$138=Common!$B$116,N33,IF(N$138=Common!$B$118,N123,IF(N$138=Common!$B$117,N78,"ERROR"))))</f>
        <v>0</v>
      </c>
      <c r="O169" s="37">
        <f>IF(Single.Stream!$D$121="No",0,IF(O$138=Common!$B$116,O33,IF(O$138=Common!$B$118,O123,IF(O$138=Common!$B$117,O78,"ERROR"))))</f>
        <v>0</v>
      </c>
      <c r="P169" s="34">
        <f>IF(Single.Stream!$D$122="No",0,IF(P$138=Common!$B$116,P33,IF(P$138=Common!$B$118,P123,IF(P$138=Common!$B$117,P78,"ERROR"))))</f>
        <v>0</v>
      </c>
      <c r="Q169" s="34">
        <f>IF(Single.Stream!$D$123="No",0,IF(Q$138=Common!$B$116,Q33,IF(Q$138=Common!$B$118,Q123,IF(Q$138=Common!$B$117,Q78,"ERROR"))))</f>
        <v>0</v>
      </c>
      <c r="R169" s="34">
        <f>IF(Single.Stream!$D$124="No",0,IF(R$138=Common!$B$116,R33,IF(R$138=Common!$B$118,R123,IF(R$138=Common!$B$117,R78,"ERROR"))))</f>
        <v>0</v>
      </c>
      <c r="S169" s="34">
        <f>IF(Single.Stream!$D$125="No",0,IF(S$138=Common!$B$116,S33,IF(S$138=Common!$B$118,S123,IF(S$138=Common!$B$117,S78,"ERROR"))))</f>
        <v>0</v>
      </c>
      <c r="T169" s="34">
        <f>IF(Single.Stream!$D$126="No",0,IF(T$138=Common!$B$116,T33,IF(T$138=Common!$B$118,T123,IF(T$138=Common!$B$117,T78,"ERROR"))))</f>
        <v>0</v>
      </c>
      <c r="U169" s="34">
        <f>IF(Single.Stream!$D$127="No",0,IF(U$138=Common!$B$116,U33,IF(U$138=Common!$B$118,U123,IF(U$138=Common!$B$117,U78,"ERROR"))))</f>
        <v>0</v>
      </c>
      <c r="V169" s="34">
        <f>IF(Single.Stream!$D$128="No",0,IF(V$138=Common!$B$116,V33,IF(V$138=Common!$B$118,V123,IF(V$138=Common!$B$117,V78,"ERROR"))))</f>
        <v>9.7000000000000003E-7</v>
      </c>
      <c r="W169" s="35">
        <f>IF(Single.Stream!$D$129="No",0,IF(W$138=Common!$B$116,W33,IF(W$138=Common!$B$118,W123,IF(W$138=Common!$B$117,W78,"ERROR"))))</f>
        <v>0</v>
      </c>
      <c r="X169" s="34">
        <f>IF(Single.Stream!$D$130="No",0,IF(X$138=Common!$B$116,X33,IF(X$138=Common!$B$118,X123,IF(X$138=Common!$B$117,X78,"ERROR"))))</f>
        <v>0</v>
      </c>
      <c r="Y169" s="34">
        <f>IF(Single.Stream!$D$131="No",0,IF(Y$138=Common!$B$116,Y33,IF(Y$138=Common!$B$118,Y123,IF(Y$138=Common!$B$117,Y78,"ERROR"))))</f>
        <v>9.7000000000000003E-7</v>
      </c>
      <c r="Z169" s="34">
        <f>IF(Single.Stream!$D$132="No",0,IF(Z$138=Common!$B$116,Z33,IF(Z$138=Common!$B$118,Z123,IF(Z$138=Common!$B$117,Z78,"ERROR"))))</f>
        <v>9.9999999999999995E-7</v>
      </c>
    </row>
    <row r="170" spans="1:26" s="9" customFormat="1" x14ac:dyDescent="0.35">
      <c r="A170" s="13" t="str">
        <f t="shared" si="113"/>
        <v xml:space="preserve">Ferrous - Non-recyclable </v>
      </c>
      <c r="C170" s="34">
        <f>IF(Single.Stream!$D$109="No",0,IF(C$138=Common!$B$116,C34,IF(C$138=Common!$B$118,C124,IF(C$138=Common!$B$117,C79,"ERROR"))))</f>
        <v>9.9999999999999995E-7</v>
      </c>
      <c r="D170" s="34">
        <f>IF(Single.Stream!$D$110="No",0,IF(D$138=Common!$B$116,D34,IF(D$138=Common!$B$118,D124,IF(D$138=Common!$B$117,D79,"ERROR"))))</f>
        <v>9.9999999999999995E-7</v>
      </c>
      <c r="E170" s="35">
        <f>IF(Single.Stream!$D$111="No",0,IF(E$138=Common!$B$116,E34,IF(E$138=Common!$B$118,E124,IF(E$138=Common!$B$117,E79,"ERROR"))))</f>
        <v>0</v>
      </c>
      <c r="F170" s="34">
        <f>IF(Single.Stream!$D$112="No",0,IF(F$138=Common!$B$116,F34,IF(F$138=Common!$B$118,F124,IF(F$138=Common!$B$117,F79,"ERROR"))))</f>
        <v>9.9999999999999995E-7</v>
      </c>
      <c r="G170" s="34">
        <f>IF(Single.Stream!$D$113="No",0,IF(G$138=Common!$B$116,G34,IF(G$138=Common!$B$118,G124,IF(G$138=Common!$B$117,G79,"ERROR"))))</f>
        <v>9.9999999999999995E-7</v>
      </c>
      <c r="H170" s="34">
        <f>IF(Single.Stream!$D$114="No",0,IF(H$138=Common!$B$116,H34,IF(H$138=Common!$B$118,H124,IF(H$138=Common!$B$117,H79,"ERROR"))))</f>
        <v>9.9999999999999995E-7</v>
      </c>
      <c r="I170" s="35">
        <f>IF(Single.Stream!$D$115="No",0,IF(I$138=Common!$B$116,I34,IF(I$138=Common!$B$118,I124,IF(I$138=Common!$B$117,I79,"ERROR"))))</f>
        <v>0</v>
      </c>
      <c r="J170" s="36">
        <f>IF(Single.Stream!$D$116="No",0,IF(J$138=Common!$B$116,J34,IF(J$138=Common!$B$118,J124,IF(J$138=Common!$B$117,J79,"ERROR"))))</f>
        <v>0</v>
      </c>
      <c r="K170" s="37">
        <f>IF(Single.Stream!$D$117="No",0,IF(K$138=Common!$B$116,K34,IF(K$138=Common!$B$118,K124,IF(K$138=Common!$B$117,K79,"ERROR"))))</f>
        <v>0</v>
      </c>
      <c r="L170" s="34">
        <f>IF(Single.Stream!$D$118="No",0,IF(L$138=Common!$B$116,L34,IF(L$138=Common!$B$118,L124,IF(L$138=Common!$B$117,L79,"ERROR"))))</f>
        <v>0</v>
      </c>
      <c r="M170" s="36">
        <f>IF(Single.Stream!$D$119="No",0,IF(M$138=Common!$B$116,M34,IF(M$138=Common!$B$118,M124,IF(M$138=Common!$B$117,M79,"ERROR"))))</f>
        <v>0</v>
      </c>
      <c r="N170" s="34">
        <f>IF(Single.Stream!$D$120="No",0,IF(N$138=Common!$B$116,N34,IF(N$138=Common!$B$118,N124,IF(N$138=Common!$B$117,N79,"ERROR"))))</f>
        <v>0</v>
      </c>
      <c r="O170" s="37">
        <f>IF(Single.Stream!$D$121="No",0,IF(O$138=Common!$B$116,O34,IF(O$138=Common!$B$118,O124,IF(O$138=Common!$B$117,O79,"ERROR"))))</f>
        <v>0</v>
      </c>
      <c r="P170" s="34">
        <f>IF(Single.Stream!$D$122="No",0,IF(P$138=Common!$B$116,P34,IF(P$138=Common!$B$118,P124,IF(P$138=Common!$B$117,P79,"ERROR"))))</f>
        <v>0</v>
      </c>
      <c r="Q170" s="34">
        <f>IF(Single.Stream!$D$123="No",0,IF(Q$138=Common!$B$116,Q34,IF(Q$138=Common!$B$118,Q124,IF(Q$138=Common!$B$117,Q79,"ERROR"))))</f>
        <v>0</v>
      </c>
      <c r="R170" s="34">
        <f>IF(Single.Stream!$D$124="No",0,IF(R$138=Common!$B$116,R34,IF(R$138=Common!$B$118,R124,IF(R$138=Common!$B$117,R79,"ERROR"))))</f>
        <v>0</v>
      </c>
      <c r="S170" s="34">
        <f>IF(Single.Stream!$D$125="No",0,IF(S$138=Common!$B$116,S34,IF(S$138=Common!$B$118,S124,IF(S$138=Common!$B$117,S79,"ERROR"))))</f>
        <v>0</v>
      </c>
      <c r="T170" s="34">
        <f>IF(Single.Stream!$D$126="No",0,IF(T$138=Common!$B$116,T34,IF(T$138=Common!$B$118,T124,IF(T$138=Common!$B$117,T79,"ERROR"))))</f>
        <v>9.7999999999999993E-7</v>
      </c>
      <c r="U170" s="34">
        <f>IF(Single.Stream!$D$127="No",0,IF(U$138=Common!$B$116,U34,IF(U$138=Common!$B$118,U124,IF(U$138=Common!$B$117,U79,"ERROR"))))</f>
        <v>0</v>
      </c>
      <c r="V170" s="34">
        <f>IF(Single.Stream!$D$128="No",0,IF(V$138=Common!$B$116,V34,IF(V$138=Common!$B$118,V124,IF(V$138=Common!$B$117,V79,"ERROR"))))</f>
        <v>0</v>
      </c>
      <c r="W170" s="35">
        <f>IF(Single.Stream!$D$129="No",0,IF(W$138=Common!$B$116,W34,IF(W$138=Common!$B$118,W124,IF(W$138=Common!$B$117,W79,"ERROR"))))</f>
        <v>0</v>
      </c>
      <c r="X170" s="34">
        <f>IF(Single.Stream!$D$130="No",0,IF(X$138=Common!$B$116,X34,IF(X$138=Common!$B$118,X124,IF(X$138=Common!$B$117,X79,"ERROR"))))</f>
        <v>0</v>
      </c>
      <c r="Y170" s="34">
        <f>IF(Single.Stream!$D$131="No",0,IF(Y$138=Common!$B$116,Y34,IF(Y$138=Common!$B$118,Y124,IF(Y$138=Common!$B$117,Y79,"ERROR"))))</f>
        <v>9.7999999999999993E-7</v>
      </c>
      <c r="Z170" s="34">
        <f>IF(Single.Stream!$D$132="No",0,IF(Z$138=Common!$B$116,Z34,IF(Z$138=Common!$B$118,Z124,IF(Z$138=Common!$B$117,Z79,"ERROR"))))</f>
        <v>9.9999999999999995E-7</v>
      </c>
    </row>
    <row r="171" spans="1:26" s="9" customFormat="1" x14ac:dyDescent="0.35">
      <c r="A171" s="13" t="str">
        <f t="shared" si="113"/>
        <v xml:space="preserve">Al - Non-recyclable </v>
      </c>
      <c r="C171" s="34">
        <f>IF(Single.Stream!$D$109="No",0,IF(C$138=Common!$B$116,C35,IF(C$138=Common!$B$118,C125,IF(C$138=Common!$B$117,C80,"ERROR"))))</f>
        <v>9.9999999999999995E-7</v>
      </c>
      <c r="D171" s="34">
        <f>IF(Single.Stream!$D$110="No",0,IF(D$138=Common!$B$116,D35,IF(D$138=Common!$B$118,D125,IF(D$138=Common!$B$117,D80,"ERROR"))))</f>
        <v>9.9999999999999995E-7</v>
      </c>
      <c r="E171" s="35">
        <f>IF(Single.Stream!$D$111="No",0,IF(E$138=Common!$B$116,E35,IF(E$138=Common!$B$118,E125,IF(E$138=Common!$B$117,E80,"ERROR"))))</f>
        <v>0</v>
      </c>
      <c r="F171" s="34">
        <f>IF(Single.Stream!$D$112="No",0,IF(F$138=Common!$B$116,F35,IF(F$138=Common!$B$118,F125,IF(F$138=Common!$B$117,F80,"ERROR"))))</f>
        <v>9.9999999999999995E-7</v>
      </c>
      <c r="G171" s="34">
        <f>IF(Single.Stream!$D$113="No",0,IF(G$138=Common!$B$116,G35,IF(G$138=Common!$B$118,G125,IF(G$138=Common!$B$117,G80,"ERROR"))))</f>
        <v>9.9999999999999995E-7</v>
      </c>
      <c r="H171" s="34">
        <f>IF(Single.Stream!$D$114="No",0,IF(H$138=Common!$B$116,H35,IF(H$138=Common!$B$118,H125,IF(H$138=Common!$B$117,H80,"ERROR"))))</f>
        <v>9.9999999999999995E-7</v>
      </c>
      <c r="I171" s="35">
        <f>IF(Single.Stream!$D$115="No",0,IF(I$138=Common!$B$116,I35,IF(I$138=Common!$B$118,I125,IF(I$138=Common!$B$117,I80,"ERROR"))))</f>
        <v>0</v>
      </c>
      <c r="J171" s="36">
        <f>IF(Single.Stream!$D$116="No",0,IF(J$138=Common!$B$116,J35,IF(J$138=Common!$B$118,J125,IF(J$138=Common!$B$117,J80,"ERROR"))))</f>
        <v>0</v>
      </c>
      <c r="K171" s="37">
        <f>IF(Single.Stream!$D$117="No",0,IF(K$138=Common!$B$116,K35,IF(K$138=Common!$B$118,K125,IF(K$138=Common!$B$117,K80,"ERROR"))))</f>
        <v>0</v>
      </c>
      <c r="L171" s="34">
        <f>IF(Single.Stream!$D$118="No",0,IF(L$138=Common!$B$116,L35,IF(L$138=Common!$B$118,L125,IF(L$138=Common!$B$117,L80,"ERROR"))))</f>
        <v>0</v>
      </c>
      <c r="M171" s="36">
        <f>IF(Single.Stream!$D$119="No",0,IF(M$138=Common!$B$116,M35,IF(M$138=Common!$B$118,M125,IF(M$138=Common!$B$117,M80,"ERROR"))))</f>
        <v>0</v>
      </c>
      <c r="N171" s="34">
        <f>IF(Single.Stream!$D$120="No",0,IF(N$138=Common!$B$116,N35,IF(N$138=Common!$B$118,N125,IF(N$138=Common!$B$117,N80,"ERROR"))))</f>
        <v>0</v>
      </c>
      <c r="O171" s="37">
        <f>IF(Single.Stream!$D$121="No",0,IF(O$138=Common!$B$116,O35,IF(O$138=Common!$B$118,O125,IF(O$138=Common!$B$117,O80,"ERROR"))))</f>
        <v>0</v>
      </c>
      <c r="P171" s="34">
        <f>IF(Single.Stream!$D$122="No",0,IF(P$138=Common!$B$116,P35,IF(P$138=Common!$B$118,P125,IF(P$138=Common!$B$117,P80,"ERROR"))))</f>
        <v>0</v>
      </c>
      <c r="Q171" s="34">
        <f>IF(Single.Stream!$D$123="No",0,IF(Q$138=Common!$B$116,Q35,IF(Q$138=Common!$B$118,Q125,IF(Q$138=Common!$B$117,Q80,"ERROR"))))</f>
        <v>0</v>
      </c>
      <c r="R171" s="34">
        <f>IF(Single.Stream!$D$124="No",0,IF(R$138=Common!$B$116,R35,IF(R$138=Common!$B$118,R125,IF(R$138=Common!$B$117,R80,"ERROR"))))</f>
        <v>0</v>
      </c>
      <c r="S171" s="34">
        <f>IF(Single.Stream!$D$125="No",0,IF(S$138=Common!$B$116,S35,IF(S$138=Common!$B$118,S125,IF(S$138=Common!$B$117,S80,"ERROR"))))</f>
        <v>0</v>
      </c>
      <c r="T171" s="34">
        <f>IF(Single.Stream!$D$126="No",0,IF(T$138=Common!$B$116,T35,IF(T$138=Common!$B$118,T125,IF(T$138=Common!$B$117,T80,"ERROR"))))</f>
        <v>0</v>
      </c>
      <c r="U171" s="34">
        <f>IF(Single.Stream!$D$127="No",0,IF(U$138=Common!$B$116,U35,IF(U$138=Common!$B$118,U125,IF(U$138=Common!$B$117,U80,"ERROR"))))</f>
        <v>0</v>
      </c>
      <c r="V171" s="34">
        <f>IF(Single.Stream!$D$128="No",0,IF(V$138=Common!$B$116,V35,IF(V$138=Common!$B$118,V125,IF(V$138=Common!$B$117,V80,"ERROR"))))</f>
        <v>9.7000000000000003E-7</v>
      </c>
      <c r="W171" s="35">
        <f>IF(Single.Stream!$D$129="No",0,IF(W$138=Common!$B$116,W35,IF(W$138=Common!$B$118,W125,IF(W$138=Common!$B$117,W80,"ERROR"))))</f>
        <v>0</v>
      </c>
      <c r="X171" s="34">
        <f>IF(Single.Stream!$D$130="No",0,IF(X$138=Common!$B$116,X35,IF(X$138=Common!$B$118,X125,IF(X$138=Common!$B$117,X80,"ERROR"))))</f>
        <v>0</v>
      </c>
      <c r="Y171" s="34">
        <f>IF(Single.Stream!$D$131="No",0,IF(Y$138=Common!$B$116,Y35,IF(Y$138=Common!$B$118,Y125,IF(Y$138=Common!$B$117,Y80,"ERROR"))))</f>
        <v>9.7000000000000003E-7</v>
      </c>
      <c r="Z171" s="34">
        <f>IF(Single.Stream!$D$132="No",0,IF(Z$138=Common!$B$116,Z35,IF(Z$138=Common!$B$118,Z125,IF(Z$138=Common!$B$117,Z80,"ERROR"))))</f>
        <v>9.9999999999999995E-7</v>
      </c>
    </row>
    <row r="172" spans="1:26" s="9" customFormat="1" x14ac:dyDescent="0.35">
      <c r="A172" s="13" t="str">
        <f t="shared" si="113"/>
        <v>Glass - Brown</v>
      </c>
      <c r="C172" s="34">
        <f>IF(Single.Stream!$D$109="No",0,IF(C$138=Common!$B$116,C36,IF(C$138=Common!$B$118,C126,IF(C$138=Common!$B$117,C81,"ERROR"))))</f>
        <v>7.5</v>
      </c>
      <c r="D172" s="34">
        <f>IF(Single.Stream!$D$110="No",0,IF(D$138=Common!$B$116,D36,IF(D$138=Common!$B$118,D126,IF(D$138=Common!$B$117,D81,"ERROR"))))</f>
        <v>7.5</v>
      </c>
      <c r="E172" s="35">
        <f>IF(Single.Stream!$D$111="No",0,IF(E$138=Common!$B$116,E36,IF(E$138=Common!$B$118,E126,IF(E$138=Common!$B$117,E81,"ERROR"))))</f>
        <v>0</v>
      </c>
      <c r="F172" s="34">
        <f>IF(Single.Stream!$D$112="No",0,IF(F$138=Common!$B$116,F36,IF(F$138=Common!$B$118,F126,IF(F$138=Common!$B$117,F81,"ERROR"))))</f>
        <v>7.5</v>
      </c>
      <c r="G172" s="34">
        <f>IF(Single.Stream!$D$113="No",0,IF(G$138=Common!$B$116,G36,IF(G$138=Common!$B$118,G126,IF(G$138=Common!$B$117,G81,"ERROR"))))</f>
        <v>7.5</v>
      </c>
      <c r="H172" s="34">
        <f>IF(Single.Stream!$D$114="No",0,IF(H$138=Common!$B$116,H36,IF(H$138=Common!$B$118,H126,IF(H$138=Common!$B$117,H81,"ERROR"))))</f>
        <v>7.5</v>
      </c>
      <c r="I172" s="35">
        <f>IF(Single.Stream!$D$115="No",0,IF(I$138=Common!$B$116,I36,IF(I$138=Common!$B$118,I126,IF(I$138=Common!$B$117,I81,"ERROR"))))</f>
        <v>0</v>
      </c>
      <c r="J172" s="36">
        <f>IF(Single.Stream!$D$116="No",0,IF(J$138=Common!$B$116,J36,IF(J$138=Common!$B$118,J126,IF(J$138=Common!$B$117,J81,"ERROR"))))</f>
        <v>0</v>
      </c>
      <c r="K172" s="37">
        <f>IF(Single.Stream!$D$117="No",0,IF(K$138=Common!$B$116,K36,IF(K$138=Common!$B$118,K126,IF(K$138=Common!$B$117,K81,"ERROR"))))</f>
        <v>0</v>
      </c>
      <c r="L172" s="34">
        <f>IF(Single.Stream!$D$118="No",0,IF(L$138=Common!$B$116,L36,IF(L$138=Common!$B$118,L126,IF(L$138=Common!$B$117,L81,"ERROR"))))</f>
        <v>7.2749999999999995</v>
      </c>
      <c r="M172" s="36">
        <f>IF(Single.Stream!$D$119="No",0,IF(M$138=Common!$B$116,M36,IF(M$138=Common!$B$118,M126,IF(M$138=Common!$B$117,M81,"ERROR"))))</f>
        <v>7.2749999999999995</v>
      </c>
      <c r="N172" s="34">
        <f>IF(Single.Stream!$D$120="No",0,IF(N$138=Common!$B$116,N36,IF(N$138=Common!$B$118,N126,IF(N$138=Common!$B$117,N81,"ERROR"))))</f>
        <v>0</v>
      </c>
      <c r="O172" s="37">
        <f>IF(Single.Stream!$D$121="No",0,IF(O$138=Common!$B$116,O36,IF(O$138=Common!$B$118,O126,IF(O$138=Common!$B$117,O81,"ERROR"))))</f>
        <v>0</v>
      </c>
      <c r="P172" s="34">
        <f>IF(Single.Stream!$D$122="No",0,IF(P$138=Common!$B$116,P36,IF(P$138=Common!$B$118,P126,IF(P$138=Common!$B$117,P81,"ERROR"))))</f>
        <v>0</v>
      </c>
      <c r="Q172" s="34">
        <f>IF(Single.Stream!$D$123="No",0,IF(Q$138=Common!$B$116,Q36,IF(Q$138=Common!$B$118,Q126,IF(Q$138=Common!$B$117,Q81,"ERROR"))))</f>
        <v>0</v>
      </c>
      <c r="R172" s="34">
        <f>IF(Single.Stream!$D$124="No",0,IF(R$138=Common!$B$116,R36,IF(R$138=Common!$B$118,R126,IF(R$138=Common!$B$117,R81,"ERROR"))))</f>
        <v>0</v>
      </c>
      <c r="S172" s="34">
        <f>IF(Single.Stream!$D$125="No",0,IF(S$138=Common!$B$116,S36,IF(S$138=Common!$B$118,S126,IF(S$138=Common!$B$117,S81,"ERROR"))))</f>
        <v>0</v>
      </c>
      <c r="T172" s="34">
        <f>IF(Single.Stream!$D$126="No",0,IF(T$138=Common!$B$116,T36,IF(T$138=Common!$B$118,T126,IF(T$138=Common!$B$117,T81,"ERROR"))))</f>
        <v>0</v>
      </c>
      <c r="U172" s="34">
        <f>IF(Single.Stream!$D$127="No",0,IF(U$138=Common!$B$116,U36,IF(U$138=Common!$B$118,U126,IF(U$138=Common!$B$117,U81,"ERROR"))))</f>
        <v>0</v>
      </c>
      <c r="V172" s="34">
        <f>IF(Single.Stream!$D$128="No",0,IF(V$138=Common!$B$116,V36,IF(V$138=Common!$B$118,V126,IF(V$138=Common!$B$117,V81,"ERROR"))))</f>
        <v>0</v>
      </c>
      <c r="W172" s="35">
        <f>IF(Single.Stream!$D$129="No",0,IF(W$138=Common!$B$116,W36,IF(W$138=Common!$B$118,W126,IF(W$138=Common!$B$117,W81,"ERROR"))))</f>
        <v>0</v>
      </c>
      <c r="X172" s="34">
        <f>IF(Single.Stream!$D$130="No",0,IF(X$138=Common!$B$116,X36,IF(X$138=Common!$B$118,X126,IF(X$138=Common!$B$117,X81,"ERROR"))))</f>
        <v>0</v>
      </c>
      <c r="Y172" s="34">
        <f>IF(Single.Stream!$D$131="No",0,IF(Y$138=Common!$B$116,Y36,IF(Y$138=Common!$B$118,Y126,IF(Y$138=Common!$B$117,Y81,"ERROR"))))</f>
        <v>0</v>
      </c>
      <c r="Z172" s="34">
        <f>IF(Single.Stream!$D$132="No",0,IF(Z$138=Common!$B$116,Z36,IF(Z$138=Common!$B$118,Z126,IF(Z$138=Common!$B$117,Z81,"ERROR"))))</f>
        <v>7.5</v>
      </c>
    </row>
    <row r="173" spans="1:26" s="9" customFormat="1" x14ac:dyDescent="0.35">
      <c r="A173" s="13" t="str">
        <f t="shared" si="113"/>
        <v>Glass - Green</v>
      </c>
      <c r="C173" s="34">
        <f>IF(Single.Stream!$D$109="No",0,IF(C$138=Common!$B$116,C37,IF(C$138=Common!$B$118,C127,IF(C$138=Common!$B$117,C82,"ERROR"))))</f>
        <v>3.2</v>
      </c>
      <c r="D173" s="34">
        <f>IF(Single.Stream!$D$110="No",0,IF(D$138=Common!$B$116,D37,IF(D$138=Common!$B$118,D127,IF(D$138=Common!$B$117,D82,"ERROR"))))</f>
        <v>3.2</v>
      </c>
      <c r="E173" s="35">
        <f>IF(Single.Stream!$D$111="No",0,IF(E$138=Common!$B$116,E37,IF(E$138=Common!$B$118,E127,IF(E$138=Common!$B$117,E82,"ERROR"))))</f>
        <v>0</v>
      </c>
      <c r="F173" s="34">
        <f>IF(Single.Stream!$D$112="No",0,IF(F$138=Common!$B$116,F37,IF(F$138=Common!$B$118,F127,IF(F$138=Common!$B$117,F82,"ERROR"))))</f>
        <v>3.2</v>
      </c>
      <c r="G173" s="34">
        <f>IF(Single.Stream!$D$113="No",0,IF(G$138=Common!$B$116,G37,IF(G$138=Common!$B$118,G127,IF(G$138=Common!$B$117,G82,"ERROR"))))</f>
        <v>3.2</v>
      </c>
      <c r="H173" s="34">
        <f>IF(Single.Stream!$D$114="No",0,IF(H$138=Common!$B$116,H37,IF(H$138=Common!$B$118,H127,IF(H$138=Common!$B$117,H82,"ERROR"))))</f>
        <v>3.2</v>
      </c>
      <c r="I173" s="35">
        <f>IF(Single.Stream!$D$115="No",0,IF(I$138=Common!$B$116,I37,IF(I$138=Common!$B$118,I127,IF(I$138=Common!$B$117,I82,"ERROR"))))</f>
        <v>0</v>
      </c>
      <c r="J173" s="36">
        <f>IF(Single.Stream!$D$116="No",0,IF(J$138=Common!$B$116,J37,IF(J$138=Common!$B$118,J127,IF(J$138=Common!$B$117,J82,"ERROR"))))</f>
        <v>0</v>
      </c>
      <c r="K173" s="37">
        <f>IF(Single.Stream!$D$117="No",0,IF(K$138=Common!$B$116,K37,IF(K$138=Common!$B$118,K127,IF(K$138=Common!$B$117,K82,"ERROR"))))</f>
        <v>0</v>
      </c>
      <c r="L173" s="34">
        <f>IF(Single.Stream!$D$118="No",0,IF(L$138=Common!$B$116,L37,IF(L$138=Common!$B$118,L127,IF(L$138=Common!$B$117,L82,"ERROR"))))</f>
        <v>3.1040000000000001</v>
      </c>
      <c r="M173" s="36">
        <f>IF(Single.Stream!$D$119="No",0,IF(M$138=Common!$B$116,M37,IF(M$138=Common!$B$118,M127,IF(M$138=Common!$B$117,M82,"ERROR"))))</f>
        <v>3.1040000000000001</v>
      </c>
      <c r="N173" s="34">
        <f>IF(Single.Stream!$D$120="No",0,IF(N$138=Common!$B$116,N37,IF(N$138=Common!$B$118,N127,IF(N$138=Common!$B$117,N82,"ERROR"))))</f>
        <v>0</v>
      </c>
      <c r="O173" s="37">
        <f>IF(Single.Stream!$D$121="No",0,IF(O$138=Common!$B$116,O37,IF(O$138=Common!$B$118,O127,IF(O$138=Common!$B$117,O82,"ERROR"))))</f>
        <v>0</v>
      </c>
      <c r="P173" s="34">
        <f>IF(Single.Stream!$D$122="No",0,IF(P$138=Common!$B$116,P37,IF(P$138=Common!$B$118,P127,IF(P$138=Common!$B$117,P82,"ERROR"))))</f>
        <v>0</v>
      </c>
      <c r="Q173" s="34">
        <f>IF(Single.Stream!$D$123="No",0,IF(Q$138=Common!$B$116,Q37,IF(Q$138=Common!$B$118,Q127,IF(Q$138=Common!$B$117,Q82,"ERROR"))))</f>
        <v>0</v>
      </c>
      <c r="R173" s="34">
        <f>IF(Single.Stream!$D$124="No",0,IF(R$138=Common!$B$116,R37,IF(R$138=Common!$B$118,R127,IF(R$138=Common!$B$117,R82,"ERROR"))))</f>
        <v>0</v>
      </c>
      <c r="S173" s="34">
        <f>IF(Single.Stream!$D$125="No",0,IF(S$138=Common!$B$116,S37,IF(S$138=Common!$B$118,S127,IF(S$138=Common!$B$117,S82,"ERROR"))))</f>
        <v>0</v>
      </c>
      <c r="T173" s="34">
        <f>IF(Single.Stream!$D$126="No",0,IF(T$138=Common!$B$116,T37,IF(T$138=Common!$B$118,T127,IF(T$138=Common!$B$117,T82,"ERROR"))))</f>
        <v>0</v>
      </c>
      <c r="U173" s="34">
        <f>IF(Single.Stream!$D$127="No",0,IF(U$138=Common!$B$116,U37,IF(U$138=Common!$B$118,U127,IF(U$138=Common!$B$117,U82,"ERROR"))))</f>
        <v>0</v>
      </c>
      <c r="V173" s="34">
        <f>IF(Single.Stream!$D$128="No",0,IF(V$138=Common!$B$116,V37,IF(V$138=Common!$B$118,V127,IF(V$138=Common!$B$117,V82,"ERROR"))))</f>
        <v>0</v>
      </c>
      <c r="W173" s="35">
        <f>IF(Single.Stream!$D$129="No",0,IF(W$138=Common!$B$116,W37,IF(W$138=Common!$B$118,W127,IF(W$138=Common!$B$117,W82,"ERROR"))))</f>
        <v>0</v>
      </c>
      <c r="X173" s="34">
        <f>IF(Single.Stream!$D$130="No",0,IF(X$138=Common!$B$116,X37,IF(X$138=Common!$B$118,X127,IF(X$138=Common!$B$117,X82,"ERROR"))))</f>
        <v>0</v>
      </c>
      <c r="Y173" s="34">
        <f>IF(Single.Stream!$D$131="No",0,IF(Y$138=Common!$B$116,Y37,IF(Y$138=Common!$B$118,Y127,IF(Y$138=Common!$B$117,Y82,"ERROR"))))</f>
        <v>0</v>
      </c>
      <c r="Z173" s="34">
        <f>IF(Single.Stream!$D$132="No",0,IF(Z$138=Common!$B$116,Z37,IF(Z$138=Common!$B$118,Z127,IF(Z$138=Common!$B$117,Z82,"ERROR"))))</f>
        <v>3.2</v>
      </c>
    </row>
    <row r="174" spans="1:26" s="9" customFormat="1" x14ac:dyDescent="0.35">
      <c r="A174" s="13" t="str">
        <f t="shared" si="113"/>
        <v>Glass - Clear</v>
      </c>
      <c r="C174" s="34">
        <f>IF(Single.Stream!$D$109="No",0,IF(C$138=Common!$B$116,C38,IF(C$138=Common!$B$118,C128,IF(C$138=Common!$B$117,C83,"ERROR"))))</f>
        <v>2.1</v>
      </c>
      <c r="D174" s="34">
        <f>IF(Single.Stream!$D$110="No",0,IF(D$138=Common!$B$116,D38,IF(D$138=Common!$B$118,D128,IF(D$138=Common!$B$117,D83,"ERROR"))))</f>
        <v>2.1</v>
      </c>
      <c r="E174" s="35">
        <f>IF(Single.Stream!$D$111="No",0,IF(E$138=Common!$B$116,E38,IF(E$138=Common!$B$118,E128,IF(E$138=Common!$B$117,E83,"ERROR"))))</f>
        <v>0</v>
      </c>
      <c r="F174" s="34">
        <f>IF(Single.Stream!$D$112="No",0,IF(F$138=Common!$B$116,F38,IF(F$138=Common!$B$118,F128,IF(F$138=Common!$B$117,F83,"ERROR"))))</f>
        <v>2.1</v>
      </c>
      <c r="G174" s="34">
        <f>IF(Single.Stream!$D$113="No",0,IF(G$138=Common!$B$116,G38,IF(G$138=Common!$B$118,G128,IF(G$138=Common!$B$117,G83,"ERROR"))))</f>
        <v>2.1</v>
      </c>
      <c r="H174" s="34">
        <f>IF(Single.Stream!$D$114="No",0,IF(H$138=Common!$B$116,H38,IF(H$138=Common!$B$118,H128,IF(H$138=Common!$B$117,H83,"ERROR"))))</f>
        <v>2.1</v>
      </c>
      <c r="I174" s="35">
        <f>IF(Single.Stream!$D$115="No",0,IF(I$138=Common!$B$116,I38,IF(I$138=Common!$B$118,I128,IF(I$138=Common!$B$117,I83,"ERROR"))))</f>
        <v>0</v>
      </c>
      <c r="J174" s="36">
        <f>IF(Single.Stream!$D$116="No",0,IF(J$138=Common!$B$116,J38,IF(J$138=Common!$B$118,J128,IF(J$138=Common!$B$117,J83,"ERROR"))))</f>
        <v>0</v>
      </c>
      <c r="K174" s="37">
        <f>IF(Single.Stream!$D$117="No",0,IF(K$138=Common!$B$116,K38,IF(K$138=Common!$B$118,K128,IF(K$138=Common!$B$117,K83,"ERROR"))))</f>
        <v>0</v>
      </c>
      <c r="L174" s="34">
        <f>IF(Single.Stream!$D$118="No",0,IF(L$138=Common!$B$116,L38,IF(L$138=Common!$B$118,L128,IF(L$138=Common!$B$117,L83,"ERROR"))))</f>
        <v>2.0369999999999999</v>
      </c>
      <c r="M174" s="36">
        <f>IF(Single.Stream!$D$119="No",0,IF(M$138=Common!$B$116,M38,IF(M$138=Common!$B$118,M128,IF(M$138=Common!$B$117,M83,"ERROR"))))</f>
        <v>2.0369999999999999</v>
      </c>
      <c r="N174" s="34">
        <f>IF(Single.Stream!$D$120="No",0,IF(N$138=Common!$B$116,N38,IF(N$138=Common!$B$118,N128,IF(N$138=Common!$B$117,N83,"ERROR"))))</f>
        <v>0</v>
      </c>
      <c r="O174" s="37">
        <f>IF(Single.Stream!$D$121="No",0,IF(O$138=Common!$B$116,O38,IF(O$138=Common!$B$118,O128,IF(O$138=Common!$B$117,O83,"ERROR"))))</f>
        <v>0</v>
      </c>
      <c r="P174" s="34">
        <f>IF(Single.Stream!$D$122="No",0,IF(P$138=Common!$B$116,P38,IF(P$138=Common!$B$118,P128,IF(P$138=Common!$B$117,P83,"ERROR"))))</f>
        <v>0</v>
      </c>
      <c r="Q174" s="34">
        <f>IF(Single.Stream!$D$123="No",0,IF(Q$138=Common!$B$116,Q38,IF(Q$138=Common!$B$118,Q128,IF(Q$138=Common!$B$117,Q83,"ERROR"))))</f>
        <v>0</v>
      </c>
      <c r="R174" s="34">
        <f>IF(Single.Stream!$D$124="No",0,IF(R$138=Common!$B$116,R38,IF(R$138=Common!$B$118,R128,IF(R$138=Common!$B$117,R83,"ERROR"))))</f>
        <v>0</v>
      </c>
      <c r="S174" s="34">
        <f>IF(Single.Stream!$D$125="No",0,IF(S$138=Common!$B$116,S38,IF(S$138=Common!$B$118,S128,IF(S$138=Common!$B$117,S83,"ERROR"))))</f>
        <v>0</v>
      </c>
      <c r="T174" s="34">
        <f>IF(Single.Stream!$D$126="No",0,IF(T$138=Common!$B$116,T38,IF(T$138=Common!$B$118,T128,IF(T$138=Common!$B$117,T83,"ERROR"))))</f>
        <v>0</v>
      </c>
      <c r="U174" s="34">
        <f>IF(Single.Stream!$D$127="No",0,IF(U$138=Common!$B$116,U38,IF(U$138=Common!$B$118,U128,IF(U$138=Common!$B$117,U83,"ERROR"))))</f>
        <v>0</v>
      </c>
      <c r="V174" s="34">
        <f>IF(Single.Stream!$D$128="No",0,IF(V$138=Common!$B$116,V38,IF(V$138=Common!$B$118,V128,IF(V$138=Common!$B$117,V83,"ERROR"))))</f>
        <v>0</v>
      </c>
      <c r="W174" s="35">
        <f>IF(Single.Stream!$D$129="No",0,IF(W$138=Common!$B$116,W38,IF(W$138=Common!$B$118,W128,IF(W$138=Common!$B$117,W83,"ERROR"))))</f>
        <v>0</v>
      </c>
      <c r="X174" s="34">
        <f>IF(Single.Stream!$D$130="No",0,IF(X$138=Common!$B$116,X38,IF(X$138=Common!$B$118,X128,IF(X$138=Common!$B$117,X83,"ERROR"))))</f>
        <v>0</v>
      </c>
      <c r="Y174" s="34">
        <f>IF(Single.Stream!$D$131="No",0,IF(Y$138=Common!$B$116,Y38,IF(Y$138=Common!$B$118,Y128,IF(Y$138=Common!$B$117,Y83,"ERROR"))))</f>
        <v>0</v>
      </c>
      <c r="Z174" s="34">
        <f>IF(Single.Stream!$D$132="No",0,IF(Z$138=Common!$B$116,Z38,IF(Z$138=Common!$B$118,Z128,IF(Z$138=Common!$B$117,Z83,"ERROR"))))</f>
        <v>2.1</v>
      </c>
    </row>
    <row r="175" spans="1:26" s="9" customFormat="1" x14ac:dyDescent="0.35">
      <c r="A175" s="13" t="str">
        <f t="shared" si="113"/>
        <v>Mixed Glass</v>
      </c>
      <c r="C175" s="34">
        <f>IF(Single.Stream!$D$109="No",0,IF(C$138=Common!$B$116,C39,IF(C$138=Common!$B$118,C129,IF(C$138=Common!$B$117,C84,"ERROR"))))</f>
        <v>9.9999999999999995E-7</v>
      </c>
      <c r="D175" s="34">
        <f>IF(Single.Stream!$D$110="No",0,IF(D$138=Common!$B$116,D39,IF(D$138=Common!$B$118,D129,IF(D$138=Common!$B$117,D84,"ERROR"))))</f>
        <v>9.9999999999999995E-7</v>
      </c>
      <c r="E175" s="35">
        <f>IF(Single.Stream!$D$111="No",0,IF(E$138=Common!$B$116,E39,IF(E$138=Common!$B$118,E129,IF(E$138=Common!$B$117,E84,"ERROR"))))</f>
        <v>0</v>
      </c>
      <c r="F175" s="34">
        <f>IF(Single.Stream!$D$112="No",0,IF(F$138=Common!$B$116,F39,IF(F$138=Common!$B$118,F129,IF(F$138=Common!$B$117,F84,"ERROR"))))</f>
        <v>9.9999999999999995E-7</v>
      </c>
      <c r="G175" s="34">
        <f>IF(Single.Stream!$D$113="No",0,IF(G$138=Common!$B$116,G39,IF(G$138=Common!$B$118,G129,IF(G$138=Common!$B$117,G84,"ERROR"))))</f>
        <v>9.9999999999999995E-7</v>
      </c>
      <c r="H175" s="34">
        <f>IF(Single.Stream!$D$114="No",0,IF(H$138=Common!$B$116,H39,IF(H$138=Common!$B$118,H129,IF(H$138=Common!$B$117,H84,"ERROR"))))</f>
        <v>9.9999999999999995E-7</v>
      </c>
      <c r="I175" s="35">
        <f>IF(Single.Stream!$D$115="No",0,IF(I$138=Common!$B$116,I39,IF(I$138=Common!$B$118,I129,IF(I$138=Common!$B$117,I84,"ERROR"))))</f>
        <v>0</v>
      </c>
      <c r="J175" s="36">
        <f>IF(Single.Stream!$D$116="No",0,IF(J$138=Common!$B$116,J39,IF(J$138=Common!$B$118,J129,IF(J$138=Common!$B$117,J84,"ERROR"))))</f>
        <v>0</v>
      </c>
      <c r="K175" s="37">
        <f>IF(Single.Stream!$D$117="No",0,IF(K$138=Common!$B$116,K39,IF(K$138=Common!$B$118,K129,IF(K$138=Common!$B$117,K84,"ERROR"))))</f>
        <v>0</v>
      </c>
      <c r="L175" s="34">
        <f>IF(Single.Stream!$D$118="No",0,IF(L$138=Common!$B$116,L39,IF(L$138=Common!$B$118,L129,IF(L$138=Common!$B$117,L84,"ERROR"))))</f>
        <v>9.7000000000000003E-7</v>
      </c>
      <c r="M175" s="36">
        <f>IF(Single.Stream!$D$119="No",0,IF(M$138=Common!$B$116,M39,IF(M$138=Common!$B$118,M129,IF(M$138=Common!$B$117,M84,"ERROR"))))</f>
        <v>9.7000000000000003E-7</v>
      </c>
      <c r="N175" s="34">
        <f>IF(Single.Stream!$D$120="No",0,IF(N$138=Common!$B$116,N39,IF(N$138=Common!$B$118,N129,IF(N$138=Common!$B$117,N84,"ERROR"))))</f>
        <v>0</v>
      </c>
      <c r="O175" s="37">
        <f>IF(Single.Stream!$D$121="No",0,IF(O$138=Common!$B$116,O39,IF(O$138=Common!$B$118,O129,IF(O$138=Common!$B$117,O84,"ERROR"))))</f>
        <v>0</v>
      </c>
      <c r="P175" s="34">
        <f>IF(Single.Stream!$D$122="No",0,IF(P$138=Common!$B$116,P39,IF(P$138=Common!$B$118,P129,IF(P$138=Common!$B$117,P84,"ERROR"))))</f>
        <v>0</v>
      </c>
      <c r="Q175" s="34">
        <f>IF(Single.Stream!$D$123="No",0,IF(Q$138=Common!$B$116,Q39,IF(Q$138=Common!$B$118,Q129,IF(Q$138=Common!$B$117,Q84,"ERROR"))))</f>
        <v>0</v>
      </c>
      <c r="R175" s="34">
        <f>IF(Single.Stream!$D$124="No",0,IF(R$138=Common!$B$116,R39,IF(R$138=Common!$B$118,R129,IF(R$138=Common!$B$117,R84,"ERROR"))))</f>
        <v>0</v>
      </c>
      <c r="S175" s="34">
        <f>IF(Single.Stream!$D$125="No",0,IF(S$138=Common!$B$116,S39,IF(S$138=Common!$B$118,S129,IF(S$138=Common!$B$117,S84,"ERROR"))))</f>
        <v>0</v>
      </c>
      <c r="T175" s="34">
        <f>IF(Single.Stream!$D$126="No",0,IF(T$138=Common!$B$116,T39,IF(T$138=Common!$B$118,T129,IF(T$138=Common!$B$117,T84,"ERROR"))))</f>
        <v>0</v>
      </c>
      <c r="U175" s="34">
        <f>IF(Single.Stream!$D$127="No",0,IF(U$138=Common!$B$116,U39,IF(U$138=Common!$B$118,U129,IF(U$138=Common!$B$117,U84,"ERROR"))))</f>
        <v>0</v>
      </c>
      <c r="V175" s="34">
        <f>IF(Single.Stream!$D$128="No",0,IF(V$138=Common!$B$116,V39,IF(V$138=Common!$B$118,V129,IF(V$138=Common!$B$117,V84,"ERROR"))))</f>
        <v>0</v>
      </c>
      <c r="W175" s="35">
        <f>IF(Single.Stream!$D$129="No",0,IF(W$138=Common!$B$116,W39,IF(W$138=Common!$B$118,W129,IF(W$138=Common!$B$117,W84,"ERROR"))))</f>
        <v>0</v>
      </c>
      <c r="X175" s="34">
        <f>IF(Single.Stream!$D$130="No",0,IF(X$138=Common!$B$116,X39,IF(X$138=Common!$B$118,X129,IF(X$138=Common!$B$117,X84,"ERROR"))))</f>
        <v>0</v>
      </c>
      <c r="Y175" s="34">
        <f>IF(Single.Stream!$D$131="No",0,IF(Y$138=Common!$B$116,Y39,IF(Y$138=Common!$B$118,Y129,IF(Y$138=Common!$B$117,Y84,"ERROR"))))</f>
        <v>0</v>
      </c>
      <c r="Z175" s="34">
        <f>IF(Single.Stream!$D$132="No",0,IF(Z$138=Common!$B$116,Z39,IF(Z$138=Common!$B$118,Z129,IF(Z$138=Common!$B$117,Z84,"ERROR"))))</f>
        <v>9.9999999999999995E-7</v>
      </c>
    </row>
    <row r="176" spans="1:26" s="9" customFormat="1" x14ac:dyDescent="0.35">
      <c r="A176" s="13" t="str">
        <f t="shared" si="113"/>
        <v>Glass - Non-recyclable</v>
      </c>
      <c r="C176" s="34">
        <f>IF(Single.Stream!$D$109="No",0,IF(C$138=Common!$B$116,C40,IF(C$138=Common!$B$118,C130,IF(C$138=Common!$B$117,C85,"ERROR"))))</f>
        <v>9.9999999999999995E-7</v>
      </c>
      <c r="D176" s="34">
        <f>IF(Single.Stream!$D$110="No",0,IF(D$138=Common!$B$116,D40,IF(D$138=Common!$B$118,D130,IF(D$138=Common!$B$117,D85,"ERROR"))))</f>
        <v>9.9999999999999995E-7</v>
      </c>
      <c r="E176" s="35">
        <f>IF(Single.Stream!$D$111="No",0,IF(E$138=Common!$B$116,E40,IF(E$138=Common!$B$118,E130,IF(E$138=Common!$B$117,E85,"ERROR"))))</f>
        <v>0</v>
      </c>
      <c r="F176" s="34">
        <f>IF(Single.Stream!$D$112="No",0,IF(F$138=Common!$B$116,F40,IF(F$138=Common!$B$118,F130,IF(F$138=Common!$B$117,F85,"ERROR"))))</f>
        <v>9.9999999999999995E-7</v>
      </c>
      <c r="G176" s="34">
        <f>IF(Single.Stream!$D$113="No",0,IF(G$138=Common!$B$116,G40,IF(G$138=Common!$B$118,G130,IF(G$138=Common!$B$117,G85,"ERROR"))))</f>
        <v>9.9999999999999995E-7</v>
      </c>
      <c r="H176" s="34">
        <f>IF(Single.Stream!$D$114="No",0,IF(H$138=Common!$B$116,H40,IF(H$138=Common!$B$118,H130,IF(H$138=Common!$B$117,H85,"ERROR"))))</f>
        <v>9.9999999999999995E-7</v>
      </c>
      <c r="I176" s="35">
        <f>IF(Single.Stream!$D$115="No",0,IF(I$138=Common!$B$116,I40,IF(I$138=Common!$B$118,I130,IF(I$138=Common!$B$117,I85,"ERROR"))))</f>
        <v>0</v>
      </c>
      <c r="J176" s="36">
        <f>IF(Single.Stream!$D$116="No",0,IF(J$138=Common!$B$116,J40,IF(J$138=Common!$B$118,J130,IF(J$138=Common!$B$117,J85,"ERROR"))))</f>
        <v>0</v>
      </c>
      <c r="K176" s="37">
        <f>IF(Single.Stream!$D$117="No",0,IF(K$138=Common!$B$116,K40,IF(K$138=Common!$B$118,K130,IF(K$138=Common!$B$117,K85,"ERROR"))))</f>
        <v>0</v>
      </c>
      <c r="L176" s="34">
        <f>IF(Single.Stream!$D$118="No",0,IF(L$138=Common!$B$116,L40,IF(L$138=Common!$B$118,L130,IF(L$138=Common!$B$117,L85,"ERROR"))))</f>
        <v>9.7000000000000003E-7</v>
      </c>
      <c r="M176" s="36">
        <f>IF(Single.Stream!$D$119="No",0,IF(M$138=Common!$B$116,M40,IF(M$138=Common!$B$118,M130,IF(M$138=Common!$B$117,M85,"ERROR"))))</f>
        <v>9.7000000000000003E-7</v>
      </c>
      <c r="N176" s="34">
        <f>IF(Single.Stream!$D$120="No",0,IF(N$138=Common!$B$116,N40,IF(N$138=Common!$B$118,N130,IF(N$138=Common!$B$117,N85,"ERROR"))))</f>
        <v>0</v>
      </c>
      <c r="O176" s="37">
        <f>IF(Single.Stream!$D$121="No",0,IF(O$138=Common!$B$116,O40,IF(O$138=Common!$B$118,O130,IF(O$138=Common!$B$117,O85,"ERROR"))))</f>
        <v>0</v>
      </c>
      <c r="P176" s="34">
        <f>IF(Single.Stream!$D$122="No",0,IF(P$138=Common!$B$116,P40,IF(P$138=Common!$B$118,P130,IF(P$138=Common!$B$117,P85,"ERROR"))))</f>
        <v>0</v>
      </c>
      <c r="Q176" s="34">
        <f>IF(Single.Stream!$D$123="No",0,IF(Q$138=Common!$B$116,Q40,IF(Q$138=Common!$B$118,Q130,IF(Q$138=Common!$B$117,Q85,"ERROR"))))</f>
        <v>0</v>
      </c>
      <c r="R176" s="34">
        <f>IF(Single.Stream!$D$124="No",0,IF(R$138=Common!$B$116,R40,IF(R$138=Common!$B$118,R130,IF(R$138=Common!$B$117,R85,"ERROR"))))</f>
        <v>0</v>
      </c>
      <c r="S176" s="34">
        <f>IF(Single.Stream!$D$125="No",0,IF(S$138=Common!$B$116,S40,IF(S$138=Common!$B$118,S130,IF(S$138=Common!$B$117,S85,"ERROR"))))</f>
        <v>0</v>
      </c>
      <c r="T176" s="34">
        <f>IF(Single.Stream!$D$126="No",0,IF(T$138=Common!$B$116,T40,IF(T$138=Common!$B$118,T130,IF(T$138=Common!$B$117,T85,"ERROR"))))</f>
        <v>0</v>
      </c>
      <c r="U176" s="34">
        <f>IF(Single.Stream!$D$127="No",0,IF(U$138=Common!$B$116,U40,IF(U$138=Common!$B$118,U130,IF(U$138=Common!$B$117,U85,"ERROR"))))</f>
        <v>0</v>
      </c>
      <c r="V176" s="34">
        <f>IF(Single.Stream!$D$128="No",0,IF(V$138=Common!$B$116,V40,IF(V$138=Common!$B$118,V130,IF(V$138=Common!$B$117,V85,"ERROR"))))</f>
        <v>0</v>
      </c>
      <c r="W176" s="35">
        <f>IF(Single.Stream!$D$129="No",0,IF(W$138=Common!$B$116,W40,IF(W$138=Common!$B$118,W130,IF(W$138=Common!$B$117,W85,"ERROR"))))</f>
        <v>0</v>
      </c>
      <c r="X176" s="34">
        <f>IF(Single.Stream!$D$130="No",0,IF(X$138=Common!$B$116,X40,IF(X$138=Common!$B$118,X130,IF(X$138=Common!$B$117,X85,"ERROR"))))</f>
        <v>0</v>
      </c>
      <c r="Y176" s="34">
        <f>IF(Single.Stream!$D$131="No",0,IF(Y$138=Common!$B$116,Y40,IF(Y$138=Common!$B$118,Y130,IF(Y$138=Common!$B$117,Y85,"ERROR"))))</f>
        <v>0</v>
      </c>
      <c r="Z176" s="34">
        <f>IF(Single.Stream!$D$132="No",0,IF(Z$138=Common!$B$116,Z40,IF(Z$138=Common!$B$118,Z130,IF(Z$138=Common!$B$117,Z85,"ERROR"))))</f>
        <v>9.9999999999999995E-7</v>
      </c>
    </row>
    <row r="177" spans="1:26" s="9" customFormat="1" x14ac:dyDescent="0.35">
      <c r="A177" s="13" t="str">
        <f t="shared" si="113"/>
        <v>Misc. Organic</v>
      </c>
      <c r="C177" s="34">
        <f>IF(Single.Stream!$D$109="No",0,IF(C$138=Common!$B$116,C41,IF(C$138=Common!$B$118,C131,IF(C$138=Common!$B$117,C86,"ERROR"))))</f>
        <v>9.9999999999999995E-7</v>
      </c>
      <c r="D177" s="34">
        <f>IF(Single.Stream!$D$110="No",0,IF(D$138=Common!$B$116,D41,IF(D$138=Common!$B$118,D131,IF(D$138=Common!$B$117,D86,"ERROR"))))</f>
        <v>9.9999999999999995E-7</v>
      </c>
      <c r="E177" s="35">
        <f>IF(Single.Stream!$D$111="No",0,IF(E$138=Common!$B$116,E41,IF(E$138=Common!$B$118,E131,IF(E$138=Common!$B$117,E86,"ERROR"))))</f>
        <v>0</v>
      </c>
      <c r="F177" s="34">
        <f>IF(Single.Stream!$D$112="No",0,IF(F$138=Common!$B$116,F41,IF(F$138=Common!$B$118,F131,IF(F$138=Common!$B$117,F86,"ERROR"))))</f>
        <v>9.9999999999999995E-7</v>
      </c>
      <c r="G177" s="34">
        <f>IF(Single.Stream!$D$113="No",0,IF(G$138=Common!$B$116,G41,IF(G$138=Common!$B$118,G131,IF(G$138=Common!$B$117,G86,"ERROR"))))</f>
        <v>9.9999999999999995E-7</v>
      </c>
      <c r="H177" s="34">
        <f>IF(Single.Stream!$D$114="No",0,IF(H$138=Common!$B$116,H41,IF(H$138=Common!$B$118,H131,IF(H$138=Common!$B$117,H86,"ERROR"))))</f>
        <v>9.9999999999999995E-7</v>
      </c>
      <c r="I177" s="35">
        <f>IF(Single.Stream!$D$115="No",0,IF(I$138=Common!$B$116,I41,IF(I$138=Common!$B$118,I131,IF(I$138=Common!$B$117,I86,"ERROR"))))</f>
        <v>0</v>
      </c>
      <c r="J177" s="36">
        <f>IF(Single.Stream!$D$116="No",0,IF(J$138=Common!$B$116,J41,IF(J$138=Common!$B$118,J131,IF(J$138=Common!$B$117,J86,"ERROR"))))</f>
        <v>0</v>
      </c>
      <c r="K177" s="37">
        <f>IF(Single.Stream!$D$117="No",0,IF(K$138=Common!$B$116,K41,IF(K$138=Common!$B$118,K131,IF(K$138=Common!$B$117,K86,"ERROR"))))</f>
        <v>0</v>
      </c>
      <c r="L177" s="34">
        <f>IF(Single.Stream!$D$118="No",0,IF(L$138=Common!$B$116,L41,IF(L$138=Common!$B$118,L131,IF(L$138=Common!$B$117,L86,"ERROR"))))</f>
        <v>0</v>
      </c>
      <c r="M177" s="36">
        <f>IF(Single.Stream!$D$119="No",0,IF(M$138=Common!$B$116,M41,IF(M$138=Common!$B$118,M131,IF(M$138=Common!$B$117,M86,"ERROR"))))</f>
        <v>0</v>
      </c>
      <c r="N177" s="34">
        <f>IF(Single.Stream!$D$120="No",0,IF(N$138=Common!$B$116,N41,IF(N$138=Common!$B$118,N131,IF(N$138=Common!$B$117,N86,"ERROR"))))</f>
        <v>0</v>
      </c>
      <c r="O177" s="37">
        <f>IF(Single.Stream!$D$121="No",0,IF(O$138=Common!$B$116,O41,IF(O$138=Common!$B$118,O131,IF(O$138=Common!$B$117,O86,"ERROR"))))</f>
        <v>0</v>
      </c>
      <c r="P177" s="34">
        <f>IF(Single.Stream!$D$122="No",0,IF(P$138=Common!$B$116,P41,IF(P$138=Common!$B$118,P131,IF(P$138=Common!$B$117,P86,"ERROR"))))</f>
        <v>0</v>
      </c>
      <c r="Q177" s="34">
        <f>IF(Single.Stream!$D$123="No",0,IF(Q$138=Common!$B$116,Q41,IF(Q$138=Common!$B$118,Q131,IF(Q$138=Common!$B$117,Q86,"ERROR"))))</f>
        <v>0</v>
      </c>
      <c r="R177" s="34">
        <f>IF(Single.Stream!$D$124="No",0,IF(R$138=Common!$B$116,R41,IF(R$138=Common!$B$118,R131,IF(R$138=Common!$B$117,R86,"ERROR"))))</f>
        <v>0</v>
      </c>
      <c r="S177" s="34">
        <f>IF(Single.Stream!$D$125="No",0,IF(S$138=Common!$B$116,S41,IF(S$138=Common!$B$118,S131,IF(S$138=Common!$B$117,S86,"ERROR"))))</f>
        <v>0</v>
      </c>
      <c r="T177" s="34">
        <f>IF(Single.Stream!$D$126="No",0,IF(T$138=Common!$B$116,T41,IF(T$138=Common!$B$118,T131,IF(T$138=Common!$B$117,T86,"ERROR"))))</f>
        <v>0</v>
      </c>
      <c r="U177" s="34">
        <f>IF(Single.Stream!$D$127="No",0,IF(U$138=Common!$B$116,U41,IF(U$138=Common!$B$118,U131,IF(U$138=Common!$B$117,U86,"ERROR"))))</f>
        <v>0</v>
      </c>
      <c r="V177" s="34">
        <f>IF(Single.Stream!$D$128="No",0,IF(V$138=Common!$B$116,V41,IF(V$138=Common!$B$118,V131,IF(V$138=Common!$B$117,V86,"ERROR"))))</f>
        <v>0</v>
      </c>
      <c r="W177" s="35">
        <f>IF(Single.Stream!$D$129="No",0,IF(W$138=Common!$B$116,W41,IF(W$138=Common!$B$118,W131,IF(W$138=Common!$B$117,W86,"ERROR"))))</f>
        <v>0</v>
      </c>
      <c r="X177" s="34">
        <f>IF(Single.Stream!$D$130="No",0,IF(X$138=Common!$B$116,X41,IF(X$138=Common!$B$118,X131,IF(X$138=Common!$B$117,X86,"ERROR"))))</f>
        <v>0</v>
      </c>
      <c r="Y177" s="34">
        <f>IF(Single.Stream!$D$131="No",0,IF(Y$138=Common!$B$116,Y41,IF(Y$138=Common!$B$118,Y131,IF(Y$138=Common!$B$117,Y86,"ERROR"))))</f>
        <v>0</v>
      </c>
      <c r="Z177" s="34">
        <f>IF(Single.Stream!$D$132="No",0,IF(Z$138=Common!$B$116,Z41,IF(Z$138=Common!$B$118,Z131,IF(Z$138=Common!$B$117,Z86,"ERROR"))))</f>
        <v>9.9999999999999995E-7</v>
      </c>
    </row>
    <row r="178" spans="1:26" s="9" customFormat="1" x14ac:dyDescent="0.35">
      <c r="A178" s="13" t="str">
        <f t="shared" si="113"/>
        <v>Misc. Inorganic</v>
      </c>
      <c r="C178" s="34">
        <f>IF(Single.Stream!$D$109="No",0,IF(C$138=Common!$B$116,C42,IF(C$138=Common!$B$118,C132,IF(C$138=Common!$B$117,C87,"ERROR"))))</f>
        <v>9.9999999999999995E-7</v>
      </c>
      <c r="D178" s="34">
        <f>IF(Single.Stream!$D$110="No",0,IF(D$138=Common!$B$116,D42,IF(D$138=Common!$B$118,D132,IF(D$138=Common!$B$117,D87,"ERROR"))))</f>
        <v>9.9999999999999995E-7</v>
      </c>
      <c r="E178" s="35">
        <f>IF(Single.Stream!$D$111="No",0,IF(E$138=Common!$B$116,E42,IF(E$138=Common!$B$118,E132,IF(E$138=Common!$B$117,E87,"ERROR"))))</f>
        <v>0</v>
      </c>
      <c r="F178" s="34">
        <f>IF(Single.Stream!$D$112="No",0,IF(F$138=Common!$B$116,F42,IF(F$138=Common!$B$118,F132,IF(F$138=Common!$B$117,F87,"ERROR"))))</f>
        <v>9.9999999999999995E-7</v>
      </c>
      <c r="G178" s="34">
        <f>IF(Single.Stream!$D$113="No",0,IF(G$138=Common!$B$116,G42,IF(G$138=Common!$B$118,G132,IF(G$138=Common!$B$117,G87,"ERROR"))))</f>
        <v>9.9999999999999995E-7</v>
      </c>
      <c r="H178" s="34">
        <f>IF(Single.Stream!$D$114="No",0,IF(H$138=Common!$B$116,H42,IF(H$138=Common!$B$118,H132,IF(H$138=Common!$B$117,H87,"ERROR"))))</f>
        <v>9.9999999999999995E-7</v>
      </c>
      <c r="I178" s="35">
        <f>IF(Single.Stream!$D$115="No",0,IF(I$138=Common!$B$116,I42,IF(I$138=Common!$B$118,I132,IF(I$138=Common!$B$117,I87,"ERROR"))))</f>
        <v>0</v>
      </c>
      <c r="J178" s="36">
        <f>IF(Single.Stream!$D$116="No",0,IF(J$138=Common!$B$116,J42,IF(J$138=Common!$B$118,J132,IF(J$138=Common!$B$117,J87,"ERROR"))))</f>
        <v>0</v>
      </c>
      <c r="K178" s="37">
        <f>IF(Single.Stream!$D$117="No",0,IF(K$138=Common!$B$116,K42,IF(K$138=Common!$B$118,K132,IF(K$138=Common!$B$117,K87,"ERROR"))))</f>
        <v>0</v>
      </c>
      <c r="L178" s="34">
        <f>IF(Single.Stream!$D$118="No",0,IF(L$138=Common!$B$116,L42,IF(L$138=Common!$B$118,L132,IF(L$138=Common!$B$117,L87,"ERROR"))))</f>
        <v>0</v>
      </c>
      <c r="M178" s="36">
        <f>IF(Single.Stream!$D$119="No",0,IF(M$138=Common!$B$116,M42,IF(M$138=Common!$B$118,M132,IF(M$138=Common!$B$117,M87,"ERROR"))))</f>
        <v>0</v>
      </c>
      <c r="N178" s="34">
        <f>IF(Single.Stream!$D$120="No",0,IF(N$138=Common!$B$116,N42,IF(N$138=Common!$B$118,N132,IF(N$138=Common!$B$117,N87,"ERROR"))))</f>
        <v>0</v>
      </c>
      <c r="O178" s="37">
        <f>IF(Single.Stream!$D$121="No",0,IF(O$138=Common!$B$116,O42,IF(O$138=Common!$B$118,O132,IF(O$138=Common!$B$117,O87,"ERROR"))))</f>
        <v>0</v>
      </c>
      <c r="P178" s="34">
        <f>IF(Single.Stream!$D$122="No",0,IF(P$138=Common!$B$116,P42,IF(P$138=Common!$B$118,P132,IF(P$138=Common!$B$117,P87,"ERROR"))))</f>
        <v>0</v>
      </c>
      <c r="Q178" s="34">
        <f>IF(Single.Stream!$D$123="No",0,IF(Q$138=Common!$B$116,Q42,IF(Q$138=Common!$B$118,Q132,IF(Q$138=Common!$B$117,Q87,"ERROR"))))</f>
        <v>0</v>
      </c>
      <c r="R178" s="34">
        <f>IF(Single.Stream!$D$124="No",0,IF(R$138=Common!$B$116,R42,IF(R$138=Common!$B$118,R132,IF(R$138=Common!$B$117,R87,"ERROR"))))</f>
        <v>0</v>
      </c>
      <c r="S178" s="34">
        <f>IF(Single.Stream!$D$125="No",0,IF(S$138=Common!$B$116,S42,IF(S$138=Common!$B$118,S132,IF(S$138=Common!$B$117,S87,"ERROR"))))</f>
        <v>0</v>
      </c>
      <c r="T178" s="34">
        <f>IF(Single.Stream!$D$126="No",0,IF(T$138=Common!$B$116,T42,IF(T$138=Common!$B$118,T132,IF(T$138=Common!$B$117,T87,"ERROR"))))</f>
        <v>0</v>
      </c>
      <c r="U178" s="34">
        <f>IF(Single.Stream!$D$127="No",0,IF(U$138=Common!$B$116,U42,IF(U$138=Common!$B$118,U132,IF(U$138=Common!$B$117,U87,"ERROR"))))</f>
        <v>0</v>
      </c>
      <c r="V178" s="34">
        <f>IF(Single.Stream!$D$128="No",0,IF(V$138=Common!$B$116,V42,IF(V$138=Common!$B$118,V132,IF(V$138=Common!$B$117,V87,"ERROR"))))</f>
        <v>0</v>
      </c>
      <c r="W178" s="35">
        <f>IF(Single.Stream!$D$129="No",0,IF(W$138=Common!$B$116,W42,IF(W$138=Common!$B$118,W132,IF(W$138=Common!$B$117,W87,"ERROR"))))</f>
        <v>0</v>
      </c>
      <c r="X178" s="34">
        <f>IF(Single.Stream!$D$130="No",0,IF(X$138=Common!$B$116,X42,IF(X$138=Common!$B$118,X132,IF(X$138=Common!$B$117,X87,"ERROR"))))</f>
        <v>0</v>
      </c>
      <c r="Y178" s="34">
        <f>IF(Single.Stream!$D$131="No",0,IF(Y$138=Common!$B$116,Y42,IF(Y$138=Common!$B$118,Y132,IF(Y$138=Common!$B$117,Y87,"ERROR"))))</f>
        <v>0</v>
      </c>
      <c r="Z178" s="34">
        <f>IF(Single.Stream!$D$132="No",0,IF(Z$138=Common!$B$116,Z42,IF(Z$138=Common!$B$118,Z132,IF(Z$138=Common!$B$117,Z87,"ERROR"))))</f>
        <v>9.9999999999999995E-7</v>
      </c>
    </row>
    <row r="179" spans="1:26" s="9" customFormat="1" x14ac:dyDescent="0.35">
      <c r="A179" s="13" t="str">
        <f t="shared" si="113"/>
        <v>E-waste</v>
      </c>
      <c r="C179" s="34">
        <f>IF(Single.Stream!$D$109="No",0,IF(C$138=Common!$B$116,C43,IF(C$138=Common!$B$118,C133,IF(C$138=Common!$B$117,C88,"ERROR"))))</f>
        <v>9.9999999999999995E-7</v>
      </c>
      <c r="D179" s="34">
        <f>IF(Single.Stream!$D$110="No",0,IF(D$138=Common!$B$116,D43,IF(D$138=Common!$B$118,D133,IF(D$138=Common!$B$117,D88,"ERROR"))))</f>
        <v>9.9999999999999995E-7</v>
      </c>
      <c r="E179" s="42">
        <f>IF(Single.Stream!$D$111="No",0,IF(E$138=Common!$B$116,E43,IF(E$138=Common!$B$118,E133,IF(E$138=Common!$B$117,E88,"ERROR"))))</f>
        <v>0</v>
      </c>
      <c r="F179" s="34">
        <f>IF(Single.Stream!$D$112="No",0,IF(F$138=Common!$B$116,F43,IF(F$138=Common!$B$118,F133,IF(F$138=Common!$B$117,F88,"ERROR"))))</f>
        <v>9.9999999999999995E-7</v>
      </c>
      <c r="G179" s="34">
        <f>IF(Single.Stream!$D$113="No",0,IF(G$138=Common!$B$116,G43,IF(G$138=Common!$B$118,G133,IF(G$138=Common!$B$117,G88,"ERROR"))))</f>
        <v>9.9999999999999995E-7</v>
      </c>
      <c r="H179" s="34">
        <f>IF(Single.Stream!$D$114="No",0,IF(H$138=Common!$B$116,H43,IF(H$138=Common!$B$118,H133,IF(H$138=Common!$B$117,H88,"ERROR"))))</f>
        <v>9.9999999999999995E-7</v>
      </c>
      <c r="I179" s="42">
        <f>IF(Single.Stream!$D$115="No",0,IF(I$138=Common!$B$116,I43,IF(I$138=Common!$B$118,I133,IF(I$138=Common!$B$117,I88,"ERROR"))))</f>
        <v>0</v>
      </c>
      <c r="J179" s="44">
        <f>IF(Single.Stream!$D$116="No",0,IF(J$138=Common!$B$116,J43,IF(J$138=Common!$B$118,J133,IF(J$138=Common!$B$117,J88,"ERROR"))))</f>
        <v>0</v>
      </c>
      <c r="K179" s="41">
        <f>IF(Single.Stream!$D$117="No",0,IF(K$138=Common!$B$116,K43,IF(K$138=Common!$B$118,K133,IF(K$138=Common!$B$117,K88,"ERROR"))))</f>
        <v>0</v>
      </c>
      <c r="L179" s="34">
        <f>IF(Single.Stream!$D$118="No",0,IF(L$138=Common!$B$116,L43,IF(L$138=Common!$B$118,L133,IF(L$138=Common!$B$117,L88,"ERROR"))))</f>
        <v>0</v>
      </c>
      <c r="M179" s="44">
        <f>IF(Single.Stream!$D$119="No",0,IF(M$138=Common!$B$116,M43,IF(M$138=Common!$B$118,M133,IF(M$138=Common!$B$117,M88,"ERROR"))))</f>
        <v>0</v>
      </c>
      <c r="N179" s="40">
        <f>IF(Single.Stream!$D$120="No",0,IF(N$138=Common!$B$116,N43,IF(N$138=Common!$B$118,N133,IF(N$138=Common!$B$117,N88,"ERROR"))))</f>
        <v>0</v>
      </c>
      <c r="O179" s="41">
        <f>IF(Single.Stream!$D$121="No",0,IF(O$138=Common!$B$116,O43,IF(O$138=Common!$B$118,O133,IF(O$138=Common!$B$117,O88,"ERROR"))))</f>
        <v>0</v>
      </c>
      <c r="P179" s="34">
        <f>IF(Single.Stream!$D$122="No",0,IF(P$138=Common!$B$116,P43,IF(P$138=Common!$B$118,P133,IF(P$138=Common!$B$117,P88,"ERROR"))))</f>
        <v>0</v>
      </c>
      <c r="Q179" s="34">
        <f>IF(Single.Stream!$D$123="No",0,IF(Q$138=Common!$B$116,Q43,IF(Q$138=Common!$B$118,Q133,IF(Q$138=Common!$B$117,Q88,"ERROR"))))</f>
        <v>0</v>
      </c>
      <c r="R179" s="34">
        <f>IF(Single.Stream!$D$124="No",0,IF(R$138=Common!$B$116,R43,IF(R$138=Common!$B$118,R133,IF(R$138=Common!$B$117,R88,"ERROR"))))</f>
        <v>0</v>
      </c>
      <c r="S179" s="34">
        <f>IF(Single.Stream!$D$125="No",0,IF(S$138=Common!$B$116,S43,IF(S$138=Common!$B$118,S133,IF(S$138=Common!$B$117,S88,"ERROR"))))</f>
        <v>0</v>
      </c>
      <c r="T179" s="34">
        <f>IF(Single.Stream!$D$126="No",0,IF(T$138=Common!$B$116,T43,IF(T$138=Common!$B$118,T133,IF(T$138=Common!$B$117,T88,"ERROR"))))</f>
        <v>0</v>
      </c>
      <c r="U179" s="34">
        <f>IF(Single.Stream!$D$127="No",0,IF(U$138=Common!$B$116,U43,IF(U$138=Common!$B$118,U133,IF(U$138=Common!$B$117,U88,"ERROR"))))</f>
        <v>0</v>
      </c>
      <c r="V179" s="34">
        <f>IF(Single.Stream!$D$128="No",0,IF(V$138=Common!$B$116,V43,IF(V$138=Common!$B$118,V133,IF(V$138=Common!$B$117,V88,"ERROR"))))</f>
        <v>0</v>
      </c>
      <c r="W179" s="42">
        <f>IF(Single.Stream!$D$129="No",0,IF(W$138=Common!$B$116,W43,IF(W$138=Common!$B$118,W133,IF(W$138=Common!$B$117,W88,"ERROR"))))</f>
        <v>0</v>
      </c>
      <c r="X179" s="34">
        <f>IF(Single.Stream!$D$130="No",0,IF(X$138=Common!$B$116,X43,IF(X$138=Common!$B$118,X133,IF(X$138=Common!$B$117,X88,"ERROR"))))</f>
        <v>0</v>
      </c>
      <c r="Y179" s="34">
        <f>IF(Single.Stream!$D$131="No",0,IF(Y$138=Common!$B$116,Y43,IF(Y$138=Common!$B$118,Y133,IF(Y$138=Common!$B$117,Y88,"ERROR"))))</f>
        <v>0</v>
      </c>
      <c r="Z179" s="34">
        <f>IF(Single.Stream!$D$132="No",0,IF(Z$138=Common!$B$116,Z43,IF(Z$138=Common!$B$118,Z133,IF(Z$138=Common!$B$117,Z88,"ERROR"))))</f>
        <v>9.9999999999999995E-7</v>
      </c>
    </row>
    <row r="180" spans="1:26" s="25" customFormat="1" x14ac:dyDescent="0.35">
      <c r="A180" s="14" t="s">
        <v>93</v>
      </c>
      <c r="C180" s="43">
        <f>SUM(C139:C179)</f>
        <v>100.00002499999995</v>
      </c>
      <c r="D180" s="43">
        <f t="shared" ref="D180:Z180" si="114">SUM(D139:D179)</f>
        <v>100.00002499999995</v>
      </c>
      <c r="E180" s="43">
        <f t="shared" si="114"/>
        <v>4.8600000000000003</v>
      </c>
      <c r="F180" s="43">
        <f t="shared" si="114"/>
        <v>95.140024999999952</v>
      </c>
      <c r="G180" s="43">
        <f t="shared" si="114"/>
        <v>67.280024999999966</v>
      </c>
      <c r="H180" s="43">
        <f t="shared" si="114"/>
        <v>32.651022449999992</v>
      </c>
      <c r="I180" s="43">
        <f t="shared" si="114"/>
        <v>0</v>
      </c>
      <c r="J180" s="43">
        <f t="shared" si="114"/>
        <v>0</v>
      </c>
      <c r="K180" s="43">
        <f t="shared" si="114"/>
        <v>68.050012959499995</v>
      </c>
      <c r="L180" s="43">
        <f t="shared" si="114"/>
        <v>12.756002089999999</v>
      </c>
      <c r="M180" s="43">
        <f t="shared" si="114"/>
        <v>12.756002089999999</v>
      </c>
      <c r="N180" s="43">
        <f t="shared" si="114"/>
        <v>0</v>
      </c>
      <c r="O180" s="43">
        <f t="shared" si="114"/>
        <v>0</v>
      </c>
      <c r="P180" s="43">
        <f t="shared" si="114"/>
        <v>3.6205610000000004</v>
      </c>
      <c r="Q180" s="43">
        <f t="shared" si="114"/>
        <v>0</v>
      </c>
      <c r="R180" s="43">
        <f t="shared" si="114"/>
        <v>3.0334430000000001</v>
      </c>
      <c r="S180" s="43">
        <f t="shared" si="114"/>
        <v>0</v>
      </c>
      <c r="T180" s="43">
        <f t="shared" si="114"/>
        <v>3.72400098</v>
      </c>
      <c r="U180" s="43">
        <f t="shared" si="114"/>
        <v>0</v>
      </c>
      <c r="V180" s="43">
        <f t="shared" si="114"/>
        <v>2.5220019399999996</v>
      </c>
      <c r="W180" s="43">
        <f t="shared" si="114"/>
        <v>0</v>
      </c>
      <c r="X180" s="43">
        <f t="shared" si="114"/>
        <v>0</v>
      </c>
      <c r="Y180" s="43">
        <f t="shared" si="114"/>
        <v>17.760006919999995</v>
      </c>
      <c r="Z180" s="43">
        <f t="shared" si="114"/>
        <v>100.00002499999995</v>
      </c>
    </row>
    <row r="181" spans="1:26" s="9" customFormat="1" x14ac:dyDescent="0.35"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8"/>
      <c r="Q181" s="38"/>
      <c r="R181" s="34"/>
      <c r="S181" s="34"/>
    </row>
    <row r="182" spans="1:26" s="9" customFormat="1" x14ac:dyDescent="0.35">
      <c r="A182" s="25" t="s">
        <v>40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8"/>
      <c r="Q182" s="38"/>
      <c r="R182" s="34"/>
      <c r="S182" s="34"/>
    </row>
    <row r="183" spans="1:26" s="9" customFormat="1" ht="29" x14ac:dyDescent="0.35">
      <c r="B183" s="45" t="s">
        <v>80</v>
      </c>
      <c r="C183" s="25" t="s">
        <v>146</v>
      </c>
      <c r="D183" s="46" t="s">
        <v>147</v>
      </c>
      <c r="E183" s="46" t="s">
        <v>73</v>
      </c>
      <c r="F183" s="46" t="s">
        <v>74</v>
      </c>
      <c r="G183" s="43" t="s">
        <v>77</v>
      </c>
      <c r="H183" s="46" t="s">
        <v>76</v>
      </c>
      <c r="I183" s="46" t="s">
        <v>75</v>
      </c>
      <c r="J183" s="46" t="s">
        <v>72</v>
      </c>
      <c r="K183" s="43" t="s">
        <v>41</v>
      </c>
      <c r="M183" s="34"/>
      <c r="N183" s="34"/>
      <c r="O183" s="34"/>
      <c r="P183" s="38"/>
      <c r="Q183" s="38"/>
      <c r="R183" s="34"/>
      <c r="S183" s="34"/>
    </row>
    <row r="184" spans="1:26" s="9" customFormat="1" x14ac:dyDescent="0.35">
      <c r="A184" s="9" t="str">
        <f>A3</f>
        <v>Yard Trimmings, Leaves</v>
      </c>
      <c r="B184" s="34">
        <f>(D3-E3)+I3+J3+IF(Single.Stream!$B$9="No",'SS Material Flow'!L3,IF(SUM($N$3:$N$43)=0,0,N48))+O3+W3+X48</f>
        <v>9.9999999999999995E-7</v>
      </c>
      <c r="C184" s="34">
        <f t="shared" ref="C184:C224" si="115">F3</f>
        <v>0</v>
      </c>
      <c r="D184" s="34">
        <f t="shared" ref="D184:D224" si="116">I48+J48</f>
        <v>0</v>
      </c>
      <c r="E184" s="34">
        <f t="shared" ref="E184:E224" si="117">W48</f>
        <v>0</v>
      </c>
      <c r="F184" s="34">
        <f t="shared" ref="F184:F224" si="118">T3</f>
        <v>0</v>
      </c>
      <c r="G184" s="34">
        <f t="shared" ref="G184:G224" si="119">E3</f>
        <v>0</v>
      </c>
      <c r="H184" s="38">
        <f t="shared" ref="H184:H224" si="120">R3</f>
        <v>0</v>
      </c>
      <c r="I184" s="34">
        <f t="shared" ref="I184:I224" si="121">P3</f>
        <v>0</v>
      </c>
      <c r="J184" s="34">
        <f>IF(Single.Stream!$B$9="No",0,IF(SUM($N$3:$N$43)=0,N48,O48))</f>
        <v>0</v>
      </c>
      <c r="K184" s="34" t="str">
        <f>IF($B93=SUM(B184:J184),"Yes","ERROR!!")</f>
        <v>Yes</v>
      </c>
      <c r="M184" s="34"/>
      <c r="N184" s="34"/>
      <c r="O184" s="34"/>
      <c r="P184" s="38"/>
      <c r="Q184" s="38"/>
      <c r="R184" s="34"/>
      <c r="S184" s="34"/>
    </row>
    <row r="185" spans="1:26" s="9" customFormat="1" x14ac:dyDescent="0.35">
      <c r="A185" s="9" t="str">
        <f t="shared" ref="A185:A224" si="122">A4</f>
        <v>Yard Trimmings, Grass</v>
      </c>
      <c r="B185" s="34">
        <f>(D4-E4)+I4+J4+IF(Single.Stream!$B$9="No",'SS Material Flow'!L4,IF(SUM($N$3:$N$43)=0,0,N49))+O4+W4+X49</f>
        <v>9.9999999999999995E-7</v>
      </c>
      <c r="C185" s="34">
        <f t="shared" si="115"/>
        <v>0</v>
      </c>
      <c r="D185" s="34">
        <f t="shared" si="116"/>
        <v>0</v>
      </c>
      <c r="E185" s="34">
        <f t="shared" si="117"/>
        <v>0</v>
      </c>
      <c r="F185" s="34">
        <f t="shared" si="118"/>
        <v>0</v>
      </c>
      <c r="G185" s="34">
        <f t="shared" si="119"/>
        <v>0</v>
      </c>
      <c r="H185" s="38">
        <f t="shared" si="120"/>
        <v>0</v>
      </c>
      <c r="I185" s="34">
        <f t="shared" si="121"/>
        <v>0</v>
      </c>
      <c r="J185" s="34">
        <f>IF(Single.Stream!$B$9="No",0,IF(SUM($N$3:$N$43)=0,N49,O49))</f>
        <v>0</v>
      </c>
      <c r="K185" s="34" t="str">
        <f t="shared" ref="K185:K224" si="123">IF($B94=SUM(B185:J185),"Yes","ERROR!!")</f>
        <v>Yes</v>
      </c>
      <c r="M185" s="34"/>
      <c r="N185" s="34"/>
      <c r="P185" s="38"/>
      <c r="Q185" s="38"/>
      <c r="R185" s="34"/>
      <c r="S185" s="34"/>
    </row>
    <row r="186" spans="1:26" s="9" customFormat="1" x14ac:dyDescent="0.35">
      <c r="A186" s="9" t="str">
        <f t="shared" si="122"/>
        <v>Yard Trimmings, Branches</v>
      </c>
      <c r="B186" s="34">
        <f>(D5-E5)+I5+J5+IF(Single.Stream!$B$9="No",'SS Material Flow'!L5,IF(SUM($N$3:$N$43)=0,0,N50))+O5+W5+X50</f>
        <v>9.9999999999999995E-7</v>
      </c>
      <c r="C186" s="34">
        <f t="shared" si="115"/>
        <v>0</v>
      </c>
      <c r="D186" s="34">
        <f t="shared" si="116"/>
        <v>0</v>
      </c>
      <c r="E186" s="34">
        <f t="shared" si="117"/>
        <v>0</v>
      </c>
      <c r="F186" s="34">
        <f t="shared" si="118"/>
        <v>0</v>
      </c>
      <c r="G186" s="34">
        <f t="shared" si="119"/>
        <v>0</v>
      </c>
      <c r="H186" s="38">
        <f t="shared" si="120"/>
        <v>0</v>
      </c>
      <c r="I186" s="34">
        <f t="shared" si="121"/>
        <v>0</v>
      </c>
      <c r="J186" s="34">
        <f>IF(Single.Stream!$B$9="No",0,IF(SUM($N$3:$N$43)=0,N50,O50))</f>
        <v>0</v>
      </c>
      <c r="K186" s="34" t="str">
        <f t="shared" si="123"/>
        <v>Yes</v>
      </c>
      <c r="M186" s="34"/>
      <c r="N186" s="34"/>
      <c r="O186" s="34"/>
      <c r="P186" s="38"/>
      <c r="Q186" s="38"/>
      <c r="R186" s="34"/>
      <c r="S186" s="34"/>
    </row>
    <row r="187" spans="1:26" s="9" customFormat="1" x14ac:dyDescent="0.35">
      <c r="A187" s="9" t="str">
        <f t="shared" si="122"/>
        <v>Food Waste - Vegetable</v>
      </c>
      <c r="B187" s="34">
        <f>(D6-E6)+I6+J6+IF(Single.Stream!$B$9="No",'SS Material Flow'!L6,IF(SUM($N$3:$N$43)=0,0,N51))+O6+W6+X51</f>
        <v>9.9999999999999995E-7</v>
      </c>
      <c r="C187" s="34">
        <f t="shared" si="115"/>
        <v>0</v>
      </c>
      <c r="D187" s="34">
        <f t="shared" si="116"/>
        <v>0</v>
      </c>
      <c r="E187" s="34">
        <f t="shared" si="117"/>
        <v>0</v>
      </c>
      <c r="F187" s="34">
        <f t="shared" si="118"/>
        <v>0</v>
      </c>
      <c r="G187" s="34">
        <f t="shared" si="119"/>
        <v>0</v>
      </c>
      <c r="H187" s="38">
        <f t="shared" si="120"/>
        <v>0</v>
      </c>
      <c r="I187" s="34">
        <f t="shared" si="121"/>
        <v>0</v>
      </c>
      <c r="J187" s="34">
        <f>IF(Single.Stream!$B$9="No",0,IF(SUM($N$3:$N$43)=0,N51,O51))</f>
        <v>0</v>
      </c>
      <c r="K187" s="34" t="str">
        <f t="shared" si="123"/>
        <v>Yes</v>
      </c>
      <c r="M187" s="34"/>
      <c r="N187" s="34"/>
      <c r="O187" s="34"/>
      <c r="P187" s="38"/>
      <c r="Q187" s="38"/>
      <c r="R187" s="34"/>
      <c r="S187" s="34"/>
    </row>
    <row r="188" spans="1:26" s="9" customFormat="1" x14ac:dyDescent="0.35">
      <c r="A188" s="9" t="str">
        <f t="shared" si="122"/>
        <v>Food Waste - Non-Vegetable</v>
      </c>
      <c r="B188" s="34">
        <f>(D7-E7)+I7+J7+IF(Single.Stream!$B$9="No",'SS Material Flow'!L7,IF(SUM($N$3:$N$43)=0,0,N52))+O7+W7+X52</f>
        <v>9.9999999999999995E-7</v>
      </c>
      <c r="C188" s="34">
        <f t="shared" si="115"/>
        <v>0</v>
      </c>
      <c r="D188" s="34">
        <f t="shared" si="116"/>
        <v>0</v>
      </c>
      <c r="E188" s="34">
        <f t="shared" si="117"/>
        <v>0</v>
      </c>
      <c r="F188" s="34">
        <f t="shared" si="118"/>
        <v>0</v>
      </c>
      <c r="G188" s="34">
        <f t="shared" si="119"/>
        <v>0</v>
      </c>
      <c r="H188" s="38">
        <f t="shared" si="120"/>
        <v>0</v>
      </c>
      <c r="I188" s="34">
        <f t="shared" si="121"/>
        <v>0</v>
      </c>
      <c r="J188" s="34">
        <f>IF(Single.Stream!$B$9="No",0,IF(SUM($N$3:$N$43)=0,N52,O52))</f>
        <v>0</v>
      </c>
      <c r="K188" s="34" t="str">
        <f t="shared" si="123"/>
        <v>Yes</v>
      </c>
      <c r="M188" s="34"/>
      <c r="N188" s="34"/>
      <c r="O188" s="34"/>
      <c r="P188" s="38"/>
      <c r="Q188" s="38"/>
      <c r="R188" s="34"/>
      <c r="S188" s="34"/>
    </row>
    <row r="189" spans="1:26" s="9" customFormat="1" x14ac:dyDescent="0.35">
      <c r="A189" s="9" t="str">
        <f t="shared" si="122"/>
        <v>Wood</v>
      </c>
      <c r="B189" s="34">
        <f>(D8-E8)+I8+J8+IF(Single.Stream!$B$9="No",'SS Material Flow'!L8,IF(SUM($N$3:$N$43)=0,0,N53))+O8+W8+X53</f>
        <v>9.9999999999999995E-7</v>
      </c>
      <c r="C189" s="34">
        <f t="shared" si="115"/>
        <v>0</v>
      </c>
      <c r="D189" s="34">
        <f t="shared" si="116"/>
        <v>0</v>
      </c>
      <c r="E189" s="34">
        <f t="shared" si="117"/>
        <v>0</v>
      </c>
      <c r="F189" s="34">
        <f t="shared" si="118"/>
        <v>0</v>
      </c>
      <c r="G189" s="34">
        <f t="shared" si="119"/>
        <v>0</v>
      </c>
      <c r="H189" s="38">
        <f t="shared" si="120"/>
        <v>0</v>
      </c>
      <c r="I189" s="34">
        <f t="shared" si="121"/>
        <v>0</v>
      </c>
      <c r="J189" s="34">
        <f>IF(Single.Stream!$B$9="No",0,IF(SUM($N$3:$N$43)=0,N53,O53))</f>
        <v>0</v>
      </c>
      <c r="K189" s="34" t="str">
        <f t="shared" si="123"/>
        <v>Yes</v>
      </c>
      <c r="M189" s="34"/>
      <c r="N189" s="34"/>
      <c r="O189" s="34"/>
      <c r="P189" s="38"/>
      <c r="Q189" s="38"/>
      <c r="R189" s="34"/>
      <c r="S189" s="34"/>
    </row>
    <row r="190" spans="1:26" s="9" customFormat="1" x14ac:dyDescent="0.35">
      <c r="A190" s="9" t="str">
        <f t="shared" si="122"/>
        <v>Wood Other</v>
      </c>
      <c r="B190" s="34">
        <f>(D9-E9)+I9+J9+IF(Single.Stream!$B$9="No",'SS Material Flow'!L9,IF(SUM($N$3:$N$43)=0,0,N54))+O9+W9+X54</f>
        <v>9.9999999999999995E-7</v>
      </c>
      <c r="C190" s="34">
        <f t="shared" si="115"/>
        <v>0</v>
      </c>
      <c r="D190" s="34">
        <f t="shared" si="116"/>
        <v>0</v>
      </c>
      <c r="E190" s="34">
        <f t="shared" si="117"/>
        <v>0</v>
      </c>
      <c r="F190" s="34">
        <f t="shared" si="118"/>
        <v>0</v>
      </c>
      <c r="G190" s="34">
        <f t="shared" si="119"/>
        <v>0</v>
      </c>
      <c r="H190" s="38">
        <f t="shared" si="120"/>
        <v>0</v>
      </c>
      <c r="I190" s="34">
        <f t="shared" si="121"/>
        <v>0</v>
      </c>
      <c r="J190" s="34">
        <f>IF(Single.Stream!$B$9="No",0,IF(SUM($N$3:$N$43)=0,N54,O54))</f>
        <v>0</v>
      </c>
      <c r="K190" s="34" t="str">
        <f t="shared" si="123"/>
        <v>Yes</v>
      </c>
      <c r="M190" s="34"/>
      <c r="N190" s="34"/>
      <c r="O190" s="34"/>
      <c r="P190" s="38"/>
      <c r="Q190" s="38"/>
      <c r="R190" s="34"/>
      <c r="S190" s="34"/>
    </row>
    <row r="191" spans="1:26" s="9" customFormat="1" x14ac:dyDescent="0.35">
      <c r="A191" s="9" t="str">
        <f t="shared" si="122"/>
        <v>Textiles</v>
      </c>
      <c r="B191" s="34">
        <f>(D10-E10)+I10+J10+IF(Single.Stream!$B$9="No",'SS Material Flow'!L10,IF(SUM($N$3:$N$43)=0,0,N55))+O10+W10+X55</f>
        <v>9.9999999999999995E-7</v>
      </c>
      <c r="C191" s="34">
        <f t="shared" si="115"/>
        <v>0</v>
      </c>
      <c r="D191" s="34">
        <f t="shared" si="116"/>
        <v>0</v>
      </c>
      <c r="E191" s="34">
        <f t="shared" si="117"/>
        <v>0</v>
      </c>
      <c r="F191" s="34">
        <f t="shared" si="118"/>
        <v>0</v>
      </c>
      <c r="G191" s="34">
        <f t="shared" si="119"/>
        <v>0</v>
      </c>
      <c r="H191" s="38">
        <f t="shared" si="120"/>
        <v>0</v>
      </c>
      <c r="I191" s="34">
        <f t="shared" si="121"/>
        <v>0</v>
      </c>
      <c r="J191" s="34">
        <f>IF(Single.Stream!$B$9="No",0,IF(SUM($N$3:$N$43)=0,N55,O55))</f>
        <v>0</v>
      </c>
      <c r="K191" s="34" t="str">
        <f t="shared" si="123"/>
        <v>Yes</v>
      </c>
      <c r="M191" s="34"/>
      <c r="N191" s="34"/>
      <c r="O191" s="34"/>
      <c r="P191" s="38"/>
      <c r="Q191" s="38"/>
      <c r="R191" s="34"/>
      <c r="S191" s="34"/>
    </row>
    <row r="192" spans="1:26" s="9" customFormat="1" x14ac:dyDescent="0.35">
      <c r="A192" s="9" t="str">
        <f t="shared" si="122"/>
        <v>Rubber/Leather</v>
      </c>
      <c r="B192" s="34">
        <f>(D11-E11)+I11+J11+IF(Single.Stream!$B$9="No",'SS Material Flow'!L11,IF(SUM($N$3:$N$43)=0,0,N56))+O11+W11+X56</f>
        <v>9.9999999999999995E-7</v>
      </c>
      <c r="C192" s="34">
        <f t="shared" si="115"/>
        <v>0</v>
      </c>
      <c r="D192" s="34">
        <f t="shared" si="116"/>
        <v>0</v>
      </c>
      <c r="E192" s="34">
        <f t="shared" si="117"/>
        <v>0</v>
      </c>
      <c r="F192" s="34">
        <f t="shared" si="118"/>
        <v>0</v>
      </c>
      <c r="G192" s="34">
        <f t="shared" si="119"/>
        <v>0</v>
      </c>
      <c r="H192" s="38">
        <f t="shared" si="120"/>
        <v>0</v>
      </c>
      <c r="I192" s="34">
        <f t="shared" si="121"/>
        <v>0</v>
      </c>
      <c r="J192" s="34">
        <f>IF(Single.Stream!$B$9="No",0,IF(SUM($N$3:$N$43)=0,N56,O56))</f>
        <v>0</v>
      </c>
      <c r="K192" s="34" t="str">
        <f t="shared" si="123"/>
        <v>Yes</v>
      </c>
      <c r="M192" s="34"/>
      <c r="N192" s="34"/>
      <c r="O192" s="34"/>
      <c r="P192" s="38"/>
      <c r="Q192" s="38"/>
      <c r="R192" s="34"/>
      <c r="S192" s="34"/>
    </row>
    <row r="193" spans="1:19" s="9" customFormat="1" x14ac:dyDescent="0.35">
      <c r="A193" s="9" t="str">
        <f t="shared" si="122"/>
        <v>Newsprint</v>
      </c>
      <c r="B193" s="34">
        <f>(D12-E12)+I12+J12+IF(Single.Stream!$B$9="No",'SS Material Flow'!L12,IF(SUM($N$3:$N$43)=0,0,N57))+O12+W12+X57</f>
        <v>0.18225000000000002</v>
      </c>
      <c r="C193" s="34">
        <f t="shared" si="115"/>
        <v>0</v>
      </c>
      <c r="D193" s="34">
        <f t="shared" si="116"/>
        <v>13.31775</v>
      </c>
      <c r="E193" s="34">
        <f t="shared" si="117"/>
        <v>0</v>
      </c>
      <c r="F193" s="34">
        <f t="shared" si="118"/>
        <v>0</v>
      </c>
      <c r="G193" s="34">
        <f t="shared" si="119"/>
        <v>0</v>
      </c>
      <c r="H193" s="38">
        <f t="shared" si="120"/>
        <v>0</v>
      </c>
      <c r="I193" s="34">
        <f t="shared" si="121"/>
        <v>0</v>
      </c>
      <c r="J193" s="34">
        <f>IF(Single.Stream!$B$9="No",0,IF(SUM($N$3:$N$43)=0,N57,O57))</f>
        <v>0</v>
      </c>
      <c r="K193" s="34" t="str">
        <f t="shared" si="123"/>
        <v>Yes</v>
      </c>
      <c r="M193" s="34"/>
      <c r="N193" s="34"/>
      <c r="O193" s="34"/>
      <c r="P193" s="38"/>
      <c r="Q193" s="38"/>
      <c r="R193" s="34"/>
      <c r="S193" s="34"/>
    </row>
    <row r="194" spans="1:19" s="9" customFormat="1" x14ac:dyDescent="0.35">
      <c r="A194" s="9" t="str">
        <f t="shared" si="122"/>
        <v>Corr. Cardboard</v>
      </c>
      <c r="B194" s="34">
        <f>(D13-E13)+I13+J13+IF(Single.Stream!$B$9="No",'SS Material Flow'!L13,IF(SUM($N$3:$N$43)=0,0,N58))+O13+W13+X58</f>
        <v>0.16118999999999994</v>
      </c>
      <c r="C194" s="34">
        <f t="shared" si="115"/>
        <v>27.859999999999996</v>
      </c>
      <c r="D194" s="34">
        <f t="shared" si="116"/>
        <v>11.778810000000002</v>
      </c>
      <c r="E194" s="34">
        <f t="shared" si="117"/>
        <v>0</v>
      </c>
      <c r="F194" s="34">
        <f t="shared" si="118"/>
        <v>0</v>
      </c>
      <c r="G194" s="34">
        <f t="shared" si="119"/>
        <v>0</v>
      </c>
      <c r="H194" s="38">
        <f t="shared" si="120"/>
        <v>0</v>
      </c>
      <c r="I194" s="34">
        <f t="shared" si="121"/>
        <v>0</v>
      </c>
      <c r="J194" s="34">
        <f>IF(Single.Stream!$B$9="No",0,IF(SUM($N$3:$N$43)=0,N58,O58))</f>
        <v>0</v>
      </c>
      <c r="K194" s="34" t="str">
        <f t="shared" si="123"/>
        <v>Yes</v>
      </c>
      <c r="M194" s="34"/>
      <c r="N194" s="34"/>
      <c r="O194" s="34"/>
      <c r="P194" s="38"/>
      <c r="Q194" s="38"/>
      <c r="R194" s="34"/>
      <c r="S194" s="34"/>
    </row>
    <row r="195" spans="1:19" s="9" customFormat="1" x14ac:dyDescent="0.35">
      <c r="A195" s="9" t="str">
        <f t="shared" si="122"/>
        <v>Office Paper</v>
      </c>
      <c r="B195" s="34">
        <f>(D14-E14)+I14+J14+IF(Single.Stream!$B$9="No",'SS Material Flow'!L14,IF(SUM($N$3:$N$43)=0,0,N59))+O14+W14+X59</f>
        <v>9.7199999999999953E-2</v>
      </c>
      <c r="C195" s="34">
        <f t="shared" si="115"/>
        <v>0</v>
      </c>
      <c r="D195" s="34">
        <f t="shared" si="116"/>
        <v>7.1028000000000002</v>
      </c>
      <c r="E195" s="34">
        <f t="shared" si="117"/>
        <v>0</v>
      </c>
      <c r="F195" s="34">
        <f t="shared" si="118"/>
        <v>0</v>
      </c>
      <c r="G195" s="34">
        <f t="shared" si="119"/>
        <v>0</v>
      </c>
      <c r="H195" s="38">
        <f t="shared" si="120"/>
        <v>0</v>
      </c>
      <c r="I195" s="34">
        <f t="shared" si="121"/>
        <v>0</v>
      </c>
      <c r="J195" s="34">
        <f>IF(Single.Stream!$B$9="No",0,IF(SUM($N$3:$N$43)=0,N59,O59))</f>
        <v>0</v>
      </c>
      <c r="K195" s="34" t="str">
        <f t="shared" si="123"/>
        <v>Yes</v>
      </c>
      <c r="M195" s="34"/>
      <c r="N195" s="34"/>
      <c r="O195" s="34"/>
      <c r="P195" s="38"/>
      <c r="Q195" s="38"/>
      <c r="R195" s="34"/>
      <c r="S195" s="34"/>
    </row>
    <row r="196" spans="1:19" s="9" customFormat="1" x14ac:dyDescent="0.35">
      <c r="A196" s="9" t="str">
        <f t="shared" si="122"/>
        <v xml:space="preserve">Magazines </v>
      </c>
      <c r="B196" s="34">
        <f>(D15-E15)+I15+J15+IF(Single.Stream!$B$9="No",'SS Material Flow'!L15,IF(SUM($N$3:$N$43)=0,0,N60))+O15+W15+X60</f>
        <v>2.9700000000000004E-2</v>
      </c>
      <c r="C196" s="34">
        <f t="shared" si="115"/>
        <v>0</v>
      </c>
      <c r="D196" s="34">
        <f t="shared" si="116"/>
        <v>2.1703000000000001</v>
      </c>
      <c r="E196" s="34">
        <f t="shared" si="117"/>
        <v>0</v>
      </c>
      <c r="F196" s="34">
        <f t="shared" si="118"/>
        <v>0</v>
      </c>
      <c r="G196" s="34">
        <f t="shared" si="119"/>
        <v>0</v>
      </c>
      <c r="H196" s="38">
        <f t="shared" si="120"/>
        <v>0</v>
      </c>
      <c r="I196" s="34">
        <f t="shared" si="121"/>
        <v>0</v>
      </c>
      <c r="J196" s="34">
        <f>IF(Single.Stream!$B$9="No",0,IF(SUM($N$3:$N$43)=0,N60,O60))</f>
        <v>0</v>
      </c>
      <c r="K196" s="34" t="str">
        <f t="shared" si="123"/>
        <v>Yes</v>
      </c>
      <c r="M196" s="34"/>
      <c r="N196" s="34"/>
      <c r="O196" s="34"/>
      <c r="P196" s="38"/>
      <c r="Q196" s="38"/>
      <c r="R196" s="34"/>
      <c r="S196" s="34"/>
    </row>
    <row r="197" spans="1:19" s="9" customFormat="1" x14ac:dyDescent="0.35">
      <c r="A197" s="9" t="str">
        <f t="shared" si="122"/>
        <v>3rd Class Mail</v>
      </c>
      <c r="B197" s="34">
        <f>(D16-E16)+I16+J16+IF(Single.Stream!$B$9="No",'SS Material Flow'!L16,IF(SUM($N$3:$N$43)=0,0,N61))+O16+W16+X61</f>
        <v>7.9649999999999999E-2</v>
      </c>
      <c r="C197" s="34">
        <f t="shared" si="115"/>
        <v>0</v>
      </c>
      <c r="D197" s="34">
        <f t="shared" si="116"/>
        <v>5.8203500000000004</v>
      </c>
      <c r="E197" s="34">
        <f t="shared" si="117"/>
        <v>0</v>
      </c>
      <c r="F197" s="34">
        <f t="shared" si="118"/>
        <v>0</v>
      </c>
      <c r="G197" s="34">
        <f t="shared" si="119"/>
        <v>0</v>
      </c>
      <c r="H197" s="38">
        <f t="shared" si="120"/>
        <v>0</v>
      </c>
      <c r="I197" s="34">
        <f t="shared" si="121"/>
        <v>0</v>
      </c>
      <c r="J197" s="34">
        <f>IF(Single.Stream!$B$9="No",0,IF(SUM($N$3:$N$43)=0,N61,O61))</f>
        <v>0</v>
      </c>
      <c r="K197" s="34" t="str">
        <f t="shared" si="123"/>
        <v>Yes</v>
      </c>
      <c r="M197" s="34"/>
      <c r="N197" s="34"/>
      <c r="O197" s="34"/>
      <c r="P197" s="38"/>
      <c r="Q197" s="38"/>
      <c r="R197" s="34"/>
      <c r="S197" s="34"/>
    </row>
    <row r="198" spans="1:19" s="9" customFormat="1" x14ac:dyDescent="0.35">
      <c r="A198" s="9" t="str">
        <f t="shared" si="122"/>
        <v>Folding Containers</v>
      </c>
      <c r="B198" s="34">
        <f>(D17-E17)+I17+J17+IF(Single.Stream!$B$9="No",'SS Material Flow'!L17,IF(SUM($N$3:$N$43)=0,0,N62))+O17+W17+X62</f>
        <v>1.3500000000000008E-8</v>
      </c>
      <c r="C198" s="34">
        <f t="shared" si="115"/>
        <v>0</v>
      </c>
      <c r="D198" s="34">
        <f t="shared" si="116"/>
        <v>9.865E-7</v>
      </c>
      <c r="E198" s="34">
        <f t="shared" si="117"/>
        <v>0</v>
      </c>
      <c r="F198" s="34">
        <f t="shared" si="118"/>
        <v>0</v>
      </c>
      <c r="G198" s="34">
        <f t="shared" si="119"/>
        <v>0</v>
      </c>
      <c r="H198" s="38">
        <f t="shared" si="120"/>
        <v>0</v>
      </c>
      <c r="I198" s="34">
        <f t="shared" si="121"/>
        <v>0</v>
      </c>
      <c r="J198" s="34">
        <f>IF(Single.Stream!$B$9="No",0,IF(SUM($N$3:$N$43)=0,N62,O62))</f>
        <v>0</v>
      </c>
      <c r="K198" s="34" t="str">
        <f t="shared" si="123"/>
        <v>Yes</v>
      </c>
      <c r="M198" s="34"/>
      <c r="N198" s="34"/>
      <c r="O198" s="34"/>
      <c r="P198" s="38"/>
      <c r="Q198" s="38"/>
      <c r="R198" s="34"/>
      <c r="S198" s="34"/>
    </row>
    <row r="199" spans="1:19" s="9" customFormat="1" x14ac:dyDescent="0.35">
      <c r="A199" s="9" t="str">
        <f t="shared" si="122"/>
        <v xml:space="preserve">Paper Bags </v>
      </c>
      <c r="B199" s="34">
        <f>(D18-E18)+I18+J18+IF(Single.Stream!$B$9="No",'SS Material Flow'!L18,IF(SUM($N$3:$N$43)=0,0,N63))+O18+W18+X63</f>
        <v>1.3500000000000008E-8</v>
      </c>
      <c r="C199" s="34">
        <f t="shared" si="115"/>
        <v>0</v>
      </c>
      <c r="D199" s="34">
        <f t="shared" si="116"/>
        <v>9.865E-7</v>
      </c>
      <c r="E199" s="34">
        <f t="shared" si="117"/>
        <v>0</v>
      </c>
      <c r="F199" s="34">
        <f t="shared" si="118"/>
        <v>0</v>
      </c>
      <c r="G199" s="34">
        <f t="shared" si="119"/>
        <v>0</v>
      </c>
      <c r="H199" s="38">
        <f t="shared" si="120"/>
        <v>0</v>
      </c>
      <c r="I199" s="34">
        <f t="shared" si="121"/>
        <v>0</v>
      </c>
      <c r="J199" s="34">
        <f>IF(Single.Stream!$B$9="No",0,IF(SUM($N$3:$N$43)=0,N63,O63))</f>
        <v>0</v>
      </c>
      <c r="K199" s="34" t="str">
        <f t="shared" si="123"/>
        <v>Yes</v>
      </c>
      <c r="M199" s="34"/>
      <c r="N199" s="34"/>
      <c r="O199" s="34"/>
      <c r="P199" s="38"/>
      <c r="Q199" s="38"/>
      <c r="R199" s="34"/>
      <c r="S199" s="34"/>
    </row>
    <row r="200" spans="1:19" s="9" customFormat="1" x14ac:dyDescent="0.35">
      <c r="A200" s="9" t="str">
        <f t="shared" si="122"/>
        <v>Mixed Paper</v>
      </c>
      <c r="B200" s="34">
        <f>(D19-E19)+I19+J19+IF(Single.Stream!$B$9="No",'SS Material Flow'!L19,IF(SUM($N$3:$N$43)=0,0,N64))+O19+W19+X64</f>
        <v>1.3500000000000008E-8</v>
      </c>
      <c r="C200" s="34">
        <f t="shared" si="115"/>
        <v>0</v>
      </c>
      <c r="D200" s="34">
        <f t="shared" si="116"/>
        <v>9.865E-7</v>
      </c>
      <c r="E200" s="34">
        <f t="shared" si="117"/>
        <v>0</v>
      </c>
      <c r="F200" s="34">
        <f t="shared" si="118"/>
        <v>0</v>
      </c>
      <c r="G200" s="34">
        <f t="shared" si="119"/>
        <v>0</v>
      </c>
      <c r="H200" s="38">
        <f t="shared" si="120"/>
        <v>0</v>
      </c>
      <c r="I200" s="34">
        <f t="shared" si="121"/>
        <v>0</v>
      </c>
      <c r="J200" s="34">
        <f>IF(Single.Stream!$B$9="No",0,IF(SUM($N$3:$N$43)=0,N64,O64))</f>
        <v>0</v>
      </c>
      <c r="K200" s="34" t="str">
        <f t="shared" si="123"/>
        <v>Yes</v>
      </c>
      <c r="M200" s="34"/>
      <c r="N200" s="34"/>
      <c r="O200" s="34"/>
      <c r="P200" s="38"/>
      <c r="Q200" s="38"/>
      <c r="R200" s="34"/>
      <c r="S200" s="34"/>
    </row>
    <row r="201" spans="1:19" s="9" customFormat="1" x14ac:dyDescent="0.35">
      <c r="A201" s="9" t="str">
        <f t="shared" si="122"/>
        <v>Paper - Non-recyclable</v>
      </c>
      <c r="B201" s="34">
        <f>(D20-E20)+I20+J20+IF(Single.Stream!$B$9="No",'SS Material Flow'!L20,IF(SUM($N$3:$N$43)=0,0,N65))+O20+W20+X65</f>
        <v>9.9999999999999995E-7</v>
      </c>
      <c r="C201" s="34">
        <f t="shared" si="115"/>
        <v>0</v>
      </c>
      <c r="D201" s="34">
        <f t="shared" si="116"/>
        <v>0</v>
      </c>
      <c r="E201" s="34">
        <f t="shared" si="117"/>
        <v>0</v>
      </c>
      <c r="F201" s="34">
        <f t="shared" si="118"/>
        <v>0</v>
      </c>
      <c r="G201" s="34">
        <f t="shared" si="119"/>
        <v>0</v>
      </c>
      <c r="H201" s="38">
        <f t="shared" si="120"/>
        <v>0</v>
      </c>
      <c r="I201" s="34">
        <f t="shared" si="121"/>
        <v>0</v>
      </c>
      <c r="J201" s="34">
        <f>IF(Single.Stream!$B$9="No",0,IF(SUM($N$3:$N$43)=0,N65,O65))</f>
        <v>0</v>
      </c>
      <c r="K201" s="34" t="str">
        <f t="shared" si="123"/>
        <v>Yes</v>
      </c>
      <c r="M201" s="34"/>
      <c r="N201" s="34"/>
      <c r="O201" s="34"/>
      <c r="P201" s="38"/>
      <c r="Q201" s="38"/>
      <c r="R201" s="34"/>
      <c r="S201" s="34"/>
    </row>
    <row r="202" spans="1:19" s="9" customFormat="1" x14ac:dyDescent="0.35">
      <c r="A202" s="9" t="str">
        <f t="shared" si="122"/>
        <v>HDPE - Translucent Containers</v>
      </c>
      <c r="B202" s="34">
        <f>(D21-E21)+I21+J21+IF(Single.Stream!$B$9="No",'SS Material Flow'!L21,IF(SUM($N$3:$N$43)=0,0,N66))+O21+W21+X66</f>
        <v>2.196700000000007E-2</v>
      </c>
      <c r="C202" s="34">
        <f t="shared" si="115"/>
        <v>0</v>
      </c>
      <c r="D202" s="34">
        <f t="shared" si="116"/>
        <v>0</v>
      </c>
      <c r="E202" s="34">
        <f t="shared" si="117"/>
        <v>0</v>
      </c>
      <c r="F202" s="34">
        <f t="shared" si="118"/>
        <v>0</v>
      </c>
      <c r="G202" s="34">
        <f t="shared" si="119"/>
        <v>0</v>
      </c>
      <c r="H202" s="38">
        <f t="shared" si="120"/>
        <v>1.0763830000000001</v>
      </c>
      <c r="I202" s="34">
        <f t="shared" si="121"/>
        <v>0</v>
      </c>
      <c r="J202" s="34">
        <f>IF(Single.Stream!$B$9="No",0,IF(SUM($N$3:$N$43)=0,N66,O66))</f>
        <v>1.6499999999999987E-3</v>
      </c>
      <c r="K202" s="34" t="str">
        <f>IF($B111=SUM(B202:J202),"Yes","ERROR!!")</f>
        <v>Yes</v>
      </c>
      <c r="L202" s="34"/>
      <c r="M202" s="34"/>
      <c r="N202" s="34"/>
      <c r="O202" s="34"/>
      <c r="P202" s="38"/>
      <c r="Q202" s="38"/>
      <c r="R202" s="34"/>
      <c r="S202" s="34"/>
    </row>
    <row r="203" spans="1:19" s="9" customFormat="1" x14ac:dyDescent="0.35">
      <c r="A203" s="9" t="str">
        <f t="shared" si="122"/>
        <v>HDPE - Pigmented Containers</v>
      </c>
      <c r="B203" s="34">
        <f>(D22-E22)+I22+J22+IF(Single.Stream!$B$9="No",'SS Material Flow'!L22,IF(SUM($N$3:$N$43)=0,0,N67))+O22+W22+X67</f>
        <v>3.9940000000000087E-2</v>
      </c>
      <c r="C203" s="34">
        <f t="shared" si="115"/>
        <v>0</v>
      </c>
      <c r="D203" s="34">
        <f t="shared" si="116"/>
        <v>0</v>
      </c>
      <c r="E203" s="34">
        <f t="shared" si="117"/>
        <v>0</v>
      </c>
      <c r="F203" s="34">
        <f t="shared" si="118"/>
        <v>0</v>
      </c>
      <c r="G203" s="34">
        <f t="shared" si="119"/>
        <v>0</v>
      </c>
      <c r="H203" s="38">
        <f t="shared" si="120"/>
        <v>1.9570599999999998</v>
      </c>
      <c r="I203" s="34">
        <f t="shared" si="121"/>
        <v>0</v>
      </c>
      <c r="J203" s="34">
        <f>IF(Single.Stream!$B$9="No",0,IF(SUM($N$3:$N$43)=0,N67,O67))</f>
        <v>3.0000000000000027E-3</v>
      </c>
      <c r="K203" s="34" t="str">
        <f t="shared" si="123"/>
        <v>Yes</v>
      </c>
      <c r="L203" s="34"/>
      <c r="M203" s="34"/>
      <c r="N203" s="34"/>
      <c r="O203" s="34"/>
      <c r="P203" s="38"/>
      <c r="Q203" s="38"/>
      <c r="R203" s="34"/>
      <c r="S203" s="34"/>
    </row>
    <row r="204" spans="1:19" s="9" customFormat="1" x14ac:dyDescent="0.35">
      <c r="A204" s="9" t="str">
        <f t="shared" si="122"/>
        <v>PET - Containers</v>
      </c>
      <c r="B204" s="34">
        <f>(D23-E23)+I23+J23+IF(Single.Stream!$B$9="No",'SS Material Flow'!L23,IF(SUM($N$3:$N$43)=0,0,N68))+O23+W23+X68</f>
        <v>7.3888999999999871E-2</v>
      </c>
      <c r="C204" s="34">
        <f t="shared" si="115"/>
        <v>0</v>
      </c>
      <c r="D204" s="34">
        <f t="shared" si="116"/>
        <v>0</v>
      </c>
      <c r="E204" s="34">
        <f t="shared" si="117"/>
        <v>0</v>
      </c>
      <c r="F204" s="34">
        <f t="shared" si="118"/>
        <v>0</v>
      </c>
      <c r="G204" s="34">
        <f t="shared" si="119"/>
        <v>0</v>
      </c>
      <c r="H204" s="38">
        <f t="shared" si="120"/>
        <v>0</v>
      </c>
      <c r="I204" s="34">
        <f t="shared" si="121"/>
        <v>3.6205610000000004</v>
      </c>
      <c r="J204" s="34">
        <f>IF(Single.Stream!$B$9="No",0,IF(SUM($N$3:$N$43)=0,N68,O68))</f>
        <v>5.5499999999999994E-3</v>
      </c>
      <c r="K204" s="34" t="str">
        <f t="shared" si="123"/>
        <v>Yes</v>
      </c>
      <c r="L204" s="34"/>
      <c r="M204" s="34"/>
      <c r="N204" s="34"/>
      <c r="O204" s="34"/>
      <c r="P204" s="38"/>
      <c r="Q204" s="38"/>
      <c r="R204" s="34"/>
      <c r="S204" s="34"/>
    </row>
    <row r="205" spans="1:19" s="9" customFormat="1" x14ac:dyDescent="0.35">
      <c r="A205" s="9" t="str">
        <f t="shared" si="122"/>
        <v>Plastic - Other # 1, Polypropylene</v>
      </c>
      <c r="B205" s="34">
        <f>(D24-E24)+I24+J24+IF(Single.Stream!$B$9="No",'SS Material Flow'!L24,IF(SUM($N$3:$N$43)=0,0,N69))+O24+W24+X69</f>
        <v>9.9850000000000005E-7</v>
      </c>
      <c r="C205" s="34">
        <f t="shared" si="115"/>
        <v>0</v>
      </c>
      <c r="D205" s="34">
        <f t="shared" si="116"/>
        <v>0</v>
      </c>
      <c r="E205" s="34">
        <f t="shared" si="117"/>
        <v>0</v>
      </c>
      <c r="F205" s="34">
        <f t="shared" si="118"/>
        <v>0</v>
      </c>
      <c r="G205" s="34">
        <f t="shared" si="119"/>
        <v>0</v>
      </c>
      <c r="H205" s="38">
        <f t="shared" si="120"/>
        <v>0</v>
      </c>
      <c r="I205" s="34">
        <f t="shared" si="121"/>
        <v>0</v>
      </c>
      <c r="J205" s="34">
        <f>IF(Single.Stream!$B$9="No",0,IF(SUM($N$3:$N$43)=0,N69,O69))</f>
        <v>1.5000000000000002E-9</v>
      </c>
      <c r="K205" s="34" t="str">
        <f t="shared" si="123"/>
        <v>Yes</v>
      </c>
      <c r="L205" s="34"/>
      <c r="M205" s="34"/>
      <c r="N205" s="34"/>
      <c r="O205" s="34"/>
      <c r="P205" s="38"/>
      <c r="Q205" s="38"/>
      <c r="R205" s="34"/>
      <c r="S205" s="34"/>
    </row>
    <row r="206" spans="1:19" s="9" customFormat="1" x14ac:dyDescent="0.35">
      <c r="A206" s="9" t="str">
        <f t="shared" si="122"/>
        <v>Plastic - Other # 2</v>
      </c>
      <c r="B206" s="34">
        <f>(D25-E25)+I25+J25+IF(Single.Stream!$B$9="No",'SS Material Flow'!L25,IF(SUM($N$3:$N$43)=0,0,N70))+O25+W25+X70</f>
        <v>9.9850000000000005E-7</v>
      </c>
      <c r="C206" s="34">
        <f t="shared" si="115"/>
        <v>0</v>
      </c>
      <c r="D206" s="34">
        <f t="shared" si="116"/>
        <v>0</v>
      </c>
      <c r="E206" s="34">
        <f t="shared" si="117"/>
        <v>0</v>
      </c>
      <c r="F206" s="34">
        <f t="shared" si="118"/>
        <v>0</v>
      </c>
      <c r="G206" s="34">
        <f t="shared" si="119"/>
        <v>0</v>
      </c>
      <c r="H206" s="38">
        <f t="shared" si="120"/>
        <v>0</v>
      </c>
      <c r="I206" s="34">
        <f t="shared" si="121"/>
        <v>0</v>
      </c>
      <c r="J206" s="34">
        <f>IF(Single.Stream!$B$9="No",0,IF(SUM($N$3:$N$43)=0,N70,O70))</f>
        <v>1.5000000000000002E-9</v>
      </c>
      <c r="K206" s="34" t="str">
        <f t="shared" si="123"/>
        <v>Yes</v>
      </c>
      <c r="L206" s="34"/>
      <c r="M206" s="34"/>
      <c r="N206" s="34"/>
      <c r="O206" s="34"/>
      <c r="P206" s="38"/>
      <c r="Q206" s="38"/>
      <c r="R206" s="34"/>
      <c r="S206" s="34"/>
    </row>
    <row r="207" spans="1:19" s="9" customFormat="1" x14ac:dyDescent="0.35">
      <c r="A207" s="9" t="str">
        <f t="shared" si="122"/>
        <v>Mixed Plastic</v>
      </c>
      <c r="B207" s="34">
        <f>(D26-E26)+I26+J26+IF(Single.Stream!$B$9="No",'SS Material Flow'!L26,IF(SUM($N$3:$N$43)=0,0,N71))+O26+W26+X71</f>
        <v>9.9850000000000005E-7</v>
      </c>
      <c r="C207" s="34">
        <f t="shared" si="115"/>
        <v>0</v>
      </c>
      <c r="D207" s="34">
        <f t="shared" si="116"/>
        <v>0</v>
      </c>
      <c r="E207" s="34">
        <f t="shared" si="117"/>
        <v>0</v>
      </c>
      <c r="F207" s="34">
        <f t="shared" si="118"/>
        <v>0</v>
      </c>
      <c r="G207" s="34">
        <f t="shared" si="119"/>
        <v>0</v>
      </c>
      <c r="H207" s="38">
        <f t="shared" si="120"/>
        <v>0</v>
      </c>
      <c r="I207" s="34">
        <f t="shared" si="121"/>
        <v>0</v>
      </c>
      <c r="J207" s="34">
        <f>IF(Single.Stream!$B$9="No",0,IF(SUM($N$3:$N$43)=0,N71,O71))</f>
        <v>1.5000000000000002E-9</v>
      </c>
      <c r="K207" s="34" t="str">
        <f t="shared" si="123"/>
        <v>Yes</v>
      </c>
      <c r="L207" s="34"/>
      <c r="M207" s="34"/>
      <c r="N207" s="34"/>
      <c r="O207" s="34"/>
      <c r="P207" s="38"/>
      <c r="Q207" s="38"/>
      <c r="R207" s="34"/>
      <c r="S207" s="34"/>
    </row>
    <row r="208" spans="1:19" s="9" customFormat="1" x14ac:dyDescent="0.35">
      <c r="A208" s="9" t="str">
        <f t="shared" si="122"/>
        <v>Plastic Film</v>
      </c>
      <c r="B208" s="34">
        <f>(D27-E27)+I27+J27+IF(Single.Stream!$B$9="No",'SS Material Flow'!L27,IF(SUM($N$3:$N$43)=0,0,N72))+O27+W27+X72</f>
        <v>0.54</v>
      </c>
      <c r="C208" s="34">
        <f t="shared" si="115"/>
        <v>0</v>
      </c>
      <c r="D208" s="34">
        <f t="shared" si="116"/>
        <v>0</v>
      </c>
      <c r="E208" s="34">
        <f t="shared" si="117"/>
        <v>0</v>
      </c>
      <c r="F208" s="34">
        <f t="shared" si="118"/>
        <v>0</v>
      </c>
      <c r="G208" s="34">
        <f t="shared" si="119"/>
        <v>4.8600000000000003</v>
      </c>
      <c r="H208" s="38">
        <f t="shared" si="120"/>
        <v>0</v>
      </c>
      <c r="I208" s="34">
        <f t="shared" si="121"/>
        <v>0</v>
      </c>
      <c r="J208" s="34">
        <f>IF(Single.Stream!$B$9="No",0,IF(SUM($N$3:$N$43)=0,N72,O72))</f>
        <v>0</v>
      </c>
      <c r="K208" s="34" t="str">
        <f t="shared" si="123"/>
        <v>Yes</v>
      </c>
      <c r="M208" s="34"/>
      <c r="N208" s="34"/>
      <c r="O208" s="34"/>
      <c r="P208" s="38"/>
      <c r="Q208" s="38"/>
      <c r="R208" s="34"/>
      <c r="S208" s="34"/>
    </row>
    <row r="209" spans="1:19" s="9" customFormat="1" x14ac:dyDescent="0.35">
      <c r="A209" s="9" t="str">
        <f t="shared" si="122"/>
        <v xml:space="preserve">Plastic - Non-Recyclable </v>
      </c>
      <c r="B209" s="34">
        <f>(D28-E28)+I28+J28+IF(Single.Stream!$B$9="No",'SS Material Flow'!L28,IF(SUM($N$3:$N$43)=0,0,N73))+O28+W28+X73</f>
        <v>9.9999999999999995E-7</v>
      </c>
      <c r="C209" s="34">
        <f t="shared" si="115"/>
        <v>0</v>
      </c>
      <c r="D209" s="34">
        <f t="shared" si="116"/>
        <v>0</v>
      </c>
      <c r="E209" s="34">
        <f t="shared" si="117"/>
        <v>0</v>
      </c>
      <c r="F209" s="34">
        <f t="shared" si="118"/>
        <v>0</v>
      </c>
      <c r="G209" s="34">
        <f t="shared" si="119"/>
        <v>0</v>
      </c>
      <c r="H209" s="38">
        <f t="shared" si="120"/>
        <v>0</v>
      </c>
      <c r="I209" s="34">
        <f t="shared" si="121"/>
        <v>0</v>
      </c>
      <c r="J209" s="34">
        <f>IF(Single.Stream!$B$9="No",0,IF(SUM($N$3:$N$43)=0,N73,O73))</f>
        <v>0</v>
      </c>
      <c r="K209" s="34" t="str">
        <f t="shared" si="123"/>
        <v>Yes</v>
      </c>
      <c r="M209" s="34"/>
      <c r="N209" s="34"/>
      <c r="O209" s="34"/>
      <c r="P209" s="38"/>
      <c r="Q209" s="38"/>
      <c r="R209" s="34"/>
      <c r="S209" s="34"/>
    </row>
    <row r="210" spans="1:19" s="9" customFormat="1" x14ac:dyDescent="0.35">
      <c r="A210" s="9" t="str">
        <f t="shared" si="122"/>
        <v>Ferrous Cans</v>
      </c>
      <c r="B210" s="34">
        <f>(D29-E29)+I29+J29+IF(Single.Stream!$B$9="No",'SS Material Flow'!L29,IF(SUM($N$3:$N$43)=0,0,N74))+O29+W29+X74</f>
        <v>6.4000000000000057E-2</v>
      </c>
      <c r="C210" s="34">
        <f t="shared" si="115"/>
        <v>0</v>
      </c>
      <c r="D210" s="34">
        <f t="shared" si="116"/>
        <v>0</v>
      </c>
      <c r="E210" s="34">
        <f t="shared" si="117"/>
        <v>0</v>
      </c>
      <c r="F210" s="34">
        <f t="shared" si="118"/>
        <v>3.1360000000000001</v>
      </c>
      <c r="G210" s="34">
        <f t="shared" si="119"/>
        <v>0</v>
      </c>
      <c r="H210" s="38">
        <f t="shared" si="120"/>
        <v>0</v>
      </c>
      <c r="I210" s="34">
        <f t="shared" si="121"/>
        <v>0</v>
      </c>
      <c r="J210" s="34">
        <f>IF(Single.Stream!$B$9="No",0,IF(SUM($N$3:$N$43)=0,N74,O74))</f>
        <v>0</v>
      </c>
      <c r="K210" s="34" t="str">
        <f t="shared" si="123"/>
        <v>Yes</v>
      </c>
      <c r="M210" s="34"/>
      <c r="N210" s="34"/>
      <c r="O210" s="34"/>
      <c r="P210" s="38"/>
      <c r="Q210" s="38"/>
      <c r="R210" s="34"/>
      <c r="S210" s="34"/>
    </row>
    <row r="211" spans="1:19" s="9" customFormat="1" x14ac:dyDescent="0.35">
      <c r="A211" s="9" t="str">
        <f t="shared" si="122"/>
        <v>Ferrous Metal - Other</v>
      </c>
      <c r="B211" s="34">
        <f>(D30-E30)+I30+J30+IF(Single.Stream!$B$9="No",'SS Material Flow'!L30,IF(SUM($N$3:$N$43)=0,0,N75))+O30+W30+X75</f>
        <v>1.2000000000000011E-2</v>
      </c>
      <c r="C211" s="34">
        <f t="shared" si="115"/>
        <v>0</v>
      </c>
      <c r="D211" s="34">
        <f t="shared" si="116"/>
        <v>0</v>
      </c>
      <c r="E211" s="34">
        <f t="shared" si="117"/>
        <v>0</v>
      </c>
      <c r="F211" s="34">
        <f t="shared" si="118"/>
        <v>0.58799999999999997</v>
      </c>
      <c r="G211" s="34">
        <f t="shared" si="119"/>
        <v>0</v>
      </c>
      <c r="H211" s="38">
        <f t="shared" si="120"/>
        <v>0</v>
      </c>
      <c r="I211" s="34">
        <f t="shared" si="121"/>
        <v>0</v>
      </c>
      <c r="J211" s="34">
        <f>IF(Single.Stream!$B$9="No",0,IF(SUM($N$3:$N$43)=0,N75,O75))</f>
        <v>0</v>
      </c>
      <c r="K211" s="34" t="str">
        <f t="shared" si="123"/>
        <v>Yes</v>
      </c>
      <c r="M211" s="34"/>
      <c r="N211" s="34"/>
      <c r="O211" s="34"/>
      <c r="P211" s="38"/>
      <c r="Q211" s="38"/>
      <c r="R211" s="34"/>
      <c r="S211" s="34"/>
    </row>
    <row r="212" spans="1:19" s="9" customFormat="1" x14ac:dyDescent="0.35">
      <c r="A212" s="9" t="str">
        <f t="shared" si="122"/>
        <v>Aluminum Cans</v>
      </c>
      <c r="B212" s="34">
        <f>(D31-E31)+I31+J31+IF(Single.Stream!$B$9="No",'SS Material Flow'!L31,IF(SUM($N$3:$N$43)=0,0,N76))+O31+W31+X76</f>
        <v>6.0000000000000053E-2</v>
      </c>
      <c r="C212" s="34">
        <f t="shared" si="115"/>
        <v>0</v>
      </c>
      <c r="D212" s="34">
        <f t="shared" si="116"/>
        <v>0</v>
      </c>
      <c r="E212" s="34">
        <f t="shared" si="117"/>
        <v>1.94</v>
      </c>
      <c r="F212" s="34">
        <f t="shared" si="118"/>
        <v>0</v>
      </c>
      <c r="G212" s="34">
        <f t="shared" si="119"/>
        <v>0</v>
      </c>
      <c r="H212" s="38">
        <f t="shared" si="120"/>
        <v>0</v>
      </c>
      <c r="I212" s="34">
        <f t="shared" si="121"/>
        <v>0</v>
      </c>
      <c r="J212" s="34">
        <f>IF(Single.Stream!$B$9="No",0,IF(SUM($N$3:$N$43)=0,N76,O76))</f>
        <v>0</v>
      </c>
      <c r="K212" s="34" t="str">
        <f t="shared" si="123"/>
        <v>Yes</v>
      </c>
      <c r="M212" s="34"/>
      <c r="N212" s="34"/>
      <c r="O212" s="34"/>
      <c r="P212" s="38"/>
      <c r="Q212" s="38"/>
      <c r="R212" s="34"/>
      <c r="S212" s="34"/>
    </row>
    <row r="213" spans="1:19" s="9" customFormat="1" x14ac:dyDescent="0.35">
      <c r="A213" s="9" t="str">
        <f t="shared" si="122"/>
        <v>Aluminum - Foil</v>
      </c>
      <c r="B213" s="34">
        <f>(D32-E32)+I32+J32+IF(Single.Stream!$B$9="No",'SS Material Flow'!L32,IF(SUM($N$3:$N$43)=0,0,N77))+O32+W32+X77</f>
        <v>1.8000000000000016E-2</v>
      </c>
      <c r="C213" s="34">
        <f t="shared" si="115"/>
        <v>0</v>
      </c>
      <c r="D213" s="34">
        <f t="shared" si="116"/>
        <v>0</v>
      </c>
      <c r="E213" s="34">
        <f t="shared" si="117"/>
        <v>0.58199999999999996</v>
      </c>
      <c r="F213" s="34">
        <f t="shared" si="118"/>
        <v>0</v>
      </c>
      <c r="G213" s="34">
        <f t="shared" si="119"/>
        <v>0</v>
      </c>
      <c r="H213" s="38">
        <f t="shared" si="120"/>
        <v>0</v>
      </c>
      <c r="I213" s="34">
        <f t="shared" si="121"/>
        <v>0</v>
      </c>
      <c r="J213" s="34">
        <f>IF(Single.Stream!$B$9="No",0,IF(SUM($N$3:$N$43)=0,N77,O77))</f>
        <v>0</v>
      </c>
      <c r="K213" s="34" t="str">
        <f t="shared" si="123"/>
        <v>Yes</v>
      </c>
      <c r="M213" s="34"/>
      <c r="N213" s="34"/>
      <c r="O213" s="34"/>
      <c r="P213" s="38"/>
      <c r="Q213" s="38"/>
      <c r="R213" s="34"/>
      <c r="S213" s="34"/>
    </row>
    <row r="214" spans="1:19" s="9" customFormat="1" x14ac:dyDescent="0.35">
      <c r="A214" s="9" t="str">
        <f t="shared" si="122"/>
        <v>Aluminum - Other</v>
      </c>
      <c r="B214" s="34">
        <f>(D33-E33)+I33+J33+IF(Single.Stream!$B$9="No",'SS Material Flow'!L33,IF(SUM($N$3:$N$43)=0,0,N78))+O33+W33+X78</f>
        <v>2.9999999999999925E-8</v>
      </c>
      <c r="C214" s="34">
        <f t="shared" si="115"/>
        <v>0</v>
      </c>
      <c r="D214" s="34">
        <f t="shared" si="116"/>
        <v>0</v>
      </c>
      <c r="E214" s="34">
        <f t="shared" si="117"/>
        <v>9.7000000000000003E-7</v>
      </c>
      <c r="F214" s="34">
        <f t="shared" si="118"/>
        <v>0</v>
      </c>
      <c r="G214" s="34">
        <f t="shared" si="119"/>
        <v>0</v>
      </c>
      <c r="H214" s="38">
        <f t="shared" si="120"/>
        <v>0</v>
      </c>
      <c r="I214" s="34">
        <f t="shared" si="121"/>
        <v>0</v>
      </c>
      <c r="J214" s="34">
        <f>IF(Single.Stream!$B$9="No",0,IF(SUM($N$3:$N$43)=0,N78,O78))</f>
        <v>0</v>
      </c>
      <c r="K214" s="34" t="str">
        <f t="shared" si="123"/>
        <v>Yes</v>
      </c>
      <c r="M214" s="34"/>
      <c r="N214" s="34"/>
      <c r="O214" s="34"/>
      <c r="P214" s="38"/>
      <c r="Q214" s="38"/>
      <c r="R214" s="34"/>
      <c r="S214" s="34"/>
    </row>
    <row r="215" spans="1:19" s="9" customFormat="1" x14ac:dyDescent="0.35">
      <c r="A215" s="9" t="str">
        <f t="shared" si="122"/>
        <v xml:space="preserve">Ferrous - Non-recyclable </v>
      </c>
      <c r="B215" s="34">
        <f>(D34-E34)+I34+J34+IF(Single.Stream!$B$9="No",'SS Material Flow'!L34,IF(SUM($N$3:$N$43)=0,0,N79))+O34+W34+X79</f>
        <v>2.000000000000002E-8</v>
      </c>
      <c r="C215" s="34">
        <f t="shared" si="115"/>
        <v>0</v>
      </c>
      <c r="D215" s="34">
        <f t="shared" si="116"/>
        <v>0</v>
      </c>
      <c r="E215" s="34">
        <f t="shared" si="117"/>
        <v>0</v>
      </c>
      <c r="F215" s="34">
        <f t="shared" si="118"/>
        <v>9.7999999999999993E-7</v>
      </c>
      <c r="G215" s="34">
        <f t="shared" si="119"/>
        <v>0</v>
      </c>
      <c r="H215" s="38">
        <f t="shared" si="120"/>
        <v>0</v>
      </c>
      <c r="I215" s="34">
        <f t="shared" si="121"/>
        <v>0</v>
      </c>
      <c r="J215" s="34">
        <f>IF(Single.Stream!$B$9="No",0,IF(SUM($N$3:$N$43)=0,N79,O79))</f>
        <v>0</v>
      </c>
      <c r="K215" s="34" t="str">
        <f t="shared" si="123"/>
        <v>Yes</v>
      </c>
      <c r="M215" s="34"/>
      <c r="N215" s="34"/>
      <c r="O215" s="34"/>
      <c r="P215" s="38"/>
      <c r="Q215" s="38"/>
      <c r="R215" s="34"/>
      <c r="S215" s="34"/>
    </row>
    <row r="216" spans="1:19" s="9" customFormat="1" x14ac:dyDescent="0.35">
      <c r="A216" s="9" t="str">
        <f t="shared" si="122"/>
        <v xml:space="preserve">Al - Non-recyclable </v>
      </c>
      <c r="B216" s="34">
        <f>(D35-E35)+I35+J35+IF(Single.Stream!$B$9="No",'SS Material Flow'!L35,IF(SUM($N$3:$N$43)=0,0,N80))+O35+W35+X80</f>
        <v>2.9999999999999925E-8</v>
      </c>
      <c r="C216" s="34">
        <f t="shared" si="115"/>
        <v>0</v>
      </c>
      <c r="D216" s="34">
        <f t="shared" si="116"/>
        <v>0</v>
      </c>
      <c r="E216" s="34">
        <f t="shared" si="117"/>
        <v>9.7000000000000003E-7</v>
      </c>
      <c r="F216" s="34">
        <f t="shared" si="118"/>
        <v>0</v>
      </c>
      <c r="G216" s="34">
        <f t="shared" si="119"/>
        <v>0</v>
      </c>
      <c r="H216" s="38">
        <f t="shared" si="120"/>
        <v>0</v>
      </c>
      <c r="I216" s="34">
        <f t="shared" si="121"/>
        <v>0</v>
      </c>
      <c r="J216" s="34">
        <f>IF(Single.Stream!$B$9="No",0,IF(SUM($N$3:$N$43)=0,N80,O80))</f>
        <v>0</v>
      </c>
      <c r="K216" s="34" t="str">
        <f t="shared" si="123"/>
        <v>Yes</v>
      </c>
      <c r="M216" s="34"/>
      <c r="N216" s="34"/>
      <c r="O216" s="34"/>
      <c r="P216" s="38"/>
      <c r="Q216" s="38"/>
      <c r="R216" s="34"/>
      <c r="S216" s="34"/>
    </row>
    <row r="217" spans="1:19" s="9" customFormat="1" x14ac:dyDescent="0.35">
      <c r="A217" s="9" t="str">
        <f t="shared" si="122"/>
        <v>Glass - Brown</v>
      </c>
      <c r="B217" s="34">
        <f>(D36-E36)+I36+J36+IF(Single.Stream!$B$9="No",'SS Material Flow'!L36,IF(SUM($N$3:$N$43)=0,0,N81))+O36+W36+X81</f>
        <v>0.44325000000000048</v>
      </c>
      <c r="C217" s="34">
        <f t="shared" si="115"/>
        <v>0</v>
      </c>
      <c r="D217" s="34">
        <f t="shared" si="116"/>
        <v>0</v>
      </c>
      <c r="E217" s="34">
        <f t="shared" si="117"/>
        <v>0</v>
      </c>
      <c r="F217" s="34">
        <f t="shared" si="118"/>
        <v>0</v>
      </c>
      <c r="G217" s="34">
        <f t="shared" si="119"/>
        <v>0</v>
      </c>
      <c r="H217" s="38">
        <f t="shared" si="120"/>
        <v>0</v>
      </c>
      <c r="I217" s="34">
        <f t="shared" si="121"/>
        <v>0</v>
      </c>
      <c r="J217" s="34">
        <f>IF(Single.Stream!$B$9="No",0,IF(SUM($N$3:$N$43)=0,N81,O81))</f>
        <v>7.0567499999999992</v>
      </c>
      <c r="K217" s="34" t="str">
        <f t="shared" si="123"/>
        <v>Yes</v>
      </c>
      <c r="M217" s="34"/>
      <c r="N217" s="34"/>
      <c r="O217" s="34"/>
      <c r="P217" s="38"/>
      <c r="Q217" s="38"/>
      <c r="R217" s="34"/>
      <c r="S217" s="34"/>
    </row>
    <row r="218" spans="1:19" s="9" customFormat="1" x14ac:dyDescent="0.35">
      <c r="A218" s="9" t="str">
        <f t="shared" si="122"/>
        <v>Glass - Green</v>
      </c>
      <c r="B218" s="34">
        <f>(D37-E37)+I37+J37+IF(Single.Stream!$B$9="No",'SS Material Flow'!L37,IF(SUM($N$3:$N$43)=0,0,N82))+O37+W37+X82</f>
        <v>0.18912000000000007</v>
      </c>
      <c r="C218" s="34">
        <f t="shared" si="115"/>
        <v>0</v>
      </c>
      <c r="D218" s="34">
        <f t="shared" si="116"/>
        <v>0</v>
      </c>
      <c r="E218" s="34">
        <f t="shared" si="117"/>
        <v>0</v>
      </c>
      <c r="F218" s="34">
        <f t="shared" si="118"/>
        <v>0</v>
      </c>
      <c r="G218" s="34">
        <f t="shared" si="119"/>
        <v>0</v>
      </c>
      <c r="H218" s="38">
        <f t="shared" si="120"/>
        <v>0</v>
      </c>
      <c r="I218" s="34">
        <f t="shared" si="121"/>
        <v>0</v>
      </c>
      <c r="J218" s="34">
        <f>IF(Single.Stream!$B$9="No",0,IF(SUM($N$3:$N$43)=0,N82,O82))</f>
        <v>3.0108800000000002</v>
      </c>
      <c r="K218" s="34" t="str">
        <f t="shared" si="123"/>
        <v>Yes</v>
      </c>
      <c r="M218" s="34"/>
      <c r="N218" s="34"/>
      <c r="O218" s="34"/>
      <c r="P218" s="38"/>
      <c r="Q218" s="38"/>
      <c r="R218" s="34"/>
      <c r="S218" s="34"/>
    </row>
    <row r="219" spans="1:19" s="9" customFormat="1" x14ac:dyDescent="0.35">
      <c r="A219" s="9" t="str">
        <f t="shared" si="122"/>
        <v>Glass - Clear</v>
      </c>
      <c r="B219" s="34">
        <f>(D38-E38)+I38+J38+IF(Single.Stream!$B$9="No",'SS Material Flow'!L38,IF(SUM($N$3:$N$43)=0,0,N83))+O38+W38+X83</f>
        <v>0.12411000000000016</v>
      </c>
      <c r="C219" s="34">
        <f t="shared" si="115"/>
        <v>0</v>
      </c>
      <c r="D219" s="34">
        <f t="shared" si="116"/>
        <v>0</v>
      </c>
      <c r="E219" s="34">
        <f t="shared" si="117"/>
        <v>0</v>
      </c>
      <c r="F219" s="34">
        <f t="shared" si="118"/>
        <v>0</v>
      </c>
      <c r="G219" s="34">
        <f t="shared" si="119"/>
        <v>0</v>
      </c>
      <c r="H219" s="38">
        <f t="shared" si="120"/>
        <v>0</v>
      </c>
      <c r="I219" s="34">
        <f t="shared" si="121"/>
        <v>0</v>
      </c>
      <c r="J219" s="34">
        <f>IF(Single.Stream!$B$9="No",0,IF(SUM($N$3:$N$43)=0,N83,O83))</f>
        <v>1.9758899999999999</v>
      </c>
      <c r="K219" s="34" t="str">
        <f t="shared" si="123"/>
        <v>Yes</v>
      </c>
      <c r="M219" s="34"/>
      <c r="N219" s="34"/>
      <c r="O219" s="34"/>
      <c r="P219" s="38"/>
      <c r="Q219" s="38"/>
      <c r="R219" s="34"/>
      <c r="S219" s="34"/>
    </row>
    <row r="220" spans="1:19" s="9" customFormat="1" x14ac:dyDescent="0.35">
      <c r="A220" s="9" t="str">
        <f t="shared" si="122"/>
        <v>Mixed Glass</v>
      </c>
      <c r="B220" s="34">
        <f>(D39-E39)+I39+J39+IF(Single.Stream!$B$9="No",'SS Material Flow'!L39,IF(SUM($N$3:$N$43)=0,0,N84))+O39+W39+X84</f>
        <v>5.9099999999999927E-8</v>
      </c>
      <c r="C220" s="34">
        <f t="shared" si="115"/>
        <v>0</v>
      </c>
      <c r="D220" s="34">
        <f t="shared" si="116"/>
        <v>0</v>
      </c>
      <c r="E220" s="34">
        <f t="shared" si="117"/>
        <v>0</v>
      </c>
      <c r="F220" s="34">
        <f t="shared" si="118"/>
        <v>0</v>
      </c>
      <c r="G220" s="34">
        <f t="shared" si="119"/>
        <v>0</v>
      </c>
      <c r="H220" s="38">
        <f t="shared" si="120"/>
        <v>0</v>
      </c>
      <c r="I220" s="34">
        <f t="shared" si="121"/>
        <v>0</v>
      </c>
      <c r="J220" s="34">
        <f>IF(Single.Stream!$B$9="No",0,IF(SUM($N$3:$N$43)=0,N84,O84))</f>
        <v>9.4090000000000007E-7</v>
      </c>
      <c r="K220" s="34" t="str">
        <f t="shared" si="123"/>
        <v>Yes</v>
      </c>
      <c r="M220" s="34"/>
      <c r="N220" s="34"/>
      <c r="O220" s="34"/>
      <c r="P220" s="38"/>
      <c r="Q220" s="38"/>
      <c r="R220" s="34"/>
      <c r="S220" s="34"/>
    </row>
    <row r="221" spans="1:19" s="9" customFormat="1" x14ac:dyDescent="0.35">
      <c r="A221" s="9" t="str">
        <f t="shared" si="122"/>
        <v>Glass - Non-recyclable</v>
      </c>
      <c r="B221" s="34">
        <f>(D40-E40)+I40+J40+IF(Single.Stream!$B$9="No",'SS Material Flow'!L40,IF(SUM($N$3:$N$43)=0,0,N85))+O40+W40+X85</f>
        <v>5.9099999999999927E-8</v>
      </c>
      <c r="C221" s="34">
        <f t="shared" si="115"/>
        <v>0</v>
      </c>
      <c r="D221" s="34">
        <f t="shared" si="116"/>
        <v>0</v>
      </c>
      <c r="E221" s="34">
        <f t="shared" si="117"/>
        <v>0</v>
      </c>
      <c r="F221" s="34">
        <f t="shared" si="118"/>
        <v>0</v>
      </c>
      <c r="G221" s="34">
        <f t="shared" si="119"/>
        <v>0</v>
      </c>
      <c r="H221" s="38">
        <f t="shared" si="120"/>
        <v>0</v>
      </c>
      <c r="I221" s="34">
        <f t="shared" si="121"/>
        <v>0</v>
      </c>
      <c r="J221" s="34">
        <f>IF(Single.Stream!$B$9="No",0,IF(SUM($N$3:$N$43)=0,N85,O85))</f>
        <v>9.4090000000000007E-7</v>
      </c>
      <c r="K221" s="34" t="str">
        <f t="shared" si="123"/>
        <v>Yes</v>
      </c>
      <c r="M221" s="34"/>
      <c r="N221" s="34"/>
      <c r="O221" s="34"/>
      <c r="P221" s="38"/>
      <c r="Q221" s="38"/>
      <c r="R221" s="34"/>
      <c r="S221" s="34"/>
    </row>
    <row r="222" spans="1:19" s="9" customFormat="1" x14ac:dyDescent="0.35">
      <c r="A222" s="9" t="str">
        <f t="shared" si="122"/>
        <v>Misc. Organic</v>
      </c>
      <c r="B222" s="34">
        <f>(D41-E41)+I41+J41+IF(Single.Stream!$B$9="No",'SS Material Flow'!L41,IF(SUM($N$3:$N$43)=0,0,N86))+O41+W41+X86</f>
        <v>9.9999999999999995E-7</v>
      </c>
      <c r="C222" s="34">
        <f t="shared" si="115"/>
        <v>0</v>
      </c>
      <c r="D222" s="34">
        <f t="shared" si="116"/>
        <v>0</v>
      </c>
      <c r="E222" s="34">
        <f t="shared" si="117"/>
        <v>0</v>
      </c>
      <c r="F222" s="34">
        <f t="shared" si="118"/>
        <v>0</v>
      </c>
      <c r="G222" s="34">
        <f t="shared" si="119"/>
        <v>0</v>
      </c>
      <c r="H222" s="38">
        <f t="shared" si="120"/>
        <v>0</v>
      </c>
      <c r="I222" s="34">
        <f t="shared" si="121"/>
        <v>0</v>
      </c>
      <c r="J222" s="34">
        <f>IF(Single.Stream!$B$9="No",0,IF(SUM($N$3:$N$43)=0,N86,O86))</f>
        <v>0</v>
      </c>
      <c r="K222" s="34" t="str">
        <f t="shared" si="123"/>
        <v>Yes</v>
      </c>
      <c r="M222" s="34"/>
      <c r="N222" s="34"/>
      <c r="O222" s="34"/>
      <c r="P222" s="38"/>
      <c r="Q222" s="38"/>
      <c r="R222" s="34"/>
      <c r="S222" s="34"/>
    </row>
    <row r="223" spans="1:19" s="9" customFormat="1" x14ac:dyDescent="0.35">
      <c r="A223" s="9" t="str">
        <f t="shared" si="122"/>
        <v>Misc. Inorganic</v>
      </c>
      <c r="B223" s="34">
        <f>(D42-E42)+I42+J42+IF(Single.Stream!$B$9="No",'SS Material Flow'!L42,IF(SUM($N$3:$N$43)=0,0,N87))+O42+W42+X87</f>
        <v>9.9999999999999995E-7</v>
      </c>
      <c r="C223" s="34">
        <f t="shared" si="115"/>
        <v>0</v>
      </c>
      <c r="D223" s="34">
        <f t="shared" si="116"/>
        <v>0</v>
      </c>
      <c r="E223" s="34">
        <f t="shared" si="117"/>
        <v>0</v>
      </c>
      <c r="F223" s="34">
        <f t="shared" si="118"/>
        <v>0</v>
      </c>
      <c r="G223" s="34">
        <f t="shared" si="119"/>
        <v>0</v>
      </c>
      <c r="H223" s="38">
        <f t="shared" si="120"/>
        <v>0</v>
      </c>
      <c r="I223" s="34">
        <f t="shared" si="121"/>
        <v>0</v>
      </c>
      <c r="J223" s="34">
        <f>IF(Single.Stream!$B$9="No",0,IF(SUM($N$3:$N$43)=0,N87,O87))</f>
        <v>0</v>
      </c>
      <c r="K223" s="34" t="str">
        <f t="shared" si="123"/>
        <v>Yes</v>
      </c>
      <c r="M223" s="34"/>
      <c r="N223" s="34"/>
      <c r="O223" s="34"/>
      <c r="P223" s="38"/>
      <c r="Q223" s="38"/>
      <c r="R223" s="34"/>
      <c r="S223" s="34"/>
    </row>
    <row r="224" spans="1:19" s="9" customFormat="1" x14ac:dyDescent="0.35">
      <c r="A224" s="9" t="str">
        <f t="shared" si="122"/>
        <v>E-waste</v>
      </c>
      <c r="B224" s="34">
        <f>(D43-E43)+I43+J43+IF(Single.Stream!$B$9="No",'SS Material Flow'!L43,IF(SUM($N$3:$N$43)=0,0,N88))+O43+W43+X88</f>
        <v>9.9999999999999995E-7</v>
      </c>
      <c r="C224" s="34">
        <f t="shared" si="115"/>
        <v>0</v>
      </c>
      <c r="D224" s="34">
        <f t="shared" si="116"/>
        <v>0</v>
      </c>
      <c r="E224" s="34">
        <f t="shared" si="117"/>
        <v>0</v>
      </c>
      <c r="F224" s="34">
        <f t="shared" si="118"/>
        <v>0</v>
      </c>
      <c r="G224" s="34">
        <f t="shared" si="119"/>
        <v>0</v>
      </c>
      <c r="H224" s="38">
        <f t="shared" si="120"/>
        <v>0</v>
      </c>
      <c r="I224" s="34">
        <f t="shared" si="121"/>
        <v>0</v>
      </c>
      <c r="J224" s="34">
        <f>IF(Single.Stream!$B$9="No",0,IF(SUM($N$3:$N$43)=0,N88,O88))</f>
        <v>0</v>
      </c>
      <c r="K224" s="34" t="str">
        <f t="shared" si="123"/>
        <v>Yes</v>
      </c>
      <c r="M224" s="34"/>
      <c r="N224" s="34"/>
      <c r="O224" s="34"/>
      <c r="P224" s="38"/>
      <c r="Q224" s="38"/>
      <c r="R224" s="34"/>
      <c r="S224" s="34"/>
    </row>
    <row r="225" spans="1:20" s="25" customFormat="1" x14ac:dyDescent="0.35">
      <c r="A225" s="14" t="s">
        <v>93</v>
      </c>
      <c r="B225" s="43">
        <f>SUM(B184:B224)</f>
        <v>2.1362832342000013</v>
      </c>
      <c r="C225" s="43">
        <f>SUM(C184:C224)</f>
        <v>27.859999999999996</v>
      </c>
      <c r="D225" s="43">
        <f t="shared" ref="D225:J225" si="124">SUM(D184:D224)</f>
        <v>40.190012959499995</v>
      </c>
      <c r="E225" s="43">
        <f t="shared" si="124"/>
        <v>2.5220019399999996</v>
      </c>
      <c r="F225" s="43">
        <f t="shared" si="124"/>
        <v>3.72400098</v>
      </c>
      <c r="G225" s="43">
        <f t="shared" si="124"/>
        <v>4.8600000000000003</v>
      </c>
      <c r="H225" s="43">
        <f t="shared" si="124"/>
        <v>3.0334430000000001</v>
      </c>
      <c r="I225" s="43">
        <f t="shared" si="124"/>
        <v>3.6205610000000004</v>
      </c>
      <c r="J225" s="43">
        <f t="shared" si="124"/>
        <v>12.053721886299998</v>
      </c>
      <c r="K225" s="34"/>
      <c r="L225" s="43"/>
      <c r="M225" s="43"/>
      <c r="N225" s="43"/>
      <c r="O225" s="43"/>
      <c r="P225" s="168"/>
      <c r="Q225" s="168"/>
      <c r="R225" s="43"/>
      <c r="S225" s="43"/>
    </row>
    <row r="226" spans="1:20" ht="29" x14ac:dyDescent="0.35">
      <c r="A226" s="344" t="s">
        <v>530</v>
      </c>
      <c r="B226" s="345">
        <f>B225+SUM(M48:M80,M85:M88)</f>
        <v>2.1464841796000012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48"/>
      <c r="Q226" s="48"/>
      <c r="R226" s="31"/>
      <c r="S226" s="31"/>
    </row>
    <row r="227" spans="1:20" x14ac:dyDescent="0.35">
      <c r="A227" t="s">
        <v>186</v>
      </c>
      <c r="B227" t="str">
        <f t="shared" ref="B227:I236" si="125">C183</f>
        <v>OCC</v>
      </c>
      <c r="C227" t="str">
        <f t="shared" si="125"/>
        <v>Non-OCC Fiber</v>
      </c>
      <c r="D227" t="str">
        <f t="shared" si="125"/>
        <v>Al</v>
      </c>
      <c r="E227" t="str">
        <f t="shared" si="125"/>
        <v>Fe</v>
      </c>
      <c r="F227" t="str">
        <f t="shared" si="125"/>
        <v>Film</v>
      </c>
      <c r="G227" t="str">
        <f t="shared" si="125"/>
        <v>HDPE</v>
      </c>
      <c r="H227" t="str">
        <f t="shared" si="125"/>
        <v>PET</v>
      </c>
      <c r="I227" t="str">
        <f t="shared" si="125"/>
        <v>Glass</v>
      </c>
      <c r="J227" s="31" t="str">
        <f>Single.Stream!A13</f>
        <v>Newsprint</v>
      </c>
      <c r="K227" s="31" t="str">
        <f>Single.Stream!A14</f>
        <v>Office Paper</v>
      </c>
      <c r="L227" s="31" t="str">
        <f>Single.Stream!A15</f>
        <v xml:space="preserve">Magazines </v>
      </c>
      <c r="M227" s="31" t="str">
        <f>Single.Stream!A16</f>
        <v>3rd Class Mail</v>
      </c>
      <c r="N227" s="31" t="str">
        <f>Single.Stream!A17</f>
        <v>Paper Other #1</v>
      </c>
      <c r="O227" s="31" t="str">
        <f>Single.Stream!A18</f>
        <v>Paper Other #2</v>
      </c>
      <c r="P227" s="31" t="str">
        <f>Single.Stream!A21</f>
        <v>Glass - Brown</v>
      </c>
      <c r="Q227" s="31" t="str">
        <f>Single.Stream!A22</f>
        <v>Glass - Green</v>
      </c>
      <c r="R227" s="31" t="str">
        <f>Single.Stream!A23</f>
        <v>Glass - Clear</v>
      </c>
      <c r="S227" s="31" t="str">
        <f>A246</f>
        <v>HDPE - Translucent Containers</v>
      </c>
      <c r="T227" t="str">
        <f>A247</f>
        <v>HDPE - Pigmented Containers</v>
      </c>
    </row>
    <row r="228" spans="1:20" x14ac:dyDescent="0.35">
      <c r="A228" t="str">
        <f t="shared" ref="A228:A269" si="126">A184</f>
        <v>Yard Trimmings, Leaves</v>
      </c>
      <c r="B228" s="31">
        <f t="shared" si="125"/>
        <v>0</v>
      </c>
      <c r="C228" s="31">
        <f t="shared" si="125"/>
        <v>0</v>
      </c>
      <c r="D228" s="31">
        <f t="shared" si="125"/>
        <v>0</v>
      </c>
      <c r="E228" s="31">
        <f t="shared" si="125"/>
        <v>0</v>
      </c>
      <c r="F228" s="31">
        <f t="shared" si="125"/>
        <v>0</v>
      </c>
      <c r="G228" s="31">
        <f t="shared" si="125"/>
        <v>0</v>
      </c>
      <c r="H228" s="31">
        <f t="shared" si="125"/>
        <v>0</v>
      </c>
      <c r="I228" s="31">
        <f t="shared" si="125"/>
        <v>0</v>
      </c>
      <c r="J228" s="31"/>
      <c r="K228" s="31"/>
      <c r="L228" s="31"/>
      <c r="M228" s="31"/>
      <c r="N228" s="31"/>
      <c r="O228" s="31"/>
      <c r="P228" s="48"/>
      <c r="Q228" s="48"/>
      <c r="R228" s="31"/>
      <c r="S228" s="31"/>
    </row>
    <row r="229" spans="1:20" x14ac:dyDescent="0.35">
      <c r="A229" t="str">
        <f t="shared" si="126"/>
        <v>Yard Trimmings, Grass</v>
      </c>
      <c r="B229" s="31">
        <f t="shared" si="125"/>
        <v>0</v>
      </c>
      <c r="C229" s="31">
        <f t="shared" si="125"/>
        <v>0</v>
      </c>
      <c r="D229" s="31">
        <f t="shared" si="125"/>
        <v>0</v>
      </c>
      <c r="E229" s="31">
        <f t="shared" si="125"/>
        <v>0</v>
      </c>
      <c r="F229" s="31">
        <f t="shared" si="125"/>
        <v>0</v>
      </c>
      <c r="G229" s="31">
        <f t="shared" si="125"/>
        <v>0</v>
      </c>
      <c r="H229" s="31">
        <f t="shared" si="125"/>
        <v>0</v>
      </c>
      <c r="I229" s="31">
        <f t="shared" si="125"/>
        <v>0</v>
      </c>
      <c r="J229" s="31"/>
      <c r="K229" s="31"/>
      <c r="L229" s="31"/>
      <c r="M229" s="31"/>
      <c r="N229" s="31"/>
      <c r="O229" s="31"/>
      <c r="P229" s="48"/>
      <c r="Q229" s="48"/>
      <c r="R229" s="31"/>
      <c r="S229" s="31"/>
    </row>
    <row r="230" spans="1:20" x14ac:dyDescent="0.35">
      <c r="A230" t="str">
        <f t="shared" si="126"/>
        <v>Yard Trimmings, Branches</v>
      </c>
      <c r="B230" s="31">
        <f t="shared" si="125"/>
        <v>0</v>
      </c>
      <c r="C230" s="31">
        <f t="shared" si="125"/>
        <v>0</v>
      </c>
      <c r="D230" s="31">
        <f t="shared" si="125"/>
        <v>0</v>
      </c>
      <c r="E230" s="31">
        <f t="shared" si="125"/>
        <v>0</v>
      </c>
      <c r="F230" s="31">
        <f t="shared" si="125"/>
        <v>0</v>
      </c>
      <c r="G230" s="31">
        <f t="shared" si="125"/>
        <v>0</v>
      </c>
      <c r="H230" s="31">
        <f t="shared" si="125"/>
        <v>0</v>
      </c>
      <c r="I230" s="31">
        <f t="shared" si="125"/>
        <v>0</v>
      </c>
      <c r="J230" s="31"/>
      <c r="K230" s="31"/>
      <c r="L230" s="31"/>
      <c r="M230" s="31"/>
      <c r="N230" s="31"/>
      <c r="O230" s="31"/>
      <c r="P230" s="48"/>
      <c r="Q230" s="48"/>
      <c r="R230" s="31"/>
      <c r="S230" s="31"/>
    </row>
    <row r="231" spans="1:20" x14ac:dyDescent="0.35">
      <c r="A231" t="str">
        <f t="shared" si="126"/>
        <v>Food Waste - Vegetable</v>
      </c>
      <c r="B231" s="31">
        <f t="shared" si="125"/>
        <v>0</v>
      </c>
      <c r="C231" s="31">
        <f t="shared" si="125"/>
        <v>0</v>
      </c>
      <c r="D231" s="31">
        <f t="shared" si="125"/>
        <v>0</v>
      </c>
      <c r="E231" s="31">
        <f t="shared" si="125"/>
        <v>0</v>
      </c>
      <c r="F231" s="31">
        <f t="shared" si="125"/>
        <v>0</v>
      </c>
      <c r="G231" s="31">
        <f t="shared" si="125"/>
        <v>0</v>
      </c>
      <c r="H231" s="31">
        <f t="shared" si="125"/>
        <v>0</v>
      </c>
      <c r="I231" s="31">
        <f t="shared" si="125"/>
        <v>0</v>
      </c>
      <c r="J231" s="31"/>
      <c r="K231" s="31"/>
      <c r="L231" s="31"/>
      <c r="M231" s="31"/>
      <c r="N231" s="31"/>
      <c r="O231" s="31"/>
      <c r="P231" s="48"/>
      <c r="Q231" s="48"/>
      <c r="R231" s="31"/>
      <c r="S231" s="31"/>
    </row>
    <row r="232" spans="1:20" x14ac:dyDescent="0.35">
      <c r="A232" t="str">
        <f t="shared" si="126"/>
        <v>Food Waste - Non-Vegetable</v>
      </c>
      <c r="B232" s="31">
        <f t="shared" si="125"/>
        <v>0</v>
      </c>
      <c r="C232" s="31">
        <f t="shared" si="125"/>
        <v>0</v>
      </c>
      <c r="D232" s="31">
        <f t="shared" si="125"/>
        <v>0</v>
      </c>
      <c r="E232" s="31">
        <f t="shared" si="125"/>
        <v>0</v>
      </c>
      <c r="F232" s="31">
        <f t="shared" si="125"/>
        <v>0</v>
      </c>
      <c r="G232" s="31">
        <f t="shared" si="125"/>
        <v>0</v>
      </c>
      <c r="H232" s="31">
        <f t="shared" si="125"/>
        <v>0</v>
      </c>
      <c r="I232" s="31">
        <f t="shared" si="125"/>
        <v>0</v>
      </c>
      <c r="J232" s="31"/>
      <c r="K232" s="31"/>
      <c r="L232" s="31"/>
      <c r="M232" s="31"/>
      <c r="N232" s="31"/>
      <c r="O232" s="31"/>
      <c r="P232" s="48"/>
      <c r="Q232" s="48"/>
      <c r="R232" s="31"/>
      <c r="S232" s="31"/>
    </row>
    <row r="233" spans="1:20" x14ac:dyDescent="0.35">
      <c r="A233" t="str">
        <f t="shared" si="126"/>
        <v>Wood</v>
      </c>
      <c r="B233" s="31">
        <f t="shared" si="125"/>
        <v>0</v>
      </c>
      <c r="C233" s="31">
        <f t="shared" si="125"/>
        <v>0</v>
      </c>
      <c r="D233" s="31">
        <f t="shared" si="125"/>
        <v>0</v>
      </c>
      <c r="E233" s="31">
        <f t="shared" si="125"/>
        <v>0</v>
      </c>
      <c r="F233" s="31">
        <f t="shared" si="125"/>
        <v>0</v>
      </c>
      <c r="G233" s="31">
        <f t="shared" si="125"/>
        <v>0</v>
      </c>
      <c r="H233" s="31">
        <f t="shared" si="125"/>
        <v>0</v>
      </c>
      <c r="I233" s="31">
        <f t="shared" si="125"/>
        <v>0</v>
      </c>
      <c r="J233" s="31"/>
      <c r="K233" s="31"/>
      <c r="L233" s="31"/>
      <c r="M233" s="31"/>
      <c r="N233" s="31"/>
      <c r="O233" s="31"/>
      <c r="P233" s="48"/>
      <c r="Q233" s="48"/>
      <c r="R233" s="31"/>
      <c r="S233" s="31"/>
    </row>
    <row r="234" spans="1:20" x14ac:dyDescent="0.35">
      <c r="A234" t="str">
        <f t="shared" si="126"/>
        <v>Wood Other</v>
      </c>
      <c r="B234" s="31">
        <f t="shared" si="125"/>
        <v>0</v>
      </c>
      <c r="C234" s="31">
        <f t="shared" si="125"/>
        <v>0</v>
      </c>
      <c r="D234" s="31">
        <f t="shared" si="125"/>
        <v>0</v>
      </c>
      <c r="E234" s="31">
        <f t="shared" si="125"/>
        <v>0</v>
      </c>
      <c r="F234" s="31">
        <f t="shared" si="125"/>
        <v>0</v>
      </c>
      <c r="G234" s="31">
        <f t="shared" si="125"/>
        <v>0</v>
      </c>
      <c r="H234" s="31">
        <f t="shared" si="125"/>
        <v>0</v>
      </c>
      <c r="I234" s="31">
        <f t="shared" si="125"/>
        <v>0</v>
      </c>
      <c r="J234" s="31"/>
      <c r="K234" s="31"/>
      <c r="L234" s="31"/>
      <c r="M234" s="31"/>
      <c r="N234" s="31"/>
      <c r="O234" s="31"/>
      <c r="P234" s="48"/>
      <c r="Q234" s="48"/>
      <c r="R234" s="31"/>
      <c r="S234" s="31"/>
    </row>
    <row r="235" spans="1:20" x14ac:dyDescent="0.35">
      <c r="A235" t="str">
        <f t="shared" si="126"/>
        <v>Textiles</v>
      </c>
      <c r="B235" s="31">
        <f t="shared" si="125"/>
        <v>0</v>
      </c>
      <c r="C235" s="31">
        <f t="shared" si="125"/>
        <v>0</v>
      </c>
      <c r="D235" s="31">
        <f t="shared" si="125"/>
        <v>0</v>
      </c>
      <c r="E235" s="31">
        <f t="shared" si="125"/>
        <v>0</v>
      </c>
      <c r="F235" s="31">
        <f t="shared" si="125"/>
        <v>0</v>
      </c>
      <c r="G235" s="31">
        <f t="shared" si="125"/>
        <v>0</v>
      </c>
      <c r="H235" s="31">
        <f t="shared" si="125"/>
        <v>0</v>
      </c>
      <c r="I235" s="31">
        <f t="shared" si="125"/>
        <v>0</v>
      </c>
      <c r="J235" s="31"/>
      <c r="K235" s="31"/>
      <c r="L235" s="31"/>
      <c r="M235" s="31"/>
      <c r="N235" s="31"/>
      <c r="O235" s="31"/>
      <c r="P235" s="48"/>
      <c r="Q235" s="48"/>
      <c r="R235" s="31"/>
      <c r="S235" s="31"/>
    </row>
    <row r="236" spans="1:20" ht="15" thickBot="1" x14ac:dyDescent="0.4">
      <c r="A236" t="str">
        <f t="shared" si="126"/>
        <v>Rubber/Leather</v>
      </c>
      <c r="B236" s="31">
        <f t="shared" si="125"/>
        <v>0</v>
      </c>
      <c r="C236" s="31">
        <f t="shared" si="125"/>
        <v>0</v>
      </c>
      <c r="D236" s="31">
        <f t="shared" si="125"/>
        <v>0</v>
      </c>
      <c r="E236" s="31">
        <f t="shared" si="125"/>
        <v>0</v>
      </c>
      <c r="F236" s="31">
        <f t="shared" si="125"/>
        <v>0</v>
      </c>
      <c r="G236" s="31">
        <f t="shared" si="125"/>
        <v>0</v>
      </c>
      <c r="H236" s="31">
        <f t="shared" si="125"/>
        <v>0</v>
      </c>
      <c r="I236" s="31">
        <f t="shared" si="125"/>
        <v>0</v>
      </c>
      <c r="J236" s="31"/>
      <c r="K236" s="31"/>
      <c r="L236" s="31"/>
      <c r="M236" s="31"/>
      <c r="N236" s="31"/>
      <c r="O236" s="31"/>
      <c r="P236" s="48"/>
      <c r="Q236" s="48"/>
      <c r="R236" s="31"/>
      <c r="S236" s="31"/>
    </row>
    <row r="237" spans="1:20" ht="15" thickBot="1" x14ac:dyDescent="0.4">
      <c r="A237" t="str">
        <f t="shared" si="126"/>
        <v>Newsprint</v>
      </c>
      <c r="B237" s="31">
        <f t="shared" ref="B237:B269" si="127">C193</f>
        <v>0</v>
      </c>
      <c r="C237" s="178">
        <f>IF(Single.Stream!B13="Yes",(1-Single.Stream!E13)*D193,D193)</f>
        <v>13.31775</v>
      </c>
      <c r="D237" s="31">
        <f t="shared" ref="D237:I245" si="128">E193</f>
        <v>0</v>
      </c>
      <c r="E237" s="31">
        <f t="shared" si="128"/>
        <v>0</v>
      </c>
      <c r="F237" s="31">
        <f t="shared" si="128"/>
        <v>0</v>
      </c>
      <c r="G237" s="31">
        <f t="shared" si="128"/>
        <v>0</v>
      </c>
      <c r="H237" s="31">
        <f t="shared" si="128"/>
        <v>0</v>
      </c>
      <c r="I237" s="31">
        <f t="shared" si="128"/>
        <v>0</v>
      </c>
      <c r="J237" s="31">
        <f>D193-C237</f>
        <v>0</v>
      </c>
      <c r="K237" s="31"/>
      <c r="L237" s="31"/>
      <c r="M237" s="31"/>
      <c r="N237" s="31"/>
      <c r="O237" s="31"/>
      <c r="P237" s="48"/>
      <c r="Q237" s="48"/>
      <c r="R237" s="31"/>
      <c r="S237" s="31"/>
    </row>
    <row r="238" spans="1:20" ht="15" thickBot="1" x14ac:dyDescent="0.4">
      <c r="A238" t="str">
        <f t="shared" si="126"/>
        <v>Corr. Cardboard</v>
      </c>
      <c r="B238" s="31">
        <f t="shared" si="127"/>
        <v>27.859999999999996</v>
      </c>
      <c r="C238" s="31">
        <f>D194</f>
        <v>11.778810000000002</v>
      </c>
      <c r="D238" s="31">
        <f t="shared" si="128"/>
        <v>0</v>
      </c>
      <c r="E238" s="31">
        <f t="shared" si="128"/>
        <v>0</v>
      </c>
      <c r="F238" s="31">
        <f t="shared" si="128"/>
        <v>0</v>
      </c>
      <c r="G238" s="31">
        <f t="shared" si="128"/>
        <v>0</v>
      </c>
      <c r="H238" s="31">
        <f t="shared" si="128"/>
        <v>0</v>
      </c>
      <c r="I238" s="31">
        <f t="shared" si="128"/>
        <v>0</v>
      </c>
      <c r="J238" s="31"/>
      <c r="K238" s="31"/>
      <c r="L238" s="31"/>
      <c r="M238" s="31"/>
      <c r="N238" s="31"/>
      <c r="O238" s="31"/>
      <c r="P238" s="48"/>
      <c r="Q238" s="48"/>
      <c r="R238" s="31"/>
      <c r="S238" s="31"/>
    </row>
    <row r="239" spans="1:20" x14ac:dyDescent="0.35">
      <c r="A239" t="str">
        <f t="shared" si="126"/>
        <v>Office Paper</v>
      </c>
      <c r="B239" s="31">
        <f t="shared" si="127"/>
        <v>0</v>
      </c>
      <c r="C239" s="175">
        <f>IF(Single.Stream!B14="Yes",(1-Single.Stream!E14)*D195,D195)</f>
        <v>7.1028000000000002</v>
      </c>
      <c r="D239" s="31">
        <f t="shared" si="128"/>
        <v>0</v>
      </c>
      <c r="E239" s="31">
        <f t="shared" si="128"/>
        <v>0</v>
      </c>
      <c r="F239" s="31">
        <f t="shared" si="128"/>
        <v>0</v>
      </c>
      <c r="G239" s="31">
        <f t="shared" si="128"/>
        <v>0</v>
      </c>
      <c r="H239" s="31">
        <f t="shared" si="128"/>
        <v>0</v>
      </c>
      <c r="I239" s="31">
        <f t="shared" si="128"/>
        <v>0</v>
      </c>
      <c r="J239" s="31"/>
      <c r="K239" s="31">
        <f>D195-C239</f>
        <v>0</v>
      </c>
      <c r="L239" s="31"/>
      <c r="M239" s="31"/>
      <c r="N239" s="31"/>
      <c r="O239" s="31"/>
      <c r="P239" s="48"/>
      <c r="Q239" s="48"/>
      <c r="R239" s="31"/>
      <c r="S239" s="31"/>
    </row>
    <row r="240" spans="1:20" x14ac:dyDescent="0.35">
      <c r="A240" t="str">
        <f t="shared" si="126"/>
        <v xml:space="preserve">Magazines </v>
      </c>
      <c r="B240" s="31">
        <f t="shared" si="127"/>
        <v>0</v>
      </c>
      <c r="C240" s="176">
        <f>IF(Single.Stream!B15="Yes",(1-Single.Stream!E15)*D196,D196)</f>
        <v>2.1703000000000001</v>
      </c>
      <c r="D240" s="31">
        <f t="shared" si="128"/>
        <v>0</v>
      </c>
      <c r="E240" s="31">
        <f t="shared" si="128"/>
        <v>0</v>
      </c>
      <c r="F240" s="31">
        <f t="shared" si="128"/>
        <v>0</v>
      </c>
      <c r="G240" s="31">
        <f t="shared" si="128"/>
        <v>0</v>
      </c>
      <c r="H240" s="31">
        <f t="shared" si="128"/>
        <v>0</v>
      </c>
      <c r="I240" s="31">
        <f t="shared" si="128"/>
        <v>0</v>
      </c>
      <c r="J240" s="31"/>
      <c r="K240" s="31"/>
      <c r="L240" s="31">
        <f>D196-C240</f>
        <v>0</v>
      </c>
      <c r="M240" s="31"/>
      <c r="N240" s="31"/>
      <c r="O240" s="31"/>
      <c r="P240" s="48"/>
      <c r="Q240" s="48"/>
      <c r="R240" s="31"/>
      <c r="S240" s="31"/>
    </row>
    <row r="241" spans="1:20" x14ac:dyDescent="0.35">
      <c r="A241" t="str">
        <f t="shared" si="126"/>
        <v>3rd Class Mail</v>
      </c>
      <c r="B241" s="31">
        <f t="shared" si="127"/>
        <v>0</v>
      </c>
      <c r="C241" s="176">
        <f>IF(Single.Stream!B16="Yes",(1-Single.Stream!E16)*D197,D197)</f>
        <v>5.8203500000000004</v>
      </c>
      <c r="D241" s="31">
        <f t="shared" si="128"/>
        <v>0</v>
      </c>
      <c r="E241" s="31">
        <f t="shared" si="128"/>
        <v>0</v>
      </c>
      <c r="F241" s="31">
        <f t="shared" si="128"/>
        <v>0</v>
      </c>
      <c r="G241" s="31">
        <f t="shared" si="128"/>
        <v>0</v>
      </c>
      <c r="H241" s="31">
        <f t="shared" si="128"/>
        <v>0</v>
      </c>
      <c r="I241" s="31">
        <f t="shared" si="128"/>
        <v>0</v>
      </c>
      <c r="J241" s="31"/>
      <c r="K241" s="31"/>
      <c r="L241" s="31"/>
      <c r="M241" s="31">
        <f>D197-C241</f>
        <v>0</v>
      </c>
      <c r="N241" s="31"/>
      <c r="O241" s="31"/>
      <c r="P241" s="48"/>
      <c r="Q241" s="48"/>
      <c r="R241" s="31"/>
      <c r="S241" s="31"/>
    </row>
    <row r="242" spans="1:20" x14ac:dyDescent="0.35">
      <c r="A242" t="str">
        <f t="shared" si="126"/>
        <v>Folding Containers</v>
      </c>
      <c r="B242" s="31">
        <f t="shared" si="127"/>
        <v>0</v>
      </c>
      <c r="C242" s="176">
        <f>IF(Single.Stream!B17="Yes",(1-Single.Stream!E17)*D198,D198)</f>
        <v>9.865E-7</v>
      </c>
      <c r="D242" s="31">
        <f t="shared" si="128"/>
        <v>0</v>
      </c>
      <c r="E242" s="31">
        <f t="shared" si="128"/>
        <v>0</v>
      </c>
      <c r="F242" s="31">
        <f t="shared" si="128"/>
        <v>0</v>
      </c>
      <c r="G242" s="31">
        <f t="shared" si="128"/>
        <v>0</v>
      </c>
      <c r="H242" s="31">
        <f t="shared" si="128"/>
        <v>0</v>
      </c>
      <c r="I242" s="31">
        <f t="shared" si="128"/>
        <v>0</v>
      </c>
      <c r="J242" s="31"/>
      <c r="K242" s="31"/>
      <c r="L242" s="31"/>
      <c r="M242" s="31"/>
      <c r="N242" s="31">
        <f>D198-C242</f>
        <v>0</v>
      </c>
      <c r="O242" s="31"/>
      <c r="P242" s="48"/>
      <c r="Q242" s="48"/>
      <c r="R242" s="31"/>
      <c r="S242" s="31"/>
    </row>
    <row r="243" spans="1:20" ht="15" thickBot="1" x14ac:dyDescent="0.4">
      <c r="A243" t="str">
        <f t="shared" si="126"/>
        <v xml:space="preserve">Paper Bags </v>
      </c>
      <c r="B243" s="31">
        <f t="shared" si="127"/>
        <v>0</v>
      </c>
      <c r="C243" s="177">
        <f>IF(Single.Stream!B18="Yes",(1-Single.Stream!E18)*D199,D199)</f>
        <v>9.865E-7</v>
      </c>
      <c r="D243" s="31">
        <f t="shared" si="128"/>
        <v>0</v>
      </c>
      <c r="E243" s="31">
        <f t="shared" si="128"/>
        <v>0</v>
      </c>
      <c r="F243" s="31">
        <f t="shared" si="128"/>
        <v>0</v>
      </c>
      <c r="G243" s="31">
        <f t="shared" si="128"/>
        <v>0</v>
      </c>
      <c r="H243" s="31">
        <f t="shared" si="128"/>
        <v>0</v>
      </c>
      <c r="I243" s="31">
        <f t="shared" si="128"/>
        <v>0</v>
      </c>
      <c r="J243" s="31"/>
      <c r="K243" s="31"/>
      <c r="L243" s="31"/>
      <c r="M243" s="31"/>
      <c r="N243" s="31"/>
      <c r="O243" s="31">
        <f>D199-C243</f>
        <v>0</v>
      </c>
      <c r="P243" s="48"/>
      <c r="Q243" s="48"/>
      <c r="R243" s="31"/>
      <c r="S243" s="31"/>
    </row>
    <row r="244" spans="1:20" x14ac:dyDescent="0.35">
      <c r="A244" t="str">
        <f t="shared" si="126"/>
        <v>Mixed Paper</v>
      </c>
      <c r="B244" s="31">
        <f t="shared" si="127"/>
        <v>0</v>
      </c>
      <c r="C244" s="31">
        <f t="shared" ref="C244:C269" si="129">D200</f>
        <v>9.865E-7</v>
      </c>
      <c r="D244" s="31">
        <f t="shared" si="128"/>
        <v>0</v>
      </c>
      <c r="E244" s="31">
        <f t="shared" si="128"/>
        <v>0</v>
      </c>
      <c r="F244" s="31">
        <f t="shared" si="128"/>
        <v>0</v>
      </c>
      <c r="G244" s="31">
        <f t="shared" si="128"/>
        <v>0</v>
      </c>
      <c r="H244" s="31">
        <f t="shared" si="128"/>
        <v>0</v>
      </c>
      <c r="I244" s="31">
        <f t="shared" si="128"/>
        <v>0</v>
      </c>
      <c r="J244" s="31"/>
      <c r="K244" s="31"/>
      <c r="L244" s="31"/>
      <c r="M244" s="31"/>
      <c r="N244" s="31"/>
      <c r="O244" s="31"/>
      <c r="P244" s="48"/>
      <c r="Q244" s="48"/>
      <c r="R244" s="31"/>
      <c r="S244" s="31"/>
    </row>
    <row r="245" spans="1:20" ht="15" thickBot="1" x14ac:dyDescent="0.4">
      <c r="A245" t="str">
        <f t="shared" si="126"/>
        <v>Paper - Non-recyclable</v>
      </c>
      <c r="B245" s="31">
        <f t="shared" si="127"/>
        <v>0</v>
      </c>
      <c r="C245" s="31">
        <f t="shared" si="129"/>
        <v>0</v>
      </c>
      <c r="D245" s="31">
        <f t="shared" si="128"/>
        <v>0</v>
      </c>
      <c r="E245" s="31">
        <f t="shared" si="128"/>
        <v>0</v>
      </c>
      <c r="F245" s="31">
        <f t="shared" si="128"/>
        <v>0</v>
      </c>
      <c r="G245" s="31">
        <f t="shared" si="128"/>
        <v>0</v>
      </c>
      <c r="H245" s="31">
        <f t="shared" si="128"/>
        <v>0</v>
      </c>
      <c r="I245" s="31">
        <f t="shared" si="128"/>
        <v>0</v>
      </c>
      <c r="J245" s="31"/>
      <c r="K245" s="31"/>
      <c r="L245" s="31"/>
      <c r="M245" s="31"/>
      <c r="N245" s="31"/>
      <c r="O245" s="31"/>
      <c r="P245" s="48"/>
      <c r="Q245" s="48"/>
      <c r="R245" s="31"/>
      <c r="S245" s="31"/>
    </row>
    <row r="246" spans="1:20" x14ac:dyDescent="0.35">
      <c r="A246" t="str">
        <f t="shared" si="126"/>
        <v>HDPE - Translucent Containers</v>
      </c>
      <c r="B246" s="31">
        <f t="shared" si="127"/>
        <v>0</v>
      </c>
      <c r="C246" s="31">
        <f t="shared" si="129"/>
        <v>0</v>
      </c>
      <c r="D246" s="31">
        <f t="shared" ref="D246:F269" si="130">E202</f>
        <v>0</v>
      </c>
      <c r="E246" s="31">
        <f t="shared" si="130"/>
        <v>0</v>
      </c>
      <c r="F246" s="31">
        <f t="shared" si="130"/>
        <v>0</v>
      </c>
      <c r="G246" s="175">
        <f>IF(Single.Stream!$B$26="No",'SS Material Flow'!H202,0)</f>
        <v>1.0763830000000001</v>
      </c>
      <c r="H246" s="31">
        <f t="shared" ref="H246:I260" si="131">I202</f>
        <v>0</v>
      </c>
      <c r="I246" s="31">
        <f t="shared" si="131"/>
        <v>1.6499999999999987E-3</v>
      </c>
      <c r="J246" s="31"/>
      <c r="K246" s="31"/>
      <c r="L246" s="31"/>
      <c r="M246" s="31"/>
      <c r="N246" s="31"/>
      <c r="O246" s="31"/>
      <c r="P246" s="48"/>
      <c r="Q246" s="48"/>
      <c r="R246" s="31"/>
      <c r="S246" s="31">
        <f>H202-G246</f>
        <v>0</v>
      </c>
    </row>
    <row r="247" spans="1:20" ht="15" thickBot="1" x14ac:dyDescent="0.4">
      <c r="A247" t="str">
        <f t="shared" si="126"/>
        <v>HDPE - Pigmented Containers</v>
      </c>
      <c r="B247" s="31">
        <f t="shared" si="127"/>
        <v>0</v>
      </c>
      <c r="C247" s="31">
        <f t="shared" si="129"/>
        <v>0</v>
      </c>
      <c r="D247" s="31">
        <f t="shared" si="130"/>
        <v>0</v>
      </c>
      <c r="E247" s="31">
        <f t="shared" si="130"/>
        <v>0</v>
      </c>
      <c r="F247" s="31">
        <f t="shared" si="130"/>
        <v>0</v>
      </c>
      <c r="G247" s="177">
        <f>IF(Single.Stream!$B$26="No",'SS Material Flow'!H203,0)</f>
        <v>1.9570599999999998</v>
      </c>
      <c r="H247" s="31">
        <f t="shared" si="131"/>
        <v>0</v>
      </c>
      <c r="I247" s="31">
        <f t="shared" si="131"/>
        <v>3.0000000000000027E-3</v>
      </c>
      <c r="J247" s="31"/>
      <c r="K247" s="31"/>
      <c r="L247" s="31"/>
      <c r="M247" s="31"/>
      <c r="N247" s="31"/>
      <c r="O247" s="31"/>
      <c r="P247" s="48"/>
      <c r="Q247" s="48"/>
      <c r="R247" s="31"/>
      <c r="S247" s="31"/>
      <c r="T247" s="31">
        <f>H203-G247</f>
        <v>0</v>
      </c>
    </row>
    <row r="248" spans="1:20" x14ac:dyDescent="0.35">
      <c r="A248" t="str">
        <f t="shared" si="126"/>
        <v>PET - Containers</v>
      </c>
      <c r="B248" s="31">
        <f t="shared" si="127"/>
        <v>0</v>
      </c>
      <c r="C248" s="31">
        <f t="shared" si="129"/>
        <v>0</v>
      </c>
      <c r="D248" s="31">
        <f t="shared" si="130"/>
        <v>0</v>
      </c>
      <c r="E248" s="31">
        <f t="shared" si="130"/>
        <v>0</v>
      </c>
      <c r="F248" s="31">
        <f t="shared" si="130"/>
        <v>0</v>
      </c>
      <c r="G248" s="31">
        <f t="shared" ref="G248:G269" si="132">H204</f>
        <v>0</v>
      </c>
      <c r="H248" s="31">
        <f t="shared" si="131"/>
        <v>3.6205610000000004</v>
      </c>
      <c r="I248" s="31">
        <f t="shared" si="131"/>
        <v>5.5499999999999994E-3</v>
      </c>
      <c r="J248" s="31"/>
      <c r="K248" s="31"/>
      <c r="L248" s="31"/>
      <c r="M248" s="31"/>
      <c r="N248" s="31"/>
      <c r="O248" s="31"/>
      <c r="P248" s="48"/>
      <c r="Q248" s="48"/>
      <c r="R248" s="31"/>
      <c r="S248" s="31"/>
    </row>
    <row r="249" spans="1:20" x14ac:dyDescent="0.35">
      <c r="A249" t="str">
        <f t="shared" si="126"/>
        <v>Plastic - Other # 1, Polypropylene</v>
      </c>
      <c r="B249" s="31">
        <f t="shared" si="127"/>
        <v>0</v>
      </c>
      <c r="C249" s="31">
        <f t="shared" si="129"/>
        <v>0</v>
      </c>
      <c r="D249" s="31">
        <f t="shared" si="130"/>
        <v>0</v>
      </c>
      <c r="E249" s="31">
        <f t="shared" si="130"/>
        <v>0</v>
      </c>
      <c r="F249" s="31">
        <f t="shared" si="130"/>
        <v>0</v>
      </c>
      <c r="G249" s="31">
        <f t="shared" si="132"/>
        <v>0</v>
      </c>
      <c r="H249" s="31">
        <f t="shared" si="131"/>
        <v>0</v>
      </c>
      <c r="I249" s="31">
        <f t="shared" si="131"/>
        <v>1.5000000000000002E-9</v>
      </c>
      <c r="J249" s="31"/>
      <c r="K249" s="31"/>
      <c r="L249" s="31"/>
      <c r="M249" s="31"/>
      <c r="N249" s="31"/>
      <c r="O249" s="31"/>
      <c r="P249" s="48"/>
      <c r="Q249" s="48"/>
      <c r="R249" s="31"/>
      <c r="S249" s="31"/>
    </row>
    <row r="250" spans="1:20" x14ac:dyDescent="0.35">
      <c r="A250" t="str">
        <f t="shared" si="126"/>
        <v>Plastic - Other # 2</v>
      </c>
      <c r="B250" s="31">
        <f t="shared" si="127"/>
        <v>0</v>
      </c>
      <c r="C250" s="31">
        <f t="shared" si="129"/>
        <v>0</v>
      </c>
      <c r="D250" s="31">
        <f t="shared" si="130"/>
        <v>0</v>
      </c>
      <c r="E250" s="31">
        <f t="shared" si="130"/>
        <v>0</v>
      </c>
      <c r="F250" s="31">
        <f t="shared" si="130"/>
        <v>0</v>
      </c>
      <c r="G250" s="31">
        <f t="shared" si="132"/>
        <v>0</v>
      </c>
      <c r="H250" s="31">
        <f t="shared" si="131"/>
        <v>0</v>
      </c>
      <c r="I250" s="31">
        <f t="shared" si="131"/>
        <v>1.5000000000000002E-9</v>
      </c>
      <c r="J250" s="31"/>
      <c r="K250" s="31"/>
      <c r="L250" s="31"/>
      <c r="M250" s="31"/>
      <c r="N250" s="31"/>
      <c r="O250" s="31"/>
      <c r="P250" s="48"/>
      <c r="Q250" s="48"/>
      <c r="R250" s="31"/>
      <c r="S250" s="31"/>
    </row>
    <row r="251" spans="1:20" x14ac:dyDescent="0.35">
      <c r="A251" t="str">
        <f t="shared" si="126"/>
        <v>Mixed Plastic</v>
      </c>
      <c r="B251" s="31">
        <f t="shared" si="127"/>
        <v>0</v>
      </c>
      <c r="C251" s="31">
        <f t="shared" si="129"/>
        <v>0</v>
      </c>
      <c r="D251" s="31">
        <f t="shared" si="130"/>
        <v>0</v>
      </c>
      <c r="E251" s="31">
        <f t="shared" si="130"/>
        <v>0</v>
      </c>
      <c r="F251" s="31">
        <f t="shared" si="130"/>
        <v>0</v>
      </c>
      <c r="G251" s="31">
        <f t="shared" si="132"/>
        <v>0</v>
      </c>
      <c r="H251" s="31">
        <f t="shared" si="131"/>
        <v>0</v>
      </c>
      <c r="I251" s="31">
        <f t="shared" si="131"/>
        <v>1.5000000000000002E-9</v>
      </c>
      <c r="J251" s="31"/>
      <c r="K251" s="31"/>
      <c r="L251" s="31"/>
      <c r="M251" s="31"/>
      <c r="N251" s="31"/>
      <c r="O251" s="31"/>
      <c r="P251" s="48"/>
      <c r="Q251" s="48"/>
      <c r="R251" s="31"/>
      <c r="S251" s="31"/>
    </row>
    <row r="252" spans="1:20" x14ac:dyDescent="0.35">
      <c r="A252" t="str">
        <f t="shared" si="126"/>
        <v>Plastic Film</v>
      </c>
      <c r="B252" s="31">
        <f t="shared" si="127"/>
        <v>0</v>
      </c>
      <c r="C252" s="31">
        <f t="shared" si="129"/>
        <v>0</v>
      </c>
      <c r="D252" s="31">
        <f t="shared" si="130"/>
        <v>0</v>
      </c>
      <c r="E252" s="31">
        <f t="shared" si="130"/>
        <v>0</v>
      </c>
      <c r="F252" s="31">
        <f t="shared" si="130"/>
        <v>4.8600000000000003</v>
      </c>
      <c r="G252" s="31">
        <f t="shared" si="132"/>
        <v>0</v>
      </c>
      <c r="H252" s="31">
        <f t="shared" si="131"/>
        <v>0</v>
      </c>
      <c r="I252" s="31">
        <f t="shared" si="131"/>
        <v>0</v>
      </c>
      <c r="J252" s="31"/>
      <c r="K252" s="31"/>
      <c r="L252" s="31"/>
      <c r="M252" s="31"/>
      <c r="N252" s="31"/>
      <c r="O252" s="31"/>
      <c r="P252" s="48"/>
      <c r="Q252" s="48"/>
      <c r="R252" s="31"/>
      <c r="S252" s="31"/>
    </row>
    <row r="253" spans="1:20" x14ac:dyDescent="0.35">
      <c r="A253" t="str">
        <f t="shared" si="126"/>
        <v xml:space="preserve">Plastic - Non-Recyclable </v>
      </c>
      <c r="B253" s="31">
        <f t="shared" si="127"/>
        <v>0</v>
      </c>
      <c r="C253" s="31">
        <f t="shared" si="129"/>
        <v>0</v>
      </c>
      <c r="D253" s="31">
        <f t="shared" si="130"/>
        <v>0</v>
      </c>
      <c r="E253" s="31">
        <f t="shared" si="130"/>
        <v>0</v>
      </c>
      <c r="F253" s="31">
        <f t="shared" si="130"/>
        <v>0</v>
      </c>
      <c r="G253" s="31">
        <f t="shared" si="132"/>
        <v>0</v>
      </c>
      <c r="H253" s="31">
        <f t="shared" si="131"/>
        <v>0</v>
      </c>
      <c r="I253" s="31">
        <f t="shared" si="131"/>
        <v>0</v>
      </c>
      <c r="J253" s="31"/>
      <c r="K253" s="31"/>
      <c r="L253" s="31"/>
      <c r="M253" s="31"/>
      <c r="N253" s="31"/>
      <c r="O253" s="31"/>
      <c r="P253" s="48"/>
      <c r="Q253" s="48"/>
      <c r="R253" s="31"/>
      <c r="S253" s="31"/>
    </row>
    <row r="254" spans="1:20" x14ac:dyDescent="0.35">
      <c r="A254" t="str">
        <f t="shared" si="126"/>
        <v>Ferrous Cans</v>
      </c>
      <c r="B254" s="31">
        <f t="shared" si="127"/>
        <v>0</v>
      </c>
      <c r="C254" s="31">
        <f t="shared" si="129"/>
        <v>0</v>
      </c>
      <c r="D254" s="31">
        <f t="shared" si="130"/>
        <v>0</v>
      </c>
      <c r="E254" s="31">
        <f t="shared" si="130"/>
        <v>3.1360000000000001</v>
      </c>
      <c r="F254" s="31">
        <f t="shared" si="130"/>
        <v>0</v>
      </c>
      <c r="G254" s="31">
        <f t="shared" si="132"/>
        <v>0</v>
      </c>
      <c r="H254" s="31">
        <f t="shared" si="131"/>
        <v>0</v>
      </c>
      <c r="I254" s="31">
        <f t="shared" si="131"/>
        <v>0</v>
      </c>
      <c r="J254" s="31"/>
      <c r="K254" s="31"/>
      <c r="L254" s="31"/>
      <c r="M254" s="31"/>
      <c r="N254" s="31"/>
      <c r="O254" s="31"/>
      <c r="P254" s="48"/>
      <c r="Q254" s="48"/>
      <c r="R254" s="31"/>
      <c r="S254" s="31"/>
    </row>
    <row r="255" spans="1:20" x14ac:dyDescent="0.35">
      <c r="A255" t="str">
        <f t="shared" si="126"/>
        <v>Ferrous Metal - Other</v>
      </c>
      <c r="B255" s="31">
        <f t="shared" si="127"/>
        <v>0</v>
      </c>
      <c r="C255" s="31">
        <f t="shared" si="129"/>
        <v>0</v>
      </c>
      <c r="D255" s="31">
        <f t="shared" si="130"/>
        <v>0</v>
      </c>
      <c r="E255" s="31">
        <f t="shared" si="130"/>
        <v>0.58799999999999997</v>
      </c>
      <c r="F255" s="31">
        <f t="shared" si="130"/>
        <v>0</v>
      </c>
      <c r="G255" s="31">
        <f t="shared" si="132"/>
        <v>0</v>
      </c>
      <c r="H255" s="31">
        <f t="shared" si="131"/>
        <v>0</v>
      </c>
      <c r="I255" s="31">
        <f t="shared" si="131"/>
        <v>0</v>
      </c>
      <c r="J255" s="31"/>
      <c r="K255" s="31"/>
      <c r="L255" s="31"/>
      <c r="M255" s="31"/>
      <c r="N255" s="31"/>
      <c r="O255" s="31"/>
      <c r="P255" s="48"/>
      <c r="Q255" s="48"/>
      <c r="R255" s="31"/>
      <c r="S255" s="31"/>
    </row>
    <row r="256" spans="1:20" x14ac:dyDescent="0.35">
      <c r="A256" t="str">
        <f t="shared" si="126"/>
        <v>Aluminum Cans</v>
      </c>
      <c r="B256" s="31">
        <f t="shared" si="127"/>
        <v>0</v>
      </c>
      <c r="C256" s="31">
        <f t="shared" si="129"/>
        <v>0</v>
      </c>
      <c r="D256" s="31">
        <f t="shared" si="130"/>
        <v>1.94</v>
      </c>
      <c r="E256" s="31">
        <f t="shared" si="130"/>
        <v>0</v>
      </c>
      <c r="F256" s="31">
        <f t="shared" si="130"/>
        <v>0</v>
      </c>
      <c r="G256" s="31">
        <f t="shared" si="132"/>
        <v>0</v>
      </c>
      <c r="H256" s="31">
        <f t="shared" si="131"/>
        <v>0</v>
      </c>
      <c r="I256" s="31">
        <f t="shared" si="131"/>
        <v>0</v>
      </c>
      <c r="J256" s="31"/>
      <c r="K256" s="31"/>
      <c r="L256" s="31"/>
      <c r="M256" s="31"/>
      <c r="N256" s="31"/>
      <c r="O256" s="31"/>
      <c r="P256" s="48"/>
      <c r="Q256" s="48"/>
      <c r="R256" s="31"/>
      <c r="S256" s="31"/>
    </row>
    <row r="257" spans="1:19" x14ac:dyDescent="0.35">
      <c r="A257" t="str">
        <f t="shared" si="126"/>
        <v>Aluminum - Foil</v>
      </c>
      <c r="B257" s="31">
        <f t="shared" si="127"/>
        <v>0</v>
      </c>
      <c r="C257" s="31">
        <f t="shared" si="129"/>
        <v>0</v>
      </c>
      <c r="D257" s="31">
        <f t="shared" si="130"/>
        <v>0.58199999999999996</v>
      </c>
      <c r="E257" s="31">
        <f t="shared" si="130"/>
        <v>0</v>
      </c>
      <c r="F257" s="31">
        <f t="shared" si="130"/>
        <v>0</v>
      </c>
      <c r="G257" s="31">
        <f t="shared" si="132"/>
        <v>0</v>
      </c>
      <c r="H257" s="31">
        <f t="shared" si="131"/>
        <v>0</v>
      </c>
      <c r="I257" s="31">
        <f t="shared" si="131"/>
        <v>0</v>
      </c>
      <c r="J257" s="31"/>
      <c r="K257" s="31"/>
      <c r="L257" s="31"/>
      <c r="M257" s="31"/>
      <c r="N257" s="31"/>
      <c r="O257" s="31"/>
      <c r="P257" s="48"/>
      <c r="Q257" s="48"/>
      <c r="R257" s="31"/>
      <c r="S257" s="31"/>
    </row>
    <row r="258" spans="1:19" x14ac:dyDescent="0.35">
      <c r="A258" t="str">
        <f t="shared" si="126"/>
        <v>Aluminum - Other</v>
      </c>
      <c r="B258" s="31">
        <f t="shared" si="127"/>
        <v>0</v>
      </c>
      <c r="C258" s="31">
        <f t="shared" si="129"/>
        <v>0</v>
      </c>
      <c r="D258" s="31">
        <f t="shared" si="130"/>
        <v>9.7000000000000003E-7</v>
      </c>
      <c r="E258" s="31">
        <f t="shared" si="130"/>
        <v>0</v>
      </c>
      <c r="F258" s="31">
        <f t="shared" si="130"/>
        <v>0</v>
      </c>
      <c r="G258" s="31">
        <f t="shared" si="132"/>
        <v>0</v>
      </c>
      <c r="H258" s="31">
        <f t="shared" si="131"/>
        <v>0</v>
      </c>
      <c r="I258" s="31">
        <f t="shared" si="131"/>
        <v>0</v>
      </c>
      <c r="J258" s="31"/>
      <c r="K258" s="31"/>
      <c r="L258" s="31"/>
      <c r="M258" s="31"/>
      <c r="N258" s="31"/>
      <c r="O258" s="31"/>
      <c r="P258" s="48"/>
      <c r="Q258" s="48"/>
      <c r="R258" s="31"/>
      <c r="S258" s="31"/>
    </row>
    <row r="259" spans="1:19" x14ac:dyDescent="0.35">
      <c r="A259" t="str">
        <f t="shared" si="126"/>
        <v xml:space="preserve">Ferrous - Non-recyclable </v>
      </c>
      <c r="B259" s="31">
        <f t="shared" si="127"/>
        <v>0</v>
      </c>
      <c r="C259" s="31">
        <f t="shared" si="129"/>
        <v>0</v>
      </c>
      <c r="D259" s="31">
        <f t="shared" si="130"/>
        <v>0</v>
      </c>
      <c r="E259" s="31">
        <f t="shared" si="130"/>
        <v>9.7999999999999993E-7</v>
      </c>
      <c r="F259" s="31">
        <f t="shared" si="130"/>
        <v>0</v>
      </c>
      <c r="G259" s="31">
        <f t="shared" si="132"/>
        <v>0</v>
      </c>
      <c r="H259" s="31">
        <f t="shared" si="131"/>
        <v>0</v>
      </c>
      <c r="I259" s="31">
        <f t="shared" si="131"/>
        <v>0</v>
      </c>
      <c r="J259" s="31"/>
      <c r="K259" s="31"/>
      <c r="L259" s="31"/>
      <c r="M259" s="31"/>
      <c r="N259" s="31"/>
      <c r="O259" s="31"/>
      <c r="P259" s="48"/>
      <c r="Q259" s="48"/>
      <c r="R259" s="31"/>
      <c r="S259" s="31"/>
    </row>
    <row r="260" spans="1:19" ht="15" thickBot="1" x14ac:dyDescent="0.4">
      <c r="A260" t="str">
        <f t="shared" si="126"/>
        <v xml:space="preserve">Al - Non-recyclable </v>
      </c>
      <c r="B260" s="31">
        <f t="shared" si="127"/>
        <v>0</v>
      </c>
      <c r="C260" s="31">
        <f t="shared" si="129"/>
        <v>0</v>
      </c>
      <c r="D260" s="31">
        <f t="shared" si="130"/>
        <v>9.7000000000000003E-7</v>
      </c>
      <c r="E260" s="31">
        <f t="shared" si="130"/>
        <v>0</v>
      </c>
      <c r="F260" s="31">
        <f t="shared" si="130"/>
        <v>0</v>
      </c>
      <c r="G260" s="31">
        <f t="shared" si="132"/>
        <v>0</v>
      </c>
      <c r="H260" s="31">
        <f t="shared" si="131"/>
        <v>0</v>
      </c>
      <c r="I260" s="31">
        <f t="shared" si="131"/>
        <v>0</v>
      </c>
      <c r="J260" s="31"/>
      <c r="K260" s="31"/>
      <c r="L260" s="31"/>
      <c r="M260" s="31"/>
      <c r="N260" s="31"/>
      <c r="O260" s="31"/>
      <c r="P260" s="48"/>
      <c r="Q260" s="48"/>
      <c r="R260" s="31"/>
      <c r="S260" s="31"/>
    </row>
    <row r="261" spans="1:19" x14ac:dyDescent="0.35">
      <c r="A261" t="str">
        <f t="shared" si="126"/>
        <v>Glass - Brown</v>
      </c>
      <c r="B261" s="31">
        <f t="shared" si="127"/>
        <v>0</v>
      </c>
      <c r="C261" s="31">
        <f t="shared" si="129"/>
        <v>0</v>
      </c>
      <c r="D261" s="31">
        <f t="shared" si="130"/>
        <v>0</v>
      </c>
      <c r="E261" s="31">
        <f t="shared" si="130"/>
        <v>0</v>
      </c>
      <c r="F261" s="31">
        <f t="shared" si="130"/>
        <v>0</v>
      </c>
      <c r="G261" s="31">
        <f t="shared" si="132"/>
        <v>0</v>
      </c>
      <c r="H261" s="31">
        <f t="shared" ref="H261:H269" si="133">I217</f>
        <v>0</v>
      </c>
      <c r="I261" s="175">
        <f>IF(Single.Stream!B21="Yes",0,J217)</f>
        <v>0</v>
      </c>
      <c r="J261" s="31"/>
      <c r="K261" s="31"/>
      <c r="L261" s="31"/>
      <c r="M261" s="31"/>
      <c r="N261" s="31"/>
      <c r="O261" s="31"/>
      <c r="P261" s="48">
        <f>J217-I261</f>
        <v>7.0567499999999992</v>
      </c>
      <c r="Q261" s="48"/>
      <c r="R261" s="31"/>
      <c r="S261" s="31"/>
    </row>
    <row r="262" spans="1:19" x14ac:dyDescent="0.35">
      <c r="A262" t="str">
        <f t="shared" si="126"/>
        <v>Glass - Green</v>
      </c>
      <c r="B262" s="31">
        <f t="shared" si="127"/>
        <v>0</v>
      </c>
      <c r="C262" s="31">
        <f t="shared" si="129"/>
        <v>0</v>
      </c>
      <c r="D262" s="31">
        <f t="shared" si="130"/>
        <v>0</v>
      </c>
      <c r="E262" s="31">
        <f t="shared" si="130"/>
        <v>0</v>
      </c>
      <c r="F262" s="31">
        <f t="shared" si="130"/>
        <v>0</v>
      </c>
      <c r="G262" s="31">
        <f t="shared" si="132"/>
        <v>0</v>
      </c>
      <c r="H262" s="31">
        <f t="shared" si="133"/>
        <v>0</v>
      </c>
      <c r="I262" s="176">
        <f>IF(Single.Stream!B22="Yes",0,J218)</f>
        <v>0</v>
      </c>
      <c r="J262" s="31"/>
      <c r="K262" s="31"/>
      <c r="L262" s="31"/>
      <c r="M262" s="31"/>
      <c r="N262" s="31"/>
      <c r="O262" s="31"/>
      <c r="P262" s="48"/>
      <c r="Q262" s="48">
        <f>J218-I262</f>
        <v>3.0108800000000002</v>
      </c>
      <c r="R262" s="31"/>
      <c r="S262" s="31"/>
    </row>
    <row r="263" spans="1:19" ht="15" thickBot="1" x14ac:dyDescent="0.4">
      <c r="A263" t="str">
        <f t="shared" si="126"/>
        <v>Glass - Clear</v>
      </c>
      <c r="B263" s="31">
        <f t="shared" si="127"/>
        <v>0</v>
      </c>
      <c r="C263" s="31">
        <f t="shared" si="129"/>
        <v>0</v>
      </c>
      <c r="D263" s="31">
        <f t="shared" si="130"/>
        <v>0</v>
      </c>
      <c r="E263" s="31">
        <f t="shared" si="130"/>
        <v>0</v>
      </c>
      <c r="F263" s="31">
        <f t="shared" si="130"/>
        <v>0</v>
      </c>
      <c r="G263" s="31">
        <f t="shared" si="132"/>
        <v>0</v>
      </c>
      <c r="H263" s="31">
        <f t="shared" si="133"/>
        <v>0</v>
      </c>
      <c r="I263" s="177">
        <f>IF(Single.Stream!B23="Yes",0,J219)</f>
        <v>0</v>
      </c>
      <c r="J263" s="31"/>
      <c r="K263" s="31"/>
      <c r="L263" s="31"/>
      <c r="M263" s="31"/>
      <c r="N263" s="31"/>
      <c r="O263" s="31"/>
      <c r="P263" s="48"/>
      <c r="Q263" s="48"/>
      <c r="R263" s="31">
        <f>J219-I263</f>
        <v>1.9758899999999999</v>
      </c>
      <c r="S263" s="31"/>
    </row>
    <row r="264" spans="1:19" x14ac:dyDescent="0.35">
      <c r="A264" t="str">
        <f t="shared" si="126"/>
        <v>Mixed Glass</v>
      </c>
      <c r="B264" s="31">
        <f t="shared" si="127"/>
        <v>0</v>
      </c>
      <c r="C264" s="31">
        <f t="shared" si="129"/>
        <v>0</v>
      </c>
      <c r="D264" s="31">
        <f t="shared" si="130"/>
        <v>0</v>
      </c>
      <c r="E264" s="31">
        <f t="shared" si="130"/>
        <v>0</v>
      </c>
      <c r="F264" s="31">
        <f t="shared" si="130"/>
        <v>0</v>
      </c>
      <c r="G264" s="31">
        <f t="shared" si="132"/>
        <v>0</v>
      </c>
      <c r="H264" s="31">
        <f t="shared" si="133"/>
        <v>0</v>
      </c>
      <c r="I264" s="31">
        <f t="shared" ref="I264:I269" si="134">J220</f>
        <v>9.4090000000000007E-7</v>
      </c>
      <c r="J264" s="31"/>
      <c r="K264" s="31"/>
      <c r="L264" s="31"/>
      <c r="M264" s="31"/>
      <c r="N264" s="31"/>
      <c r="O264" s="31"/>
      <c r="P264" s="48"/>
      <c r="Q264" s="48"/>
      <c r="S264" s="31"/>
    </row>
    <row r="265" spans="1:19" x14ac:dyDescent="0.35">
      <c r="A265" t="str">
        <f t="shared" si="126"/>
        <v>Glass - Non-recyclable</v>
      </c>
      <c r="B265" s="31">
        <f t="shared" si="127"/>
        <v>0</v>
      </c>
      <c r="C265" s="31">
        <f t="shared" si="129"/>
        <v>0</v>
      </c>
      <c r="D265" s="31">
        <f t="shared" si="130"/>
        <v>0</v>
      </c>
      <c r="E265" s="31">
        <f t="shared" si="130"/>
        <v>0</v>
      </c>
      <c r="F265" s="31">
        <f t="shared" si="130"/>
        <v>0</v>
      </c>
      <c r="G265" s="31">
        <f t="shared" si="132"/>
        <v>0</v>
      </c>
      <c r="H265" s="31">
        <f t="shared" si="133"/>
        <v>0</v>
      </c>
      <c r="I265" s="31">
        <f t="shared" si="134"/>
        <v>9.4090000000000007E-7</v>
      </c>
      <c r="J265" s="31"/>
      <c r="K265" s="31"/>
      <c r="L265" s="31"/>
      <c r="M265" s="31"/>
      <c r="N265" s="31"/>
      <c r="O265" s="31"/>
      <c r="P265" s="48"/>
      <c r="Q265" s="48"/>
      <c r="R265" s="31"/>
      <c r="S265" s="31"/>
    </row>
    <row r="266" spans="1:19" x14ac:dyDescent="0.35">
      <c r="A266" t="str">
        <f t="shared" si="126"/>
        <v>Misc. Organic</v>
      </c>
      <c r="B266" s="31">
        <f t="shared" si="127"/>
        <v>0</v>
      </c>
      <c r="C266" s="31">
        <f t="shared" si="129"/>
        <v>0</v>
      </c>
      <c r="D266" s="31">
        <f t="shared" si="130"/>
        <v>0</v>
      </c>
      <c r="E266" s="31">
        <f t="shared" si="130"/>
        <v>0</v>
      </c>
      <c r="F266" s="31">
        <f t="shared" si="130"/>
        <v>0</v>
      </c>
      <c r="G266" s="31">
        <f t="shared" si="132"/>
        <v>0</v>
      </c>
      <c r="H266" s="31">
        <f t="shared" si="133"/>
        <v>0</v>
      </c>
      <c r="I266" s="31">
        <f t="shared" si="134"/>
        <v>0</v>
      </c>
      <c r="J266" s="31"/>
      <c r="K266" s="31"/>
      <c r="L266" s="31"/>
      <c r="M266" s="31"/>
      <c r="N266" s="31"/>
      <c r="O266" s="31"/>
      <c r="P266" s="48"/>
      <c r="Q266" s="48"/>
      <c r="R266" s="31"/>
      <c r="S266" s="31"/>
    </row>
    <row r="267" spans="1:19" x14ac:dyDescent="0.35">
      <c r="A267" t="str">
        <f t="shared" si="126"/>
        <v>Misc. Inorganic</v>
      </c>
      <c r="B267" s="31">
        <f t="shared" si="127"/>
        <v>0</v>
      </c>
      <c r="C267" s="31">
        <f t="shared" si="129"/>
        <v>0</v>
      </c>
      <c r="D267" s="31">
        <f t="shared" si="130"/>
        <v>0</v>
      </c>
      <c r="E267" s="31">
        <f t="shared" si="130"/>
        <v>0</v>
      </c>
      <c r="F267" s="31">
        <f t="shared" si="130"/>
        <v>0</v>
      </c>
      <c r="G267" s="31">
        <f t="shared" si="132"/>
        <v>0</v>
      </c>
      <c r="H267" s="31">
        <f t="shared" si="133"/>
        <v>0</v>
      </c>
      <c r="I267" s="31">
        <f t="shared" si="134"/>
        <v>0</v>
      </c>
      <c r="J267" s="31"/>
      <c r="K267" s="31"/>
      <c r="L267" s="31"/>
      <c r="M267" s="31"/>
      <c r="N267" s="31"/>
      <c r="O267" s="31"/>
      <c r="P267" s="48"/>
      <c r="Q267" s="48"/>
      <c r="R267" s="31"/>
      <c r="S267" s="31"/>
    </row>
    <row r="268" spans="1:19" x14ac:dyDescent="0.35">
      <c r="A268" t="str">
        <f t="shared" si="126"/>
        <v>E-waste</v>
      </c>
      <c r="B268" s="31">
        <f t="shared" si="127"/>
        <v>0</v>
      </c>
      <c r="C268" s="31">
        <f t="shared" si="129"/>
        <v>0</v>
      </c>
      <c r="D268" s="31">
        <f t="shared" si="130"/>
        <v>0</v>
      </c>
      <c r="E268" s="31">
        <f t="shared" si="130"/>
        <v>0</v>
      </c>
      <c r="F268" s="31">
        <f t="shared" si="130"/>
        <v>0</v>
      </c>
      <c r="G268" s="31">
        <f t="shared" si="132"/>
        <v>0</v>
      </c>
      <c r="H268" s="31">
        <f t="shared" si="133"/>
        <v>0</v>
      </c>
      <c r="I268" s="31">
        <f t="shared" si="134"/>
        <v>0</v>
      </c>
      <c r="J268" s="31"/>
      <c r="K268" s="31"/>
      <c r="L268" s="31"/>
      <c r="M268" s="31"/>
      <c r="N268" s="31"/>
      <c r="O268" s="31"/>
      <c r="P268" s="48"/>
      <c r="Q268" s="48"/>
      <c r="R268" s="31"/>
      <c r="S268" s="31"/>
    </row>
    <row r="269" spans="1:19" x14ac:dyDescent="0.35">
      <c r="A269" t="str">
        <f t="shared" si="126"/>
        <v>Total</v>
      </c>
      <c r="B269" s="31">
        <f t="shared" si="127"/>
        <v>27.859999999999996</v>
      </c>
      <c r="C269" s="31">
        <f t="shared" si="129"/>
        <v>40.190012959499995</v>
      </c>
      <c r="D269" s="31">
        <f t="shared" si="130"/>
        <v>2.5220019399999996</v>
      </c>
      <c r="E269" s="31">
        <f t="shared" si="130"/>
        <v>3.72400098</v>
      </c>
      <c r="F269" s="31">
        <f t="shared" si="130"/>
        <v>4.8600000000000003</v>
      </c>
      <c r="G269" s="31">
        <f t="shared" si="132"/>
        <v>3.0334430000000001</v>
      </c>
      <c r="H269" s="31">
        <f t="shared" si="133"/>
        <v>3.6205610000000004</v>
      </c>
      <c r="I269" s="31">
        <f t="shared" si="134"/>
        <v>12.053721886299998</v>
      </c>
      <c r="J269" s="31"/>
      <c r="K269" s="31"/>
      <c r="L269" s="31"/>
      <c r="M269" s="31"/>
      <c r="N269" s="31"/>
      <c r="O269" s="31"/>
      <c r="P269" s="48"/>
      <c r="Q269" s="48"/>
      <c r="R269" s="31"/>
      <c r="S269" s="31"/>
    </row>
    <row r="270" spans="1:19" x14ac:dyDescent="0.35">
      <c r="A270" t="s">
        <v>362</v>
      </c>
      <c r="B270" s="31">
        <f>B103</f>
        <v>39.799999999999997</v>
      </c>
      <c r="C270" s="31">
        <f>SUM(B102,B104:B109)</f>
        <v>28.800003</v>
      </c>
      <c r="D270" s="31">
        <f>SUM(B121:B123)</f>
        <v>2.6000010000000002</v>
      </c>
      <c r="E270" s="31">
        <f>SUM(B119:B120)</f>
        <v>3.8000000000000003</v>
      </c>
      <c r="F270" s="31">
        <f>B117</f>
        <v>5.4</v>
      </c>
      <c r="G270" s="31">
        <f>SUM(B111:B112)</f>
        <v>3.1</v>
      </c>
      <c r="H270" s="31">
        <f>B113</f>
        <v>3.7</v>
      </c>
      <c r="I270" s="31">
        <f>SUM(B126:B129)</f>
        <v>12.800000999999998</v>
      </c>
      <c r="J270" s="31"/>
      <c r="K270" s="31"/>
      <c r="L270" s="31"/>
      <c r="M270" s="31"/>
      <c r="N270" s="31"/>
      <c r="O270" s="31"/>
      <c r="P270" s="48"/>
      <c r="Q270" s="48"/>
      <c r="R270" s="31"/>
      <c r="S270" s="31"/>
    </row>
    <row r="271" spans="1:19" x14ac:dyDescent="0.35">
      <c r="A271" t="s">
        <v>361</v>
      </c>
      <c r="B271" s="343">
        <f>B238+C238</f>
        <v>39.638809999999999</v>
      </c>
      <c r="C271" s="343">
        <f>SUM(C237,C239:C244,J237:O243)</f>
        <v>28.411202959500006</v>
      </c>
      <c r="D271" s="343">
        <f>SUM(D256:D258)</f>
        <v>2.5220009699999997</v>
      </c>
      <c r="E271" s="343">
        <f>E254+E255</f>
        <v>3.7240000000000002</v>
      </c>
      <c r="F271" s="343">
        <f>F252</f>
        <v>4.8600000000000003</v>
      </c>
      <c r="G271" s="343">
        <f>G246+G247+S246+T247</f>
        <v>3.0334430000000001</v>
      </c>
      <c r="H271" s="343">
        <f>H248</f>
        <v>3.6205610000000004</v>
      </c>
      <c r="I271" s="343">
        <f>SUM(I261:I264,J261:S265)</f>
        <v>12.043520940899999</v>
      </c>
      <c r="J271" s="31"/>
      <c r="K271" s="31"/>
      <c r="L271" s="31"/>
      <c r="M271" s="31"/>
      <c r="N271" s="31"/>
      <c r="O271" s="31"/>
      <c r="P271" s="48"/>
      <c r="Q271" s="48"/>
      <c r="R271" s="31"/>
      <c r="S271" s="31"/>
    </row>
    <row r="272" spans="1:19" s="281" customFormat="1" x14ac:dyDescent="0.35">
      <c r="A272" s="281" t="s">
        <v>363</v>
      </c>
      <c r="B272" s="281">
        <f>B271/B270</f>
        <v>0.99595</v>
      </c>
      <c r="C272" s="281">
        <f>C271/C270</f>
        <v>0.98650000000000015</v>
      </c>
      <c r="D272" s="281">
        <f t="shared" ref="D272:I272" si="135">D271/D270</f>
        <v>0.96999999999999975</v>
      </c>
      <c r="E272" s="281">
        <f t="shared" si="135"/>
        <v>0.98</v>
      </c>
      <c r="F272" s="281">
        <f t="shared" si="135"/>
        <v>0.9</v>
      </c>
      <c r="G272" s="281">
        <f t="shared" si="135"/>
        <v>0.97853000000000001</v>
      </c>
      <c r="H272" s="281">
        <f t="shared" si="135"/>
        <v>0.97853000000000001</v>
      </c>
      <c r="I272" s="281">
        <f t="shared" si="135"/>
        <v>0.94090000000000007</v>
      </c>
      <c r="P272" s="282"/>
      <c r="Q272" s="282"/>
    </row>
    <row r="273" spans="1:19" x14ac:dyDescent="0.35">
      <c r="B273" t="s">
        <v>146</v>
      </c>
      <c r="C273" s="31" t="s">
        <v>147</v>
      </c>
      <c r="D273" s="31" t="s">
        <v>73</v>
      </c>
      <c r="E273" s="31" t="s">
        <v>74</v>
      </c>
      <c r="F273" s="31" t="s">
        <v>77</v>
      </c>
      <c r="G273" s="31" t="s">
        <v>76</v>
      </c>
      <c r="H273" s="31" t="s">
        <v>75</v>
      </c>
      <c r="I273" s="31" t="s">
        <v>72</v>
      </c>
      <c r="J273" s="31"/>
      <c r="K273" s="31"/>
      <c r="L273" s="31"/>
      <c r="M273" s="31"/>
      <c r="N273" s="31"/>
      <c r="O273" s="31"/>
      <c r="P273" s="48"/>
      <c r="Q273" s="48"/>
      <c r="R273" s="31"/>
      <c r="S273" s="31"/>
    </row>
    <row r="274" spans="1:19" x14ac:dyDescent="0.35">
      <c r="A274" t="s">
        <v>345</v>
      </c>
      <c r="B274" s="346">
        <f>B225/B134</f>
        <v>2.1362827001293272E-2</v>
      </c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48"/>
      <c r="Q274" s="48"/>
      <c r="R274" s="31"/>
      <c r="S274" s="31"/>
    </row>
    <row r="275" spans="1:19" x14ac:dyDescent="0.35"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48"/>
      <c r="Q275" s="48"/>
      <c r="R275" s="31"/>
      <c r="S275" s="31"/>
    </row>
    <row r="276" spans="1:19" x14ac:dyDescent="0.35"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48"/>
      <c r="Q276" s="48"/>
      <c r="R276" s="31"/>
      <c r="S276" s="31"/>
    </row>
    <row r="277" spans="1:19" x14ac:dyDescent="0.35"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48"/>
      <c r="Q277" s="48"/>
      <c r="R277" s="31"/>
      <c r="S277" s="31"/>
    </row>
    <row r="278" spans="1:19" x14ac:dyDescent="0.35">
      <c r="A278" t="s">
        <v>531</v>
      </c>
      <c r="B278">
        <f>Single.Stream!C2</f>
        <v>200</v>
      </c>
      <c r="C278" s="31">
        <f>Single.Stream!C3</f>
        <v>80</v>
      </c>
      <c r="D278" s="31">
        <f>Single.Stream!C4</f>
        <v>1750</v>
      </c>
      <c r="E278" s="31">
        <f>Single.Stream!C5</f>
        <v>200</v>
      </c>
      <c r="F278" s="31">
        <f>Single.Stream!C6</f>
        <v>650</v>
      </c>
      <c r="G278" s="31">
        <f>Single.Stream!C7</f>
        <v>900</v>
      </c>
      <c r="H278" s="31">
        <f>Single.Stream!C8</f>
        <v>400</v>
      </c>
      <c r="I278" s="31">
        <f>Single.Stream!C9</f>
        <v>10</v>
      </c>
      <c r="J278" s="31"/>
      <c r="K278" s="31"/>
      <c r="L278" s="31"/>
      <c r="M278" s="31"/>
      <c r="N278" s="31"/>
      <c r="O278" s="31"/>
      <c r="P278" s="48"/>
      <c r="Q278" s="48"/>
      <c r="R278" s="31"/>
      <c r="S278" s="31"/>
    </row>
    <row r="279" spans="1:19" x14ac:dyDescent="0.35">
      <c r="A279" t="s">
        <v>532</v>
      </c>
      <c r="B279">
        <f>B271/100*B278</f>
        <v>79.277619999999999</v>
      </c>
      <c r="C279">
        <f>C271/100*C278</f>
        <v>22.728962367600005</v>
      </c>
      <c r="D279">
        <f t="shared" ref="D279:H279" si="136">D271/100*D278</f>
        <v>44.135016974999992</v>
      </c>
      <c r="E279">
        <f t="shared" si="136"/>
        <v>7.4480000000000004</v>
      </c>
      <c r="F279">
        <f t="shared" si="136"/>
        <v>31.590000000000003</v>
      </c>
      <c r="G279">
        <f t="shared" si="136"/>
        <v>27.300987000000003</v>
      </c>
      <c r="H279">
        <f t="shared" si="136"/>
        <v>14.482244000000003</v>
      </c>
      <c r="I279">
        <f>I271/100*I278</f>
        <v>1.2043520940899999</v>
      </c>
      <c r="J279" s="31">
        <f>SUM(B279:I279)</f>
        <v>228.16718243669001</v>
      </c>
      <c r="K279" s="31"/>
      <c r="L279" s="31"/>
      <c r="M279" s="31"/>
      <c r="N279" s="31"/>
      <c r="O279" s="31"/>
      <c r="P279" s="48"/>
      <c r="Q279" s="48"/>
      <c r="R279" s="31"/>
      <c r="S279" s="31"/>
    </row>
    <row r="280" spans="1:19" x14ac:dyDescent="0.35"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48"/>
      <c r="Q280" s="48"/>
      <c r="R280" s="31"/>
      <c r="S280" s="31"/>
    </row>
    <row r="281" spans="1:19" x14ac:dyDescent="0.35"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48"/>
      <c r="Q281" s="48"/>
      <c r="R281" s="31"/>
      <c r="S281" s="31"/>
    </row>
    <row r="282" spans="1:19" x14ac:dyDescent="0.35"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48"/>
      <c r="Q282" s="48"/>
      <c r="R282" s="31"/>
      <c r="S282" s="31"/>
    </row>
    <row r="283" spans="1:19" x14ac:dyDescent="0.35"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48"/>
      <c r="Q283" s="48"/>
      <c r="R283" s="31"/>
      <c r="S283" s="31"/>
    </row>
    <row r="284" spans="1:19" x14ac:dyDescent="0.35"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48"/>
      <c r="Q284" s="48"/>
      <c r="R284" s="31"/>
      <c r="S284" s="31"/>
    </row>
    <row r="285" spans="1:19" x14ac:dyDescent="0.35"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48"/>
      <c r="Q285" s="48"/>
      <c r="R285" s="31"/>
      <c r="S285" s="31"/>
    </row>
    <row r="286" spans="1:19" x14ac:dyDescent="0.35"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48"/>
      <c r="Q286" s="48"/>
      <c r="R286" s="31"/>
      <c r="S286" s="31"/>
    </row>
    <row r="287" spans="1:19" x14ac:dyDescent="0.35"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48"/>
      <c r="Q287" s="48"/>
      <c r="R287" s="31"/>
      <c r="S287" s="31"/>
    </row>
    <row r="288" spans="1:19" x14ac:dyDescent="0.35"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48"/>
      <c r="Q288" s="48"/>
      <c r="R288" s="31"/>
      <c r="S288" s="31"/>
    </row>
    <row r="289" spans="3:19" x14ac:dyDescent="0.35"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48"/>
      <c r="Q289" s="48"/>
      <c r="R289" s="31"/>
      <c r="S289" s="31"/>
    </row>
    <row r="290" spans="3:19" x14ac:dyDescent="0.35"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48"/>
      <c r="Q290" s="48"/>
      <c r="R290" s="31"/>
      <c r="S290" s="31"/>
    </row>
    <row r="291" spans="3:19" x14ac:dyDescent="0.35"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48"/>
      <c r="Q291" s="48"/>
      <c r="R291" s="31"/>
      <c r="S291" s="31"/>
    </row>
    <row r="292" spans="3:19" x14ac:dyDescent="0.35"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48"/>
      <c r="Q292" s="48"/>
      <c r="R292" s="31"/>
      <c r="S292" s="31"/>
    </row>
    <row r="293" spans="3:19" x14ac:dyDescent="0.35"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48"/>
      <c r="Q293" s="48"/>
      <c r="R293" s="31"/>
      <c r="S293" s="31"/>
    </row>
    <row r="294" spans="3:19" x14ac:dyDescent="0.35"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48"/>
      <c r="Q294" s="48"/>
      <c r="R294" s="31"/>
      <c r="S294" s="31"/>
    </row>
    <row r="295" spans="3:19" x14ac:dyDescent="0.35"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48"/>
      <c r="Q295" s="48"/>
      <c r="R295" s="31"/>
      <c r="S295" s="31"/>
    </row>
    <row r="296" spans="3:19" x14ac:dyDescent="0.35"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48"/>
      <c r="Q296" s="48"/>
      <c r="R296" s="31"/>
      <c r="S296" s="31"/>
    </row>
    <row r="297" spans="3:19" x14ac:dyDescent="0.35"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48"/>
      <c r="Q297" s="48"/>
      <c r="R297" s="31"/>
      <c r="S297" s="31"/>
    </row>
    <row r="298" spans="3:19" x14ac:dyDescent="0.35"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48"/>
      <c r="Q298" s="48"/>
      <c r="R298" s="31"/>
      <c r="S298" s="31"/>
    </row>
    <row r="299" spans="3:19" x14ac:dyDescent="0.35"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48"/>
      <c r="Q299" s="48"/>
      <c r="R299" s="31"/>
      <c r="S299" s="31"/>
    </row>
    <row r="300" spans="3:19" x14ac:dyDescent="0.35"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48"/>
      <c r="Q300" s="48"/>
      <c r="R300" s="31"/>
      <c r="S300" s="31"/>
    </row>
    <row r="301" spans="3:19" x14ac:dyDescent="0.35"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48"/>
      <c r="Q301" s="48"/>
      <c r="R301" s="31"/>
      <c r="S301" s="31"/>
    </row>
    <row r="302" spans="3:19" x14ac:dyDescent="0.35"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48"/>
      <c r="Q302" s="48"/>
      <c r="R302" s="31"/>
      <c r="S302" s="31"/>
    </row>
    <row r="303" spans="3:19" x14ac:dyDescent="0.35"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48"/>
      <c r="Q303" s="48"/>
      <c r="R303" s="31"/>
      <c r="S303" s="31"/>
    </row>
    <row r="304" spans="3:19" x14ac:dyDescent="0.35"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48"/>
      <c r="Q304" s="48"/>
      <c r="R304" s="31"/>
      <c r="S304" s="31"/>
    </row>
    <row r="305" spans="3:19" x14ac:dyDescent="0.35"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48"/>
      <c r="Q305" s="48"/>
      <c r="R305" s="31"/>
      <c r="S305" s="31"/>
    </row>
    <row r="306" spans="3:19" x14ac:dyDescent="0.35"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48"/>
      <c r="Q306" s="48"/>
      <c r="R306" s="31"/>
      <c r="S306" s="31"/>
    </row>
    <row r="307" spans="3:19" x14ac:dyDescent="0.35"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48"/>
      <c r="Q307" s="48"/>
      <c r="R307" s="31"/>
      <c r="S307" s="31"/>
    </row>
    <row r="308" spans="3:19" x14ac:dyDescent="0.35"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48"/>
      <c r="Q308" s="48"/>
      <c r="R308" s="31"/>
      <c r="S308" s="31"/>
    </row>
    <row r="309" spans="3:19" x14ac:dyDescent="0.35"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48"/>
      <c r="Q309" s="48"/>
      <c r="R309" s="31"/>
      <c r="S309" s="31"/>
    </row>
    <row r="310" spans="3:19" x14ac:dyDescent="0.35"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48"/>
      <c r="Q310" s="48"/>
      <c r="R310" s="31"/>
      <c r="S310" s="31"/>
    </row>
    <row r="311" spans="3:19" x14ac:dyDescent="0.35"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48"/>
      <c r="Q311" s="48"/>
      <c r="R311" s="31"/>
      <c r="S311" s="31"/>
    </row>
    <row r="312" spans="3:19" x14ac:dyDescent="0.35"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48"/>
      <c r="Q312" s="48"/>
      <c r="R312" s="31"/>
      <c r="S312" s="31"/>
    </row>
    <row r="313" spans="3:19" x14ac:dyDescent="0.35"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48"/>
      <c r="Q313" s="48"/>
      <c r="R313" s="31"/>
      <c r="S313" s="31"/>
    </row>
    <row r="314" spans="3:19" x14ac:dyDescent="0.35"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48"/>
      <c r="Q314" s="48"/>
      <c r="R314" s="31"/>
      <c r="S314" s="31"/>
    </row>
    <row r="315" spans="3:19" x14ac:dyDescent="0.35"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48"/>
      <c r="Q315" s="48"/>
      <c r="R315" s="31"/>
      <c r="S315" s="31"/>
    </row>
    <row r="316" spans="3:19" x14ac:dyDescent="0.35"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48"/>
      <c r="Q316" s="48"/>
      <c r="R316" s="31"/>
      <c r="S316" s="31"/>
    </row>
    <row r="317" spans="3:19" x14ac:dyDescent="0.35"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48"/>
      <c r="Q317" s="48"/>
      <c r="R317" s="31"/>
      <c r="S317" s="31"/>
    </row>
    <row r="318" spans="3:19" x14ac:dyDescent="0.35"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48"/>
      <c r="Q318" s="48"/>
      <c r="R318" s="31"/>
      <c r="S318" s="31"/>
    </row>
    <row r="319" spans="3:19" x14ac:dyDescent="0.35"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48"/>
      <c r="Q319" s="48"/>
      <c r="R319" s="31"/>
      <c r="S319" s="31"/>
    </row>
    <row r="320" spans="3:19" x14ac:dyDescent="0.35"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48"/>
      <c r="Q320" s="48"/>
      <c r="R320" s="31"/>
      <c r="S320" s="31"/>
    </row>
    <row r="321" spans="3:19" x14ac:dyDescent="0.35"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48"/>
      <c r="Q321" s="48"/>
      <c r="R321" s="31"/>
      <c r="S321" s="31"/>
    </row>
    <row r="322" spans="3:19" x14ac:dyDescent="0.35"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48"/>
      <c r="Q322" s="48"/>
      <c r="R322" s="31"/>
      <c r="S322" s="31"/>
    </row>
    <row r="323" spans="3:19" x14ac:dyDescent="0.35"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48"/>
      <c r="Q323" s="48"/>
      <c r="R323" s="31"/>
      <c r="S323" s="31"/>
    </row>
    <row r="324" spans="3:19" x14ac:dyDescent="0.35"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48"/>
      <c r="Q324" s="48"/>
      <c r="R324" s="31"/>
      <c r="S324" s="31"/>
    </row>
    <row r="325" spans="3:19" x14ac:dyDescent="0.35"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48"/>
      <c r="Q325" s="48"/>
      <c r="R325" s="31"/>
      <c r="S325" s="31"/>
    </row>
    <row r="326" spans="3:19" x14ac:dyDescent="0.35"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48"/>
      <c r="Q326" s="48"/>
      <c r="R326" s="31"/>
      <c r="S326" s="31"/>
    </row>
    <row r="327" spans="3:19" x14ac:dyDescent="0.35"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48"/>
      <c r="Q327" s="48"/>
      <c r="R327" s="31"/>
      <c r="S327" s="31"/>
    </row>
    <row r="328" spans="3:19" x14ac:dyDescent="0.35"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48"/>
      <c r="Q328" s="48"/>
      <c r="R328" s="31"/>
      <c r="S328" s="31"/>
    </row>
    <row r="329" spans="3:19" x14ac:dyDescent="0.35"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48"/>
      <c r="Q329" s="48"/>
      <c r="R329" s="31"/>
      <c r="S329" s="31"/>
    </row>
    <row r="330" spans="3:19" x14ac:dyDescent="0.35"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48"/>
      <c r="Q330" s="48"/>
      <c r="R330" s="31"/>
      <c r="S330" s="31"/>
    </row>
    <row r="331" spans="3:19" x14ac:dyDescent="0.35"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48"/>
      <c r="Q331" s="48"/>
      <c r="R331" s="31"/>
      <c r="S331" s="31"/>
    </row>
    <row r="332" spans="3:19" x14ac:dyDescent="0.35"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48"/>
      <c r="Q332" s="48"/>
      <c r="R332" s="31"/>
      <c r="S332" s="31"/>
    </row>
    <row r="333" spans="3:19" x14ac:dyDescent="0.35"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48"/>
      <c r="Q333" s="48"/>
      <c r="R333" s="31"/>
      <c r="S333" s="31"/>
    </row>
    <row r="334" spans="3:19" x14ac:dyDescent="0.35"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48"/>
      <c r="Q334" s="48"/>
      <c r="R334" s="31"/>
      <c r="S334" s="31"/>
    </row>
    <row r="335" spans="3:19" x14ac:dyDescent="0.35"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48"/>
      <c r="Q335" s="48"/>
      <c r="R335" s="31"/>
      <c r="S335" s="31"/>
    </row>
    <row r="336" spans="3:19" x14ac:dyDescent="0.35"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48"/>
      <c r="Q336" s="48"/>
      <c r="R336" s="31"/>
      <c r="S336" s="31"/>
    </row>
    <row r="337" spans="3:19" x14ac:dyDescent="0.35"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48"/>
      <c r="Q337" s="48"/>
      <c r="R337" s="31"/>
      <c r="S337" s="31"/>
    </row>
    <row r="338" spans="3:19" x14ac:dyDescent="0.35"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48"/>
      <c r="Q338" s="48"/>
      <c r="R338" s="31"/>
      <c r="S338" s="31"/>
    </row>
    <row r="339" spans="3:19" x14ac:dyDescent="0.35"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48"/>
      <c r="Q339" s="48"/>
      <c r="R339" s="31"/>
      <c r="S339" s="31"/>
    </row>
    <row r="340" spans="3:19" x14ac:dyDescent="0.35"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48"/>
      <c r="Q340" s="48"/>
      <c r="R340" s="31"/>
      <c r="S340" s="31"/>
    </row>
    <row r="341" spans="3:19" x14ac:dyDescent="0.35"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48"/>
      <c r="Q341" s="48"/>
      <c r="R341" s="31"/>
      <c r="S341" s="31"/>
    </row>
    <row r="342" spans="3:19" x14ac:dyDescent="0.35"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48"/>
      <c r="Q342" s="48"/>
      <c r="R342" s="31"/>
      <c r="S342" s="31"/>
    </row>
    <row r="343" spans="3:19" x14ac:dyDescent="0.35"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48"/>
      <c r="Q343" s="48"/>
      <c r="R343" s="31"/>
      <c r="S343" s="31"/>
    </row>
    <row r="344" spans="3:19" x14ac:dyDescent="0.35"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48"/>
      <c r="Q344" s="48"/>
      <c r="R344" s="31"/>
      <c r="S344" s="31"/>
    </row>
    <row r="345" spans="3:19" x14ac:dyDescent="0.35"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48"/>
      <c r="Q345" s="48"/>
      <c r="R345" s="31"/>
      <c r="S345" s="31"/>
    </row>
    <row r="346" spans="3:19" x14ac:dyDescent="0.35"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48"/>
      <c r="Q346" s="48"/>
      <c r="R346" s="31"/>
      <c r="S346" s="31"/>
    </row>
    <row r="347" spans="3:19" x14ac:dyDescent="0.35"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48"/>
      <c r="Q347" s="48"/>
      <c r="R347" s="31"/>
      <c r="S347" s="31"/>
    </row>
    <row r="348" spans="3:19" x14ac:dyDescent="0.35"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48"/>
      <c r="Q348" s="48"/>
      <c r="R348" s="31"/>
      <c r="S348" s="31"/>
    </row>
    <row r="349" spans="3:19" x14ac:dyDescent="0.35"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48"/>
      <c r="Q349" s="48"/>
      <c r="R349" s="31"/>
      <c r="S349" s="31"/>
    </row>
    <row r="350" spans="3:19" x14ac:dyDescent="0.35"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48"/>
      <c r="Q350" s="48"/>
      <c r="R350" s="31"/>
      <c r="S350" s="31"/>
    </row>
    <row r="351" spans="3:19" x14ac:dyDescent="0.35"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48"/>
      <c r="Q351" s="48"/>
      <c r="R351" s="31"/>
      <c r="S351" s="31"/>
    </row>
    <row r="352" spans="3:19" x14ac:dyDescent="0.35"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48"/>
      <c r="Q352" s="48"/>
      <c r="R352" s="31"/>
      <c r="S352" s="31"/>
    </row>
    <row r="353" spans="3:19" x14ac:dyDescent="0.35"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48"/>
      <c r="Q353" s="48"/>
      <c r="R353" s="31"/>
      <c r="S353" s="31"/>
    </row>
    <row r="354" spans="3:19" x14ac:dyDescent="0.35"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48"/>
      <c r="Q354" s="48"/>
      <c r="R354" s="31"/>
      <c r="S354" s="31"/>
    </row>
    <row r="355" spans="3:19" x14ac:dyDescent="0.35"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48"/>
      <c r="Q355" s="48"/>
      <c r="R355" s="31"/>
      <c r="S355" s="31"/>
    </row>
    <row r="356" spans="3:19" x14ac:dyDescent="0.35"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48"/>
      <c r="Q356" s="48"/>
      <c r="R356" s="31"/>
      <c r="S356" s="31"/>
    </row>
    <row r="357" spans="3:19" x14ac:dyDescent="0.35"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48"/>
      <c r="Q357" s="48"/>
      <c r="R357" s="31"/>
      <c r="S357" s="31"/>
    </row>
    <row r="358" spans="3:19" x14ac:dyDescent="0.35"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48"/>
      <c r="Q358" s="48"/>
      <c r="R358" s="31"/>
      <c r="S358" s="31"/>
    </row>
    <row r="359" spans="3:19" x14ac:dyDescent="0.35"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48"/>
      <c r="Q359" s="48"/>
      <c r="R359" s="31"/>
      <c r="S359" s="31"/>
    </row>
    <row r="360" spans="3:19" x14ac:dyDescent="0.35"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48"/>
      <c r="Q360" s="48"/>
      <c r="R360" s="31"/>
      <c r="S360" s="31"/>
    </row>
    <row r="361" spans="3:19" x14ac:dyDescent="0.35"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48"/>
      <c r="Q361" s="48"/>
      <c r="R361" s="31"/>
      <c r="S361" s="31"/>
    </row>
    <row r="362" spans="3:19" x14ac:dyDescent="0.35"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48"/>
      <c r="Q362" s="48"/>
      <c r="R362" s="31"/>
      <c r="S362" s="31"/>
    </row>
    <row r="363" spans="3:19" x14ac:dyDescent="0.35"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48"/>
      <c r="Q363" s="48"/>
      <c r="R363" s="31"/>
      <c r="S363" s="31"/>
    </row>
    <row r="364" spans="3:19" x14ac:dyDescent="0.35"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48"/>
      <c r="Q364" s="48"/>
      <c r="R364" s="31"/>
      <c r="S364" s="31"/>
    </row>
    <row r="365" spans="3:19" x14ac:dyDescent="0.35"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48"/>
      <c r="Q365" s="48"/>
      <c r="R365" s="31"/>
      <c r="S365" s="31"/>
    </row>
    <row r="366" spans="3:19" x14ac:dyDescent="0.35"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48"/>
      <c r="Q366" s="48"/>
      <c r="R366" s="31"/>
      <c r="S366" s="31"/>
    </row>
    <row r="367" spans="3:19" x14ac:dyDescent="0.35"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48"/>
      <c r="Q367" s="48"/>
      <c r="R367" s="31"/>
      <c r="S367" s="31"/>
    </row>
    <row r="368" spans="3:19" x14ac:dyDescent="0.35"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48"/>
      <c r="Q368" s="48"/>
      <c r="R368" s="31"/>
      <c r="S368" s="31"/>
    </row>
    <row r="369" spans="3:19" x14ac:dyDescent="0.35"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48"/>
      <c r="Q369" s="48"/>
      <c r="R369" s="31"/>
      <c r="S369" s="31"/>
    </row>
    <row r="370" spans="3:19" x14ac:dyDescent="0.35"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48"/>
      <c r="Q370" s="48"/>
      <c r="R370" s="31"/>
      <c r="S370" s="31"/>
    </row>
    <row r="371" spans="3:19" x14ac:dyDescent="0.35"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48"/>
      <c r="Q371" s="48"/>
      <c r="R371" s="31"/>
      <c r="S371" s="31"/>
    </row>
    <row r="372" spans="3:19" x14ac:dyDescent="0.35"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48"/>
      <c r="Q372" s="48"/>
      <c r="R372" s="31"/>
      <c r="S372" s="31"/>
    </row>
    <row r="373" spans="3:19" x14ac:dyDescent="0.35"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48"/>
      <c r="Q373" s="48"/>
      <c r="R373" s="31"/>
      <c r="S373" s="31"/>
    </row>
    <row r="374" spans="3:19" x14ac:dyDescent="0.35"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48"/>
      <c r="Q374" s="48"/>
      <c r="R374" s="31"/>
      <c r="S374" s="31"/>
    </row>
    <row r="375" spans="3:19" x14ac:dyDescent="0.35"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48"/>
      <c r="Q375" s="48"/>
      <c r="R375" s="31"/>
      <c r="S375" s="31"/>
    </row>
    <row r="376" spans="3:19" x14ac:dyDescent="0.35"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48"/>
      <c r="Q376" s="48"/>
      <c r="R376" s="31"/>
      <c r="S376" s="31"/>
    </row>
    <row r="377" spans="3:19" x14ac:dyDescent="0.35"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48"/>
      <c r="Q377" s="48"/>
      <c r="R377" s="31"/>
      <c r="S377" s="31"/>
    </row>
    <row r="378" spans="3:19" x14ac:dyDescent="0.35"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48"/>
      <c r="Q378" s="48"/>
      <c r="R378" s="31"/>
      <c r="S378" s="31"/>
    </row>
    <row r="379" spans="3:19" x14ac:dyDescent="0.35"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48"/>
      <c r="Q379" s="48"/>
      <c r="R379" s="31"/>
      <c r="S379" s="31"/>
    </row>
    <row r="380" spans="3:19" x14ac:dyDescent="0.35"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48"/>
      <c r="Q380" s="48"/>
      <c r="R380" s="31"/>
      <c r="S380" s="31"/>
    </row>
    <row r="381" spans="3:19" x14ac:dyDescent="0.35"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48"/>
      <c r="Q381" s="48"/>
      <c r="R381" s="31"/>
      <c r="S381" s="31"/>
    </row>
    <row r="382" spans="3:19" x14ac:dyDescent="0.35"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48"/>
      <c r="Q382" s="48"/>
      <c r="R382" s="31"/>
      <c r="S382" s="31"/>
    </row>
    <row r="383" spans="3:19" x14ac:dyDescent="0.35"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48"/>
      <c r="Q383" s="48"/>
      <c r="R383" s="31"/>
      <c r="S383" s="31"/>
    </row>
    <row r="384" spans="3:19" x14ac:dyDescent="0.35"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48"/>
      <c r="Q384" s="48"/>
      <c r="R384" s="31"/>
      <c r="S384" s="31"/>
    </row>
    <row r="385" spans="3:19" x14ac:dyDescent="0.35"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48"/>
      <c r="Q385" s="48"/>
      <c r="R385" s="31"/>
      <c r="S385" s="31"/>
    </row>
    <row r="386" spans="3:19" x14ac:dyDescent="0.35"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48"/>
      <c r="Q386" s="48"/>
      <c r="R386" s="31"/>
      <c r="S386" s="31"/>
    </row>
    <row r="387" spans="3:19" x14ac:dyDescent="0.35"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48"/>
      <c r="Q387" s="48"/>
      <c r="R387" s="31"/>
      <c r="S387" s="31"/>
    </row>
    <row r="388" spans="3:19" x14ac:dyDescent="0.35"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48"/>
      <c r="Q388" s="48"/>
      <c r="R388" s="31"/>
      <c r="S388" s="31"/>
    </row>
    <row r="389" spans="3:19" x14ac:dyDescent="0.35"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48"/>
      <c r="Q389" s="48"/>
      <c r="R389" s="31"/>
      <c r="S389" s="31"/>
    </row>
    <row r="390" spans="3:19" x14ac:dyDescent="0.35"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48"/>
      <c r="Q390" s="48"/>
      <c r="R390" s="31"/>
      <c r="S390" s="31"/>
    </row>
    <row r="391" spans="3:19" x14ac:dyDescent="0.35"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48"/>
      <c r="Q391" s="48"/>
      <c r="R391" s="31"/>
      <c r="S391" s="31"/>
    </row>
    <row r="392" spans="3:19" x14ac:dyDescent="0.35"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48"/>
      <c r="Q392" s="48"/>
      <c r="R392" s="31"/>
      <c r="S392" s="31"/>
    </row>
    <row r="393" spans="3:19" x14ac:dyDescent="0.35"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48"/>
      <c r="Q393" s="48"/>
      <c r="R393" s="31"/>
      <c r="S393" s="31"/>
    </row>
    <row r="394" spans="3:19" x14ac:dyDescent="0.35"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48"/>
      <c r="Q394" s="48"/>
      <c r="R394" s="31"/>
      <c r="S394" s="31"/>
    </row>
    <row r="395" spans="3:19" x14ac:dyDescent="0.35"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48"/>
      <c r="Q395" s="48"/>
      <c r="R395" s="31"/>
      <c r="S395" s="31"/>
    </row>
    <row r="396" spans="3:19" x14ac:dyDescent="0.35"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48"/>
      <c r="Q396" s="48"/>
      <c r="R396" s="31"/>
      <c r="S396" s="31"/>
    </row>
    <row r="397" spans="3:19" x14ac:dyDescent="0.35"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48"/>
      <c r="Q397" s="48"/>
      <c r="R397" s="31"/>
      <c r="S397" s="31"/>
    </row>
    <row r="398" spans="3:19" x14ac:dyDescent="0.35"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48"/>
      <c r="Q398" s="48"/>
      <c r="R398" s="31"/>
      <c r="S398" s="31"/>
    </row>
    <row r="399" spans="3:19" x14ac:dyDescent="0.35"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48"/>
      <c r="Q399" s="48"/>
      <c r="R399" s="31"/>
      <c r="S399" s="31"/>
    </row>
    <row r="400" spans="3:19" x14ac:dyDescent="0.35"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48"/>
      <c r="Q400" s="48"/>
      <c r="R400" s="31"/>
      <c r="S400" s="31"/>
    </row>
    <row r="401" spans="3:19" x14ac:dyDescent="0.35"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48"/>
      <c r="Q401" s="48"/>
      <c r="R401" s="31"/>
      <c r="S401" s="31"/>
    </row>
    <row r="402" spans="3:19" x14ac:dyDescent="0.35"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48"/>
      <c r="Q402" s="48"/>
      <c r="R402" s="31"/>
      <c r="S402" s="31"/>
    </row>
    <row r="403" spans="3:19" x14ac:dyDescent="0.35"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48"/>
      <c r="Q403" s="48"/>
      <c r="R403" s="31"/>
      <c r="S403" s="31"/>
    </row>
    <row r="404" spans="3:19" x14ac:dyDescent="0.35"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48"/>
      <c r="Q404" s="48"/>
      <c r="R404" s="31"/>
      <c r="S404" s="31"/>
    </row>
    <row r="405" spans="3:19" x14ac:dyDescent="0.35"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48"/>
      <c r="Q405" s="48"/>
      <c r="R405" s="31"/>
      <c r="S405" s="31"/>
    </row>
    <row r="406" spans="3:19" x14ac:dyDescent="0.35"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48"/>
      <c r="Q406" s="48"/>
      <c r="R406" s="31"/>
      <c r="S406" s="31"/>
    </row>
    <row r="407" spans="3:19" x14ac:dyDescent="0.35"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48"/>
      <c r="Q407" s="48"/>
      <c r="R407" s="31"/>
      <c r="S407" s="31"/>
    </row>
    <row r="408" spans="3:19" x14ac:dyDescent="0.35"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48"/>
      <c r="Q408" s="48"/>
      <c r="R408" s="31"/>
      <c r="S408" s="31"/>
    </row>
    <row r="409" spans="3:19" x14ac:dyDescent="0.35"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48"/>
      <c r="Q409" s="48"/>
      <c r="R409" s="31"/>
      <c r="S409" s="31"/>
    </row>
    <row r="410" spans="3:19" x14ac:dyDescent="0.35"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48"/>
      <c r="Q410" s="48"/>
      <c r="R410" s="31"/>
      <c r="S410" s="31"/>
    </row>
    <row r="411" spans="3:19" x14ac:dyDescent="0.35"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48"/>
      <c r="Q411" s="48"/>
      <c r="R411" s="31"/>
      <c r="S411" s="31"/>
    </row>
    <row r="412" spans="3:19" x14ac:dyDescent="0.35"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48"/>
      <c r="Q412" s="48"/>
      <c r="R412" s="31"/>
      <c r="S412" s="31"/>
    </row>
    <row r="413" spans="3:19" x14ac:dyDescent="0.35"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48"/>
      <c r="Q413" s="48"/>
      <c r="R413" s="31"/>
      <c r="S413" s="31"/>
    </row>
    <row r="414" spans="3:19" x14ac:dyDescent="0.35"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48"/>
      <c r="Q414" s="48"/>
      <c r="R414" s="31"/>
      <c r="S414" s="31"/>
    </row>
    <row r="415" spans="3:19" x14ac:dyDescent="0.35"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48"/>
      <c r="Q415" s="48"/>
      <c r="R415" s="31"/>
      <c r="S415" s="31"/>
    </row>
    <row r="416" spans="3:19" x14ac:dyDescent="0.35"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48"/>
      <c r="Q416" s="48"/>
      <c r="R416" s="31"/>
      <c r="S416" s="31"/>
    </row>
    <row r="417" spans="3:19" x14ac:dyDescent="0.35"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48"/>
      <c r="Q417" s="48"/>
      <c r="R417" s="31"/>
      <c r="S417" s="31"/>
    </row>
    <row r="418" spans="3:19" x14ac:dyDescent="0.35"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48"/>
      <c r="Q418" s="48"/>
      <c r="R418" s="31"/>
      <c r="S418" s="31"/>
    </row>
    <row r="419" spans="3:19" x14ac:dyDescent="0.35"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48"/>
      <c r="Q419" s="48"/>
      <c r="R419" s="31"/>
      <c r="S419" s="31"/>
    </row>
    <row r="420" spans="3:19" x14ac:dyDescent="0.35"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48"/>
      <c r="Q420" s="48"/>
      <c r="R420" s="31"/>
      <c r="S420" s="31"/>
    </row>
    <row r="421" spans="3:19" x14ac:dyDescent="0.35"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48"/>
      <c r="Q421" s="48"/>
      <c r="R421" s="31"/>
      <c r="S421" s="31"/>
    </row>
    <row r="422" spans="3:19" x14ac:dyDescent="0.35"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48"/>
      <c r="Q422" s="48"/>
      <c r="R422" s="31"/>
      <c r="S422" s="31"/>
    </row>
    <row r="423" spans="3:19" x14ac:dyDescent="0.35"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48"/>
      <c r="Q423" s="48"/>
      <c r="R423" s="31"/>
      <c r="S423" s="31"/>
    </row>
    <row r="424" spans="3:19" x14ac:dyDescent="0.35"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48"/>
      <c r="Q424" s="48"/>
      <c r="R424" s="31"/>
      <c r="S424" s="31"/>
    </row>
    <row r="425" spans="3:19" x14ac:dyDescent="0.35"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48"/>
      <c r="Q425" s="48"/>
      <c r="R425" s="31"/>
      <c r="S425" s="31"/>
    </row>
    <row r="426" spans="3:19" x14ac:dyDescent="0.35"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48"/>
      <c r="Q426" s="48"/>
      <c r="R426" s="31"/>
      <c r="S426" s="31"/>
    </row>
    <row r="427" spans="3:19" x14ac:dyDescent="0.35"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48"/>
      <c r="Q427" s="48"/>
      <c r="R427" s="31"/>
      <c r="S427" s="31"/>
    </row>
    <row r="428" spans="3:19" x14ac:dyDescent="0.35"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48"/>
      <c r="Q428" s="48"/>
      <c r="R428" s="31"/>
      <c r="S428" s="31"/>
    </row>
    <row r="429" spans="3:19" x14ac:dyDescent="0.35"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48"/>
      <c r="Q429" s="48"/>
      <c r="R429" s="31"/>
      <c r="S429" s="31"/>
    </row>
    <row r="430" spans="3:19" x14ac:dyDescent="0.35"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48"/>
      <c r="Q430" s="48"/>
      <c r="R430" s="31"/>
      <c r="S430" s="31"/>
    </row>
    <row r="431" spans="3:19" x14ac:dyDescent="0.35"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48"/>
      <c r="Q431" s="48"/>
      <c r="R431" s="31"/>
      <c r="S431" s="31"/>
    </row>
    <row r="432" spans="3:19" x14ac:dyDescent="0.35"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48"/>
      <c r="Q432" s="48"/>
      <c r="R432" s="31"/>
      <c r="S432" s="31"/>
    </row>
    <row r="433" spans="3:19" x14ac:dyDescent="0.35"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48"/>
      <c r="Q433" s="48"/>
      <c r="R433" s="31"/>
      <c r="S433" s="31"/>
    </row>
    <row r="434" spans="3:19" x14ac:dyDescent="0.35"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48"/>
      <c r="Q434" s="48"/>
      <c r="R434" s="31"/>
      <c r="S434" s="31"/>
    </row>
    <row r="435" spans="3:19" x14ac:dyDescent="0.35"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48"/>
      <c r="Q435" s="48"/>
      <c r="R435" s="31"/>
      <c r="S435" s="31"/>
    </row>
    <row r="436" spans="3:19" x14ac:dyDescent="0.35"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48"/>
      <c r="Q436" s="48"/>
      <c r="R436" s="31"/>
      <c r="S436" s="31"/>
    </row>
    <row r="437" spans="3:19" x14ac:dyDescent="0.35"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48"/>
      <c r="Q437" s="48"/>
      <c r="R437" s="31"/>
      <c r="S437" s="31"/>
    </row>
    <row r="438" spans="3:19" x14ac:dyDescent="0.35"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48"/>
      <c r="Q438" s="48"/>
      <c r="R438" s="31"/>
      <c r="S438" s="31"/>
    </row>
    <row r="439" spans="3:19" x14ac:dyDescent="0.35"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48"/>
      <c r="Q439" s="48"/>
      <c r="R439" s="31"/>
      <c r="S439" s="31"/>
    </row>
    <row r="440" spans="3:19" x14ac:dyDescent="0.35"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48"/>
      <c r="Q440" s="48"/>
      <c r="R440" s="31"/>
      <c r="S440" s="31"/>
    </row>
    <row r="441" spans="3:19" x14ac:dyDescent="0.35"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48"/>
      <c r="Q441" s="48"/>
      <c r="R441" s="31"/>
      <c r="S441" s="31"/>
    </row>
    <row r="442" spans="3:19" x14ac:dyDescent="0.35"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48"/>
      <c r="Q442" s="48"/>
      <c r="R442" s="31"/>
      <c r="S442" s="31"/>
    </row>
    <row r="443" spans="3:19" x14ac:dyDescent="0.35"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48"/>
      <c r="Q443" s="48"/>
      <c r="R443" s="31"/>
      <c r="S443" s="31"/>
    </row>
    <row r="444" spans="3:19" x14ac:dyDescent="0.35"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48"/>
      <c r="Q444" s="48"/>
      <c r="R444" s="31"/>
      <c r="S444" s="31"/>
    </row>
    <row r="445" spans="3:19" x14ac:dyDescent="0.35"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48"/>
      <c r="Q445" s="48"/>
      <c r="R445" s="31"/>
      <c r="S445" s="31"/>
    </row>
    <row r="446" spans="3:19" x14ac:dyDescent="0.35"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48"/>
      <c r="Q446" s="48"/>
      <c r="R446" s="31"/>
      <c r="S446" s="31"/>
    </row>
    <row r="447" spans="3:19" x14ac:dyDescent="0.35"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48"/>
      <c r="Q447" s="48"/>
      <c r="R447" s="31"/>
      <c r="S447" s="31"/>
    </row>
    <row r="448" spans="3:19" x14ac:dyDescent="0.35"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48"/>
      <c r="Q448" s="48"/>
      <c r="R448" s="31"/>
      <c r="S448" s="31"/>
    </row>
    <row r="449" spans="3:19" x14ac:dyDescent="0.35"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48"/>
      <c r="Q449" s="48"/>
      <c r="R449" s="31"/>
      <c r="S449" s="31"/>
    </row>
    <row r="450" spans="3:19" x14ac:dyDescent="0.35"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48"/>
      <c r="Q450" s="48"/>
      <c r="R450" s="31"/>
      <c r="S450" s="31"/>
    </row>
    <row r="451" spans="3:19" x14ac:dyDescent="0.35"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48"/>
      <c r="Q451" s="48"/>
      <c r="R451" s="31"/>
      <c r="S451" s="31"/>
    </row>
    <row r="452" spans="3:19" x14ac:dyDescent="0.35"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48"/>
      <c r="Q452" s="48"/>
      <c r="R452" s="31"/>
      <c r="S452" s="31"/>
    </row>
    <row r="453" spans="3:19" x14ac:dyDescent="0.35"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48"/>
      <c r="Q453" s="48"/>
      <c r="R453" s="31"/>
      <c r="S453" s="31"/>
    </row>
    <row r="454" spans="3:19" x14ac:dyDescent="0.35"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48"/>
      <c r="Q454" s="48"/>
      <c r="R454" s="31"/>
      <c r="S454" s="31"/>
    </row>
    <row r="455" spans="3:19" x14ac:dyDescent="0.35"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48"/>
      <c r="Q455" s="48"/>
      <c r="R455" s="31"/>
      <c r="S455" s="31"/>
    </row>
    <row r="456" spans="3:19" x14ac:dyDescent="0.35"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48"/>
      <c r="Q456" s="48"/>
      <c r="R456" s="31"/>
      <c r="S456" s="31"/>
    </row>
    <row r="457" spans="3:19" x14ac:dyDescent="0.35"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48"/>
      <c r="Q457" s="48"/>
      <c r="R457" s="31"/>
      <c r="S457" s="31"/>
    </row>
    <row r="458" spans="3:19" x14ac:dyDescent="0.35"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48"/>
      <c r="Q458" s="48"/>
      <c r="R458" s="31"/>
      <c r="S458" s="31"/>
    </row>
    <row r="459" spans="3:19" x14ac:dyDescent="0.35"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48"/>
      <c r="Q459" s="48"/>
      <c r="R459" s="31"/>
      <c r="S459" s="31"/>
    </row>
    <row r="460" spans="3:19" x14ac:dyDescent="0.35"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48"/>
      <c r="Q460" s="48"/>
      <c r="R460" s="31"/>
      <c r="S460" s="31"/>
    </row>
    <row r="461" spans="3:19" x14ac:dyDescent="0.35"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48"/>
      <c r="Q461" s="48"/>
      <c r="R461" s="31"/>
      <c r="S461" s="31"/>
    </row>
    <row r="462" spans="3:19" x14ac:dyDescent="0.35"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48"/>
      <c r="Q462" s="48"/>
      <c r="R462" s="31"/>
      <c r="S462" s="31"/>
    </row>
    <row r="463" spans="3:19" x14ac:dyDescent="0.35"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48"/>
      <c r="Q463" s="48"/>
      <c r="R463" s="31"/>
      <c r="S463" s="31"/>
    </row>
    <row r="464" spans="3:19" x14ac:dyDescent="0.35"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48"/>
      <c r="Q464" s="48"/>
      <c r="R464" s="31"/>
      <c r="S464" s="31"/>
    </row>
    <row r="465" spans="3:19" x14ac:dyDescent="0.35"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48"/>
      <c r="Q465" s="48"/>
      <c r="R465" s="31"/>
      <c r="S465" s="31"/>
    </row>
    <row r="466" spans="3:19" x14ac:dyDescent="0.35"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48"/>
      <c r="Q466" s="48"/>
      <c r="R466" s="31"/>
      <c r="S466" s="31"/>
    </row>
    <row r="467" spans="3:19" x14ac:dyDescent="0.35"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48"/>
      <c r="Q467" s="48"/>
      <c r="R467" s="31"/>
      <c r="S467" s="31"/>
    </row>
    <row r="468" spans="3:19" x14ac:dyDescent="0.35"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48"/>
      <c r="Q468" s="48"/>
      <c r="R468" s="31"/>
      <c r="S468" s="31"/>
    </row>
    <row r="469" spans="3:19" x14ac:dyDescent="0.35"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48"/>
      <c r="Q469" s="48"/>
      <c r="R469" s="31"/>
      <c r="S469" s="31"/>
    </row>
    <row r="470" spans="3:19" x14ac:dyDescent="0.35"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48"/>
      <c r="Q470" s="48"/>
      <c r="R470" s="31"/>
      <c r="S470" s="31"/>
    </row>
    <row r="471" spans="3:19" x14ac:dyDescent="0.35"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48"/>
      <c r="Q471" s="48"/>
      <c r="R471" s="31"/>
      <c r="S471" s="31"/>
    </row>
    <row r="472" spans="3:19" x14ac:dyDescent="0.35"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48"/>
      <c r="Q472" s="48"/>
      <c r="R472" s="31"/>
      <c r="S472" s="31"/>
    </row>
    <row r="473" spans="3:19" x14ac:dyDescent="0.35"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48"/>
      <c r="Q473" s="48"/>
      <c r="R473" s="31"/>
      <c r="S473" s="31"/>
    </row>
    <row r="474" spans="3:19" x14ac:dyDescent="0.35"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48"/>
      <c r="Q474" s="48"/>
      <c r="R474" s="31"/>
      <c r="S474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O123"/>
  <sheetViews>
    <sheetView workbookViewId="0">
      <selection activeCell="A4" sqref="A4:C4"/>
    </sheetView>
  </sheetViews>
  <sheetFormatPr defaultRowHeight="14.5" x14ac:dyDescent="0.35"/>
  <cols>
    <col min="1" max="1" width="34" bestFit="1" customWidth="1"/>
    <col min="2" max="2" width="20.81640625" bestFit="1" customWidth="1"/>
    <col min="3" max="3" width="16.54296875" customWidth="1"/>
    <col min="4" max="4" width="22.54296875" bestFit="1" customWidth="1"/>
    <col min="5" max="5" width="14.54296875" bestFit="1" customWidth="1"/>
    <col min="6" max="6" width="15.7265625" bestFit="1" customWidth="1"/>
    <col min="7" max="7" width="16.453125" bestFit="1" customWidth="1"/>
    <col min="8" max="8" width="19.1796875" bestFit="1" customWidth="1"/>
    <col min="9" max="9" width="14.1796875" bestFit="1" customWidth="1"/>
    <col min="10" max="10" width="18.7265625" bestFit="1" customWidth="1"/>
    <col min="11" max="11" width="12.26953125" bestFit="1" customWidth="1"/>
    <col min="12" max="12" width="11.54296875" bestFit="1" customWidth="1"/>
    <col min="13" max="13" width="16.26953125" bestFit="1" customWidth="1"/>
    <col min="14" max="14" width="23.453125" bestFit="1" customWidth="1"/>
    <col min="15" max="15" width="13.54296875" bestFit="1" customWidth="1"/>
    <col min="16" max="16" width="17.54296875" bestFit="1" customWidth="1"/>
    <col min="17" max="18" width="12.7265625" bestFit="1" customWidth="1"/>
    <col min="19" max="19" width="17" bestFit="1" customWidth="1"/>
    <col min="20" max="20" width="12.26953125" bestFit="1" customWidth="1"/>
    <col min="21" max="22" width="12.7265625" bestFit="1" customWidth="1"/>
    <col min="23" max="23" width="20.26953125" bestFit="1" customWidth="1"/>
    <col min="24" max="24" width="19.26953125" bestFit="1" customWidth="1"/>
    <col min="25" max="25" width="19.453125" bestFit="1" customWidth="1"/>
    <col min="26" max="26" width="16.1796875" bestFit="1" customWidth="1"/>
    <col min="27" max="27" width="18.54296875" bestFit="1" customWidth="1"/>
    <col min="28" max="28" width="14.1796875" bestFit="1" customWidth="1"/>
    <col min="29" max="30" width="12.453125" bestFit="1" customWidth="1"/>
    <col min="31" max="31" width="14" bestFit="1" customWidth="1"/>
    <col min="32" max="32" width="12.7265625" bestFit="1" customWidth="1"/>
    <col min="33" max="33" width="9" bestFit="1" customWidth="1"/>
    <col min="34" max="42" width="20.453125" bestFit="1" customWidth="1"/>
    <col min="43" max="43" width="21.453125" bestFit="1" customWidth="1"/>
    <col min="44" max="44" width="21.1796875" hidden="1" customWidth="1"/>
    <col min="45" max="45" width="16.1796875" bestFit="1" customWidth="1"/>
    <col min="46" max="46" width="17.453125" bestFit="1" customWidth="1"/>
    <col min="47" max="47" width="12.7265625" bestFit="1" customWidth="1"/>
    <col min="48" max="48" width="11.54296875" bestFit="1" customWidth="1"/>
    <col min="49" max="53" width="12.7265625" bestFit="1" customWidth="1"/>
    <col min="54" max="54" width="12.453125" bestFit="1" customWidth="1"/>
    <col min="55" max="55" width="12.7265625" bestFit="1" customWidth="1"/>
    <col min="56" max="56" width="12.26953125" bestFit="1" customWidth="1"/>
    <col min="57" max="62" width="12.7265625" bestFit="1" customWidth="1"/>
    <col min="63" max="63" width="12.26953125" bestFit="1" customWidth="1"/>
    <col min="64" max="64" width="12.7265625" bestFit="1" customWidth="1"/>
    <col min="65" max="65" width="11.81640625" bestFit="1" customWidth="1"/>
    <col min="66" max="66" width="20.26953125" bestFit="1" customWidth="1"/>
    <col min="67" max="67" width="19.26953125" bestFit="1" customWidth="1"/>
    <col min="68" max="68" width="19.453125" bestFit="1" customWidth="1"/>
    <col min="69" max="69" width="16.1796875" bestFit="1" customWidth="1"/>
    <col min="70" max="70" width="18.54296875" bestFit="1" customWidth="1"/>
    <col min="71" max="71" width="14.1796875" bestFit="1" customWidth="1"/>
    <col min="72" max="72" width="14" customWidth="1"/>
    <col min="73" max="73" width="12.7265625" bestFit="1" customWidth="1"/>
    <col min="74" max="74" width="14" bestFit="1" customWidth="1"/>
    <col min="75" max="75" width="25.1796875" bestFit="1" customWidth="1"/>
    <col min="76" max="84" width="22.54296875" bestFit="1" customWidth="1"/>
    <col min="85" max="85" width="23.54296875" bestFit="1" customWidth="1"/>
    <col min="86" max="86" width="15.7265625" customWidth="1"/>
    <col min="87" max="87" width="12.54296875" bestFit="1" customWidth="1"/>
    <col min="88" max="88" width="15.1796875" bestFit="1" customWidth="1"/>
    <col min="89" max="90" width="12.26953125" bestFit="1" customWidth="1"/>
    <col min="91" max="91" width="15.26953125" bestFit="1" customWidth="1"/>
    <col min="100" max="100" width="16.81640625" customWidth="1"/>
    <col min="101" max="101" width="15.54296875" customWidth="1"/>
    <col min="106" max="106" width="16" customWidth="1"/>
    <col min="111" max="111" width="13.453125" customWidth="1"/>
    <col min="118" max="118" width="10.453125" customWidth="1"/>
  </cols>
  <sheetData>
    <row r="1" spans="1:90" x14ac:dyDescent="0.35">
      <c r="A1" s="2" t="s">
        <v>228</v>
      </c>
    </row>
    <row r="2" spans="1:90" x14ac:dyDescent="0.35">
      <c r="A2" s="13" t="s">
        <v>94</v>
      </c>
      <c r="B2" s="9">
        <v>1000</v>
      </c>
      <c r="C2" s="9" t="s">
        <v>95</v>
      </c>
    </row>
    <row r="3" spans="1:90" ht="32.25" customHeight="1" x14ac:dyDescent="0.35">
      <c r="A3" t="s">
        <v>50</v>
      </c>
      <c r="B3" s="9">
        <v>0.74570000000000003</v>
      </c>
      <c r="C3" s="9" t="s">
        <v>51</v>
      </c>
    </row>
    <row r="4" spans="1:90" x14ac:dyDescent="0.35">
      <c r="A4" t="s">
        <v>198</v>
      </c>
      <c r="B4" s="130">
        <f>2000/2.205</f>
        <v>907.02947845804988</v>
      </c>
      <c r="C4" t="s">
        <v>95</v>
      </c>
    </row>
    <row r="5" spans="1:90" ht="16.5" x14ac:dyDescent="0.35">
      <c r="A5" t="s">
        <v>212</v>
      </c>
      <c r="B5">
        <v>4046</v>
      </c>
      <c r="C5" t="s">
        <v>215</v>
      </c>
    </row>
    <row r="6" spans="1:90" s="9" customFormat="1" ht="16.5" x14ac:dyDescent="0.35">
      <c r="A6" s="9" t="s">
        <v>214</v>
      </c>
      <c r="B6" s="9">
        <v>9.2902999999999999E-2</v>
      </c>
      <c r="C6" s="9" t="s">
        <v>215</v>
      </c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350" t="s">
        <v>29</v>
      </c>
      <c r="AR6" s="350"/>
      <c r="AS6" s="350"/>
      <c r="AT6" s="350"/>
      <c r="AU6" s="350"/>
      <c r="AV6" s="350"/>
      <c r="AW6" s="350"/>
      <c r="AX6" s="350"/>
      <c r="AY6" s="350"/>
      <c r="AZ6" s="350"/>
      <c r="BA6" s="350"/>
      <c r="BB6" s="350"/>
      <c r="BC6" s="350"/>
      <c r="BD6" s="350"/>
      <c r="BE6" s="350"/>
      <c r="BF6" s="350"/>
      <c r="BG6" s="350"/>
      <c r="BH6" s="350"/>
      <c r="BI6" s="350"/>
      <c r="BJ6" s="350"/>
      <c r="BK6" s="350"/>
      <c r="BL6" s="350"/>
      <c r="BM6" s="350"/>
      <c r="BN6" s="350"/>
      <c r="BO6" s="350"/>
      <c r="BP6" s="350"/>
      <c r="BQ6" s="350"/>
      <c r="BR6" s="350"/>
      <c r="BS6" s="350"/>
      <c r="BT6" s="350"/>
      <c r="BU6" s="350"/>
      <c r="BV6" s="350"/>
      <c r="BW6" s="350"/>
      <c r="BX6" s="350"/>
      <c r="BY6" s="350"/>
      <c r="BZ6" s="350"/>
      <c r="CA6" s="350"/>
      <c r="CB6" s="350"/>
      <c r="CC6" s="350"/>
      <c r="CD6" s="350"/>
      <c r="CE6" s="350"/>
      <c r="CF6" s="350" t="s">
        <v>28</v>
      </c>
      <c r="CG6" s="350"/>
      <c r="CH6" s="350"/>
      <c r="CI6" s="350"/>
      <c r="CJ6" s="350"/>
      <c r="CK6" s="29"/>
      <c r="CL6" s="29"/>
    </row>
    <row r="7" spans="1:90" s="9" customFormat="1" ht="16.5" x14ac:dyDescent="0.35">
      <c r="A7" s="13" t="s">
        <v>504</v>
      </c>
      <c r="B7" s="13">
        <v>10000</v>
      </c>
      <c r="C7" s="9" t="s">
        <v>215</v>
      </c>
    </row>
    <row r="8" spans="1:90" s="9" customFormat="1" x14ac:dyDescent="0.35">
      <c r="A8" s="13"/>
      <c r="B8" s="13"/>
    </row>
    <row r="9" spans="1:90" s="9" customFormat="1" x14ac:dyDescent="0.35">
      <c r="A9" s="25" t="s">
        <v>229</v>
      </c>
      <c r="E9"/>
      <c r="F9"/>
      <c r="G9"/>
    </row>
    <row r="10" spans="1:90" x14ac:dyDescent="0.35">
      <c r="A10" s="5" t="s">
        <v>2</v>
      </c>
      <c r="B10" s="9" t="s">
        <v>3</v>
      </c>
      <c r="C10" s="208">
        <v>9</v>
      </c>
      <c r="D10" s="9"/>
    </row>
    <row r="11" spans="1:90" x14ac:dyDescent="0.35">
      <c r="A11" s="5" t="s">
        <v>4</v>
      </c>
      <c r="B11" s="9" t="s">
        <v>5</v>
      </c>
      <c r="C11" s="208">
        <v>2</v>
      </c>
      <c r="D11" s="9"/>
    </row>
    <row r="12" spans="1:90" x14ac:dyDescent="0.35">
      <c r="A12" s="5" t="s">
        <v>8</v>
      </c>
      <c r="B12" s="9" t="s">
        <v>9</v>
      </c>
      <c r="C12" s="208">
        <v>260</v>
      </c>
      <c r="D12" s="9"/>
    </row>
    <row r="13" spans="1:90" x14ac:dyDescent="0.35">
      <c r="A13" t="s">
        <v>102</v>
      </c>
      <c r="B13" t="s">
        <v>103</v>
      </c>
      <c r="C13" s="118">
        <v>0.33333333333333337</v>
      </c>
    </row>
    <row r="14" spans="1:90" x14ac:dyDescent="0.35">
      <c r="A14" t="s">
        <v>96</v>
      </c>
      <c r="B14" t="s">
        <v>97</v>
      </c>
      <c r="C14" s="117">
        <v>0.5</v>
      </c>
      <c r="D14" s="9"/>
    </row>
    <row r="15" spans="1:90" x14ac:dyDescent="0.35">
      <c r="C15" s="212" t="s">
        <v>235</v>
      </c>
      <c r="D15" s="207" t="s">
        <v>236</v>
      </c>
    </row>
    <row r="16" spans="1:90" x14ac:dyDescent="0.35">
      <c r="A16" t="s">
        <v>98</v>
      </c>
      <c r="B16" t="s">
        <v>99</v>
      </c>
      <c r="C16" s="214">
        <v>10</v>
      </c>
      <c r="D16" s="213">
        <f>C16*(1+$C$14)*(1+$C$13)</f>
        <v>20.000000000000004</v>
      </c>
    </row>
    <row r="17" spans="1:94" x14ac:dyDescent="0.35">
      <c r="A17" t="s">
        <v>100</v>
      </c>
      <c r="B17" t="s">
        <v>101</v>
      </c>
      <c r="C17" s="214">
        <v>12</v>
      </c>
      <c r="D17" s="213">
        <f>C17*(1+$C$14)*(1+$C$13)</f>
        <v>24.000000000000004</v>
      </c>
    </row>
    <row r="19" spans="1:94" x14ac:dyDescent="0.35">
      <c r="A19" s="2" t="s">
        <v>230</v>
      </c>
      <c r="G19" s="32"/>
    </row>
    <row r="20" spans="1:94" ht="16.5" x14ac:dyDescent="0.35">
      <c r="A20" s="9" t="s">
        <v>36</v>
      </c>
      <c r="B20" s="9" t="s">
        <v>37</v>
      </c>
      <c r="C20" s="209">
        <v>24.376000000000001</v>
      </c>
      <c r="G20" s="32"/>
    </row>
    <row r="21" spans="1:94" ht="16.5" x14ac:dyDescent="0.35">
      <c r="A21" s="9" t="s">
        <v>353</v>
      </c>
      <c r="B21" s="9" t="s">
        <v>38</v>
      </c>
      <c r="C21" s="210">
        <v>0.04</v>
      </c>
      <c r="G21" s="32"/>
    </row>
    <row r="22" spans="1:94" ht="16.5" x14ac:dyDescent="0.35">
      <c r="A22" s="9" t="s">
        <v>6</v>
      </c>
      <c r="B22" s="9" t="s">
        <v>39</v>
      </c>
      <c r="C22" s="211">
        <f>[1]!offElec</f>
        <v>0.51019655838506572</v>
      </c>
      <c r="G22" s="32"/>
    </row>
    <row r="23" spans="1:94" ht="16.5" x14ac:dyDescent="0.35">
      <c r="A23" s="9" t="s">
        <v>7</v>
      </c>
      <c r="B23" s="9" t="s">
        <v>39</v>
      </c>
      <c r="C23" s="211">
        <f>[1]!whElec</f>
        <v>2.0242712004364689E-2</v>
      </c>
      <c r="G23" s="32"/>
    </row>
    <row r="24" spans="1:94" x14ac:dyDescent="0.35">
      <c r="D24" s="9"/>
      <c r="G24" s="3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x14ac:dyDescent="0.35">
      <c r="A25" s="14" t="s">
        <v>483</v>
      </c>
      <c r="B25" s="9"/>
      <c r="C25" s="211"/>
      <c r="G25" s="32"/>
    </row>
    <row r="26" spans="1:94" x14ac:dyDescent="0.35">
      <c r="A26" t="s">
        <v>484</v>
      </c>
      <c r="B26" s="32" t="s">
        <v>485</v>
      </c>
      <c r="C26" s="26">
        <v>31400</v>
      </c>
      <c r="G26" s="32"/>
    </row>
    <row r="27" spans="1:94" x14ac:dyDescent="0.35">
      <c r="A27" t="s">
        <v>486</v>
      </c>
      <c r="B27" s="32" t="s">
        <v>485</v>
      </c>
      <c r="C27" s="26">
        <v>123000</v>
      </c>
      <c r="G27" s="32"/>
    </row>
    <row r="28" spans="1:94" x14ac:dyDescent="0.35">
      <c r="A28" s="9" t="s">
        <v>487</v>
      </c>
      <c r="B28" s="13" t="s">
        <v>488</v>
      </c>
      <c r="C28" s="211">
        <f>2*(C20/B7)</f>
        <v>4.8752000000000005E-3</v>
      </c>
      <c r="G28" s="32"/>
    </row>
    <row r="29" spans="1:94" x14ac:dyDescent="0.35">
      <c r="A29" s="13" t="s">
        <v>489</v>
      </c>
      <c r="C29" s="12">
        <f>C28*2</f>
        <v>9.7504000000000011E-3</v>
      </c>
      <c r="D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x14ac:dyDescent="0.35">
      <c r="A30" s="13" t="s">
        <v>486</v>
      </c>
      <c r="C30" s="137">
        <f>C27*C28</f>
        <v>599.64960000000008</v>
      </c>
      <c r="D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x14ac:dyDescent="0.35">
      <c r="A31" s="13" t="s">
        <v>490</v>
      </c>
      <c r="C31" s="137">
        <f>C26*C29</f>
        <v>306.16256000000004</v>
      </c>
      <c r="D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x14ac:dyDescent="0.35">
      <c r="A32" s="13" t="s">
        <v>491</v>
      </c>
      <c r="B32" t="s">
        <v>492</v>
      </c>
      <c r="C32" s="12">
        <f>SUM(C30:C31)</f>
        <v>905.81216000000018</v>
      </c>
      <c r="D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x14ac:dyDescent="0.35">
      <c r="A33" s="13"/>
      <c r="C33" s="12"/>
      <c r="D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x14ac:dyDescent="0.35">
      <c r="A34" s="2" t="s">
        <v>231</v>
      </c>
      <c r="G34" s="32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x14ac:dyDescent="0.35">
      <c r="A35" t="s">
        <v>106</v>
      </c>
      <c r="B35" t="s">
        <v>107</v>
      </c>
      <c r="C35" s="118">
        <v>0.05</v>
      </c>
      <c r="G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x14ac:dyDescent="0.35">
      <c r="A36" t="s">
        <v>120</v>
      </c>
      <c r="B36" t="s">
        <v>121</v>
      </c>
      <c r="C36" s="119">
        <v>20</v>
      </c>
      <c r="G36" s="3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16.5" x14ac:dyDescent="0.35">
      <c r="A37" t="s">
        <v>122</v>
      </c>
      <c r="B37" t="s">
        <v>232</v>
      </c>
      <c r="C37" s="26">
        <v>97.7</v>
      </c>
      <c r="G37" s="3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16.5" x14ac:dyDescent="0.35">
      <c r="B38" t="s">
        <v>123</v>
      </c>
      <c r="C38" s="130">
        <f>C37/B6</f>
        <v>1051.6345005005221</v>
      </c>
      <c r="G38" s="3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</row>
    <row r="39" spans="1:94" x14ac:dyDescent="0.35">
      <c r="A39" t="s">
        <v>124</v>
      </c>
      <c r="B39" t="s">
        <v>125</v>
      </c>
      <c r="C39" s="118">
        <v>0.32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</row>
    <row r="40" spans="1:94" ht="15" thickBot="1" x14ac:dyDescent="0.4">
      <c r="A40" t="s">
        <v>139</v>
      </c>
      <c r="C40" s="325">
        <f>C20*C38</f>
        <v>25634.642584200727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5" thickBot="1" x14ac:dyDescent="0.4">
      <c r="A41" s="327" t="s">
        <v>493</v>
      </c>
      <c r="B41" s="328" t="s">
        <v>492</v>
      </c>
      <c r="C41" s="329">
        <f>(C40+C32)*(1+C39)</f>
        <v>35033.400262344963</v>
      </c>
      <c r="D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35">
      <c r="C42" s="318"/>
      <c r="D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</row>
    <row r="43" spans="1:94" x14ac:dyDescent="0.35">
      <c r="A43" s="2" t="s">
        <v>126</v>
      </c>
      <c r="B43" t="s">
        <v>213</v>
      </c>
      <c r="C43" s="26">
        <v>10000</v>
      </c>
      <c r="D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</row>
    <row r="44" spans="1:94" ht="16.5" x14ac:dyDescent="0.35">
      <c r="B44" t="s">
        <v>123</v>
      </c>
      <c r="C44" s="54">
        <f>C43/B5</f>
        <v>2.4715768660405337</v>
      </c>
      <c r="D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</row>
    <row r="45" spans="1:94" x14ac:dyDescent="0.35">
      <c r="A45" t="s">
        <v>127</v>
      </c>
      <c r="C45" s="26">
        <v>3</v>
      </c>
      <c r="D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</row>
    <row r="46" spans="1:94" ht="17" thickBot="1" x14ac:dyDescent="0.4">
      <c r="A46" t="s">
        <v>128</v>
      </c>
      <c r="B46" t="s">
        <v>129</v>
      </c>
      <c r="C46" s="130">
        <f>C20*C45</f>
        <v>73.128</v>
      </c>
      <c r="D46" s="9"/>
      <c r="E46" s="1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</row>
    <row r="47" spans="1:94" ht="15" thickBot="1" x14ac:dyDescent="0.4">
      <c r="A47" s="327" t="s">
        <v>494</v>
      </c>
      <c r="B47" s="328" t="s">
        <v>492</v>
      </c>
      <c r="C47" s="330">
        <f>C46*C44</f>
        <v>180.74147305981214</v>
      </c>
      <c r="D47" s="9"/>
      <c r="E47" s="1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</row>
    <row r="49" spans="1:119" x14ac:dyDescent="0.35">
      <c r="A49" s="326" t="s">
        <v>501</v>
      </c>
    </row>
    <row r="50" spans="1:119" x14ac:dyDescent="0.35">
      <c r="A50" s="9" t="s">
        <v>497</v>
      </c>
      <c r="B50" t="s">
        <v>507</v>
      </c>
      <c r="C50" s="26">
        <v>105000</v>
      </c>
    </row>
    <row r="51" spans="1:119" x14ac:dyDescent="0.35">
      <c r="A51" s="9" t="s">
        <v>498</v>
      </c>
      <c r="B51" t="s">
        <v>507</v>
      </c>
      <c r="C51" s="26">
        <v>25000</v>
      </c>
    </row>
    <row r="52" spans="1:119" x14ac:dyDescent="0.35">
      <c r="A52" s="13" t="s">
        <v>499</v>
      </c>
      <c r="B52" t="s">
        <v>507</v>
      </c>
      <c r="C52" s="26"/>
    </row>
    <row r="53" spans="1:119" x14ac:dyDescent="0.35">
      <c r="A53" s="13" t="s">
        <v>500</v>
      </c>
      <c r="B53" t="s">
        <v>507</v>
      </c>
      <c r="C53" s="26"/>
    </row>
    <row r="54" spans="1:119" x14ac:dyDescent="0.35">
      <c r="A54" s="13" t="s">
        <v>93</v>
      </c>
      <c r="B54" t="s">
        <v>507</v>
      </c>
      <c r="C54">
        <f>SUM(C50:C53)</f>
        <v>130000</v>
      </c>
    </row>
    <row r="55" spans="1:119" ht="15" thickBot="1" x14ac:dyDescent="0.4">
      <c r="A55" s="13" t="s">
        <v>506</v>
      </c>
      <c r="B55" t="s">
        <v>505</v>
      </c>
      <c r="C55">
        <v>156</v>
      </c>
    </row>
    <row r="56" spans="1:119" ht="15" thickBot="1" x14ac:dyDescent="0.4">
      <c r="A56" s="327" t="s">
        <v>501</v>
      </c>
      <c r="B56" s="328"/>
      <c r="C56" s="330">
        <f>C54/C55</f>
        <v>833.33333333333337</v>
      </c>
      <c r="D56" s="9"/>
      <c r="E56" s="14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119" x14ac:dyDescent="0.35">
      <c r="A57" s="9"/>
      <c r="B57" s="9"/>
      <c r="C57" s="331"/>
      <c r="D57" s="9"/>
      <c r="E57" s="14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119" ht="15" thickBot="1" x14ac:dyDescent="0.4">
      <c r="A58" t="s">
        <v>130</v>
      </c>
      <c r="C58" s="123">
        <f>(Common!C35*(1+Common!C35)^C36)/((1+Common!C35)^C36-1)</f>
        <v>8.0242587190691314E-2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119" x14ac:dyDescent="0.35">
      <c r="A59" s="296"/>
      <c r="B59" s="297"/>
      <c r="C59" s="332" t="s">
        <v>503</v>
      </c>
      <c r="D59" s="277" t="s">
        <v>502</v>
      </c>
      <c r="E59" s="14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119" x14ac:dyDescent="0.35">
      <c r="A60" s="185" t="s">
        <v>495</v>
      </c>
      <c r="B60" s="9" t="s">
        <v>492</v>
      </c>
      <c r="C60" s="331">
        <f>C41+C47+C56</f>
        <v>36047.475068738109</v>
      </c>
      <c r="D60" s="333">
        <f>C60*$C$58</f>
        <v>2892.5426612074889</v>
      </c>
      <c r="E60" s="1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119" ht="15" thickBot="1" x14ac:dyDescent="0.4">
      <c r="A61" s="301"/>
      <c r="B61" s="302" t="s">
        <v>496</v>
      </c>
      <c r="C61" s="334">
        <f>C60*(B2/B4/C12)</f>
        <v>152.85515870493757</v>
      </c>
      <c r="D61" s="335">
        <f>C61*$C$58</f>
        <v>12.265493399927911</v>
      </c>
      <c r="E61" s="1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119" x14ac:dyDescent="0.35">
      <c r="A62" s="9"/>
      <c r="B62" s="9"/>
      <c r="C62" s="331"/>
      <c r="D62" s="142"/>
      <c r="E62" s="1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119" s="263" customFormat="1" x14ac:dyDescent="0.35">
      <c r="A63" s="253" t="s">
        <v>234</v>
      </c>
      <c r="B63" s="254"/>
      <c r="C63" s="252" t="s">
        <v>244</v>
      </c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5"/>
      <c r="R63" s="255"/>
      <c r="S63" s="255"/>
      <c r="T63" s="255"/>
      <c r="U63" s="255"/>
      <c r="V63" s="255"/>
      <c r="W63" s="255"/>
      <c r="X63" s="255"/>
      <c r="Y63" s="255"/>
      <c r="Z63" s="255"/>
      <c r="AA63" s="255"/>
      <c r="AB63" s="255"/>
      <c r="AC63" s="255"/>
      <c r="AD63" s="255"/>
      <c r="AE63" s="255"/>
      <c r="AF63" s="255"/>
      <c r="AG63" s="255"/>
      <c r="AH63" s="255"/>
      <c r="AI63" s="255"/>
      <c r="AJ63" s="255"/>
      <c r="AK63" s="255"/>
      <c r="AL63" s="255"/>
      <c r="AM63" s="255"/>
      <c r="AN63" s="255"/>
      <c r="AO63" s="255"/>
      <c r="AP63" s="256"/>
      <c r="AQ63" s="252"/>
      <c r="AR63" s="255"/>
      <c r="AS63" s="255"/>
      <c r="AT63" s="255"/>
      <c r="AU63" s="255"/>
      <c r="AV63" s="255"/>
      <c r="AW63" s="255"/>
      <c r="AX63" s="255"/>
      <c r="AY63" s="255"/>
      <c r="AZ63" s="255"/>
      <c r="BA63" s="255"/>
      <c r="BB63" s="255"/>
      <c r="BC63" s="255"/>
      <c r="BD63" s="255"/>
      <c r="BE63" s="255"/>
      <c r="BF63" s="255"/>
      <c r="BG63" s="255"/>
      <c r="BH63" s="255"/>
      <c r="BI63" s="255"/>
      <c r="BJ63" s="255"/>
      <c r="BK63" s="255"/>
      <c r="BL63" s="255"/>
      <c r="BM63" s="255"/>
      <c r="BN63" s="255"/>
      <c r="BO63" s="255"/>
      <c r="BP63" s="255"/>
      <c r="BQ63" s="255"/>
      <c r="BR63" s="255"/>
      <c r="BS63" s="255"/>
      <c r="BT63" s="255"/>
      <c r="BU63" s="255"/>
      <c r="BV63" s="255"/>
      <c r="BW63" s="255"/>
      <c r="BX63" s="255"/>
      <c r="BY63" s="255"/>
      <c r="BZ63" s="255"/>
      <c r="CA63" s="255"/>
      <c r="CB63" s="255"/>
      <c r="CC63" s="255"/>
      <c r="CD63" s="255"/>
      <c r="CE63" s="256"/>
      <c r="CF63" s="252" t="s">
        <v>245</v>
      </c>
      <c r="CG63" s="255"/>
      <c r="CH63" s="255"/>
      <c r="CI63" s="255"/>
      <c r="CJ63" s="256"/>
      <c r="CK63" s="252" t="s">
        <v>246</v>
      </c>
      <c r="CL63" s="255"/>
      <c r="CM63" s="255"/>
      <c r="CN63" s="255"/>
      <c r="CO63" s="255"/>
      <c r="CP63" s="255"/>
      <c r="CQ63" s="255"/>
      <c r="CR63" s="255"/>
      <c r="CS63" s="255"/>
      <c r="CT63" s="255"/>
      <c r="CU63" s="256"/>
      <c r="CV63" s="257"/>
      <c r="CW63" s="252" t="s">
        <v>247</v>
      </c>
      <c r="CX63" s="255"/>
      <c r="CY63" s="255"/>
      <c r="CZ63" s="255"/>
      <c r="DA63" s="256"/>
      <c r="DB63" s="252" t="s">
        <v>248</v>
      </c>
      <c r="DC63" s="255"/>
      <c r="DD63" s="255"/>
      <c r="DE63" s="255"/>
      <c r="DF63" s="256"/>
      <c r="DG63" s="257"/>
      <c r="DH63" s="258" t="s">
        <v>249</v>
      </c>
      <c r="DI63" s="259"/>
      <c r="DJ63" s="259"/>
      <c r="DK63" s="259"/>
      <c r="DL63" s="260"/>
      <c r="DM63" s="261" t="s">
        <v>250</v>
      </c>
      <c r="DN63" s="262" t="s">
        <v>251</v>
      </c>
      <c r="DO63" s="254"/>
    </row>
    <row r="64" spans="1:119" s="30" customFormat="1" ht="43.5" x14ac:dyDescent="0.35">
      <c r="B64" s="30" t="s">
        <v>252</v>
      </c>
      <c r="C64" s="244" t="s">
        <v>253</v>
      </c>
      <c r="D64" s="245" t="s">
        <v>254</v>
      </c>
      <c r="E64" s="246" t="s">
        <v>255</v>
      </c>
      <c r="F64" s="246" t="s">
        <v>256</v>
      </c>
      <c r="G64" s="246" t="s">
        <v>257</v>
      </c>
      <c r="H64" s="246" t="s">
        <v>258</v>
      </c>
      <c r="I64" s="246" t="s">
        <v>259</v>
      </c>
      <c r="J64" s="246" t="s">
        <v>260</v>
      </c>
      <c r="K64" s="246" t="s">
        <v>261</v>
      </c>
      <c r="L64" s="246" t="s">
        <v>262</v>
      </c>
      <c r="M64" s="246" t="s">
        <v>263</v>
      </c>
      <c r="N64" s="246" t="s">
        <v>264</v>
      </c>
      <c r="O64" s="246" t="s">
        <v>265</v>
      </c>
      <c r="P64" s="246" t="s">
        <v>266</v>
      </c>
      <c r="Q64" s="246" t="s">
        <v>267</v>
      </c>
      <c r="R64" s="246" t="s">
        <v>268</v>
      </c>
      <c r="S64" s="246" t="s">
        <v>269</v>
      </c>
      <c r="T64" s="246" t="s">
        <v>270</v>
      </c>
      <c r="U64" s="246" t="s">
        <v>271</v>
      </c>
      <c r="V64" s="246" t="s">
        <v>272</v>
      </c>
      <c r="W64" s="246" t="s">
        <v>273</v>
      </c>
      <c r="X64" s="246" t="s">
        <v>274</v>
      </c>
      <c r="Y64" s="246" t="s">
        <v>275</v>
      </c>
      <c r="Z64" s="246" t="s">
        <v>276</v>
      </c>
      <c r="AA64" s="246" t="s">
        <v>277</v>
      </c>
      <c r="AB64" s="246" t="s">
        <v>278</v>
      </c>
      <c r="AC64" s="246" t="s">
        <v>279</v>
      </c>
      <c r="AD64" s="246" t="s">
        <v>280</v>
      </c>
      <c r="AE64" s="246" t="s">
        <v>281</v>
      </c>
      <c r="AF64" s="246" t="s">
        <v>282</v>
      </c>
      <c r="AG64" s="246" t="s">
        <v>283</v>
      </c>
      <c r="AH64" s="246" t="s">
        <v>284</v>
      </c>
      <c r="AI64" s="246" t="s">
        <v>285</v>
      </c>
      <c r="AJ64" s="246" t="s">
        <v>286</v>
      </c>
      <c r="AK64" s="246" t="s">
        <v>287</v>
      </c>
      <c r="AL64" s="246" t="s">
        <v>288</v>
      </c>
      <c r="AM64" s="246" t="s">
        <v>289</v>
      </c>
      <c r="AN64" s="246" t="s">
        <v>290</v>
      </c>
      <c r="AO64" s="246" t="s">
        <v>291</v>
      </c>
      <c r="AP64" s="247" t="s">
        <v>292</v>
      </c>
      <c r="AQ64" s="248" t="s">
        <v>293</v>
      </c>
      <c r="AR64" s="246" t="s">
        <v>294</v>
      </c>
      <c r="AS64" s="246" t="s">
        <v>295</v>
      </c>
      <c r="AT64" s="246" t="s">
        <v>296</v>
      </c>
      <c r="AU64" s="246" t="s">
        <v>297</v>
      </c>
      <c r="AV64" s="246" t="s">
        <v>298</v>
      </c>
      <c r="AW64" s="246" t="s">
        <v>266</v>
      </c>
      <c r="AX64" s="246" t="s">
        <v>299</v>
      </c>
      <c r="AY64" s="246" t="s">
        <v>300</v>
      </c>
      <c r="AZ64" s="246" t="s">
        <v>301</v>
      </c>
      <c r="BA64" s="246" t="s">
        <v>269</v>
      </c>
      <c r="BB64" s="246" t="s">
        <v>302</v>
      </c>
      <c r="BC64" s="246" t="s">
        <v>303</v>
      </c>
      <c r="BD64" s="246" t="s">
        <v>304</v>
      </c>
      <c r="BE64" s="246" t="s">
        <v>267</v>
      </c>
      <c r="BF64" s="246" t="s">
        <v>305</v>
      </c>
      <c r="BG64" s="246" t="s">
        <v>306</v>
      </c>
      <c r="BH64" s="246" t="s">
        <v>307</v>
      </c>
      <c r="BI64" s="246" t="s">
        <v>308</v>
      </c>
      <c r="BJ64" s="246" t="s">
        <v>270</v>
      </c>
      <c r="BK64" s="246" t="s">
        <v>271</v>
      </c>
      <c r="BL64" s="246" t="s">
        <v>272</v>
      </c>
      <c r="BM64" s="246" t="s">
        <v>273</v>
      </c>
      <c r="BN64" s="246" t="s">
        <v>274</v>
      </c>
      <c r="BO64" s="246" t="s">
        <v>275</v>
      </c>
      <c r="BP64" s="246" t="s">
        <v>276</v>
      </c>
      <c r="BQ64" s="246" t="s">
        <v>277</v>
      </c>
      <c r="BR64" s="246" t="s">
        <v>278</v>
      </c>
      <c r="BS64" s="246" t="s">
        <v>279</v>
      </c>
      <c r="BT64" s="246" t="s">
        <v>280</v>
      </c>
      <c r="BU64" s="246" t="s">
        <v>309</v>
      </c>
      <c r="BV64" s="246" t="s">
        <v>310</v>
      </c>
      <c r="BW64" s="246" t="s">
        <v>311</v>
      </c>
      <c r="BX64" s="246" t="s">
        <v>312</v>
      </c>
      <c r="BY64" s="246" t="s">
        <v>313</v>
      </c>
      <c r="BZ64" s="246" t="s">
        <v>314</v>
      </c>
      <c r="CA64" s="246" t="s">
        <v>315</v>
      </c>
      <c r="CB64" s="246" t="s">
        <v>316</v>
      </c>
      <c r="CC64" s="246" t="s">
        <v>317</v>
      </c>
      <c r="CD64" s="246" t="s">
        <v>318</v>
      </c>
      <c r="CE64" s="247" t="s">
        <v>319</v>
      </c>
      <c r="CF64" s="248" t="s">
        <v>320</v>
      </c>
      <c r="CG64" s="246" t="s">
        <v>321</v>
      </c>
      <c r="CH64" s="246" t="s">
        <v>322</v>
      </c>
      <c r="CI64" s="246" t="s">
        <v>323</v>
      </c>
      <c r="CJ64" s="247" t="s">
        <v>324</v>
      </c>
      <c r="CK64" s="248" t="s">
        <v>325</v>
      </c>
      <c r="CL64" s="249" t="s">
        <v>326</v>
      </c>
      <c r="CM64" s="249" t="s">
        <v>327</v>
      </c>
      <c r="CN64" s="245" t="s">
        <v>328</v>
      </c>
      <c r="CO64" s="245" t="s">
        <v>329</v>
      </c>
      <c r="CP64" s="245" t="s">
        <v>330</v>
      </c>
      <c r="CQ64" s="245" t="s">
        <v>331</v>
      </c>
      <c r="CR64" s="245" t="s">
        <v>332</v>
      </c>
      <c r="CS64" s="245" t="s">
        <v>333</v>
      </c>
      <c r="CT64" s="245" t="s">
        <v>334</v>
      </c>
      <c r="CU64" s="250" t="s">
        <v>335</v>
      </c>
      <c r="CV64" s="251" t="s">
        <v>336</v>
      </c>
      <c r="CW64" s="244" t="s">
        <v>337</v>
      </c>
      <c r="CX64" s="245" t="s">
        <v>352</v>
      </c>
      <c r="CY64" s="245" t="s">
        <v>338</v>
      </c>
      <c r="CZ64" s="245" t="s">
        <v>339</v>
      </c>
      <c r="DA64" s="250" t="s">
        <v>340</v>
      </c>
      <c r="DB64" s="244" t="s">
        <v>337</v>
      </c>
      <c r="DC64" s="245" t="s">
        <v>352</v>
      </c>
      <c r="DD64" s="245" t="s">
        <v>338</v>
      </c>
      <c r="DE64" s="245" t="s">
        <v>339</v>
      </c>
      <c r="DF64" s="250" t="s">
        <v>340</v>
      </c>
      <c r="DG64" s="251" t="s">
        <v>341</v>
      </c>
      <c r="DH64" s="244" t="s">
        <v>342</v>
      </c>
      <c r="DI64" s="245" t="s">
        <v>343</v>
      </c>
      <c r="DJ64" s="245" t="s">
        <v>344</v>
      </c>
      <c r="DK64" s="245" t="s">
        <v>10</v>
      </c>
      <c r="DL64" s="250" t="s">
        <v>345</v>
      </c>
      <c r="DM64" s="244"/>
      <c r="DN64" s="250"/>
    </row>
    <row r="65" spans="1:118" s="9" customFormat="1" x14ac:dyDescent="0.35">
      <c r="A65" s="30" t="s">
        <v>25</v>
      </c>
      <c r="B65" s="30" t="s">
        <v>27</v>
      </c>
      <c r="C65" s="30">
        <f t="array" ref="C65:CJ65">TRANSPOSE([1]!n_tot)</f>
        <v>0.71128322855099291</v>
      </c>
      <c r="D65" s="30">
        <v>9.2783474165967182E-3</v>
      </c>
      <c r="E65" s="30">
        <v>9.0936005598849642E-7</v>
      </c>
      <c r="F65" s="30">
        <v>1.6517244020527891E-3</v>
      </c>
      <c r="G65" s="30">
        <v>5.6293717751668821E-7</v>
      </c>
      <c r="H65" s="30">
        <v>9.7454394955616652E-5</v>
      </c>
      <c r="I65" s="30">
        <v>5.0529173815081407E-4</v>
      </c>
      <c r="J65" s="30">
        <v>3.8575473417015878E-4</v>
      </c>
      <c r="K65" s="30">
        <v>0</v>
      </c>
      <c r="L65" s="30">
        <v>1.613690420838181E-3</v>
      </c>
      <c r="M65" s="30">
        <v>8.7039364160298953E-5</v>
      </c>
      <c r="N65" s="30">
        <v>5.1498422911580768E-3</v>
      </c>
      <c r="O65" s="30">
        <v>8.9557097242118637E-4</v>
      </c>
      <c r="P65" s="30">
        <v>7.8776112987307119E-7</v>
      </c>
      <c r="Q65" s="30">
        <v>3.3424117159620565E-7</v>
      </c>
      <c r="R65" s="30">
        <v>6.6686988670423096E-5</v>
      </c>
      <c r="S65" s="30">
        <v>3.0356645840459601E-7</v>
      </c>
      <c r="T65" s="30">
        <v>1.4106221909244476E-5</v>
      </c>
      <c r="U65" s="30">
        <v>7.3626322066834503E-9</v>
      </c>
      <c r="V65" s="30">
        <v>1.9270336343503093E-10</v>
      </c>
      <c r="W65" s="30">
        <v>1.6228340202419673E-8</v>
      </c>
      <c r="X65" s="30">
        <v>3.8149892086613049E-8</v>
      </c>
      <c r="Y65" s="30">
        <v>1.8319991829292289E-9</v>
      </c>
      <c r="Z65" s="30">
        <v>4.0456916421054664E-9</v>
      </c>
      <c r="AA65" s="30">
        <v>0</v>
      </c>
      <c r="AB65" s="30">
        <v>8.2411140618376959E-6</v>
      </c>
      <c r="AC65" s="30">
        <v>4.7990461204560744E-6</v>
      </c>
      <c r="AD65" s="30">
        <v>6.4442793827230399E-7</v>
      </c>
      <c r="AE65" s="30">
        <v>7.2820785401267278E-12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1.3317351422089625E-2</v>
      </c>
      <c r="AR65" s="30">
        <v>4.0745422686101225E-4</v>
      </c>
      <c r="AS65" s="30">
        <v>1.3545705854473965E-4</v>
      </c>
      <c r="AT65" s="30">
        <v>0</v>
      </c>
      <c r="AU65" s="30">
        <v>0</v>
      </c>
      <c r="AV65" s="30">
        <v>8.568005086867267E-5</v>
      </c>
      <c r="AW65" s="30">
        <v>4.6637308641229079E-6</v>
      </c>
      <c r="AX65" s="30">
        <v>3.7051576893136483E-7</v>
      </c>
      <c r="AY65" s="30">
        <v>3.0092815841015421E-8</v>
      </c>
      <c r="AZ65" s="30">
        <v>1.0540313774743085E-7</v>
      </c>
      <c r="BA65" s="30">
        <v>5.4965182045484025E-10</v>
      </c>
      <c r="BB65" s="30">
        <v>0</v>
      </c>
      <c r="BC65" s="30">
        <v>4.5778732002257289E-7</v>
      </c>
      <c r="BD65" s="30">
        <v>2.6389093911723834E-7</v>
      </c>
      <c r="BE65" s="30">
        <v>1.5462976193601959E-7</v>
      </c>
      <c r="BF65" s="30">
        <v>8.7071049443520017E-7</v>
      </c>
      <c r="BG65" s="30">
        <v>1.3709945890618032E-4</v>
      </c>
      <c r="BH65" s="30">
        <v>6.2650301910096876E-7</v>
      </c>
      <c r="BI65" s="30">
        <v>0</v>
      </c>
      <c r="BJ65" s="30">
        <v>5.0134539353779349E-7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4.7365889014245111E-7</v>
      </c>
      <c r="BS65" s="30">
        <v>2.5180246280325458E-7</v>
      </c>
      <c r="BT65" s="30">
        <v>2.8201545887513807E-8</v>
      </c>
      <c r="BU65" s="30">
        <v>6.0116151757383919E-8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5.8674251737605196</v>
      </c>
      <c r="CG65" s="30">
        <v>2.5794352189891137</v>
      </c>
      <c r="CH65" s="30">
        <v>2.2998067383537886</v>
      </c>
      <c r="CI65" s="30">
        <v>0.44476893516639621</v>
      </c>
      <c r="CJ65" s="30">
        <v>11.224667532840071</v>
      </c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</row>
    <row r="66" spans="1:118" s="116" customFormat="1" x14ac:dyDescent="0.35">
      <c r="A66" s="9" t="s">
        <v>26</v>
      </c>
      <c r="B66" s="30" t="s">
        <v>27</v>
      </c>
      <c r="C66" s="30">
        <f t="array" ref="C66:CJ66">TRANSPOSE([1]!r_tot)</f>
        <v>0.8591946260178378</v>
      </c>
      <c r="D66" s="30">
        <v>8.2591432323743266E-4</v>
      </c>
      <c r="E66" s="30">
        <v>1.0749266857708663E-6</v>
      </c>
      <c r="F66" s="30">
        <v>2.6516342803667085E-3</v>
      </c>
      <c r="G66" s="30">
        <v>0</v>
      </c>
      <c r="H66" s="30">
        <v>7.4167092409603065E-5</v>
      </c>
      <c r="I66" s="30">
        <v>3.2206818590680851E-4</v>
      </c>
      <c r="J66" s="30">
        <v>2.2854016866244957E-4</v>
      </c>
      <c r="K66" s="30">
        <v>0</v>
      </c>
      <c r="L66" s="30">
        <v>1.4788816087540951E-3</v>
      </c>
      <c r="M66" s="30">
        <v>1.5014482006081592E-4</v>
      </c>
      <c r="N66" s="30">
        <v>5.5877457807073259E-3</v>
      </c>
      <c r="O66" s="30">
        <v>1.4677036931031659E-3</v>
      </c>
      <c r="P66" s="30">
        <v>1.6689919122765646E-6</v>
      </c>
      <c r="Q66" s="30">
        <v>1.8360900895666735E-7</v>
      </c>
      <c r="R66" s="30">
        <v>4.3612802477406284E-5</v>
      </c>
      <c r="S66" s="30">
        <v>2.8132997481791683E-7</v>
      </c>
      <c r="T66" s="30">
        <v>1.7919337812360932E-5</v>
      </c>
      <c r="U66" s="30">
        <v>5.0805368264897748E-9</v>
      </c>
      <c r="V66" s="30">
        <v>1.9133068840126075E-10</v>
      </c>
      <c r="W66" s="30">
        <v>1.6727020575789643E-8</v>
      </c>
      <c r="X66" s="30">
        <v>5.4378099297373654E-8</v>
      </c>
      <c r="Y66" s="30">
        <v>9.3918081745786986E-10</v>
      </c>
      <c r="Z66" s="30">
        <v>2.6179983896906666E-9</v>
      </c>
      <c r="AA66" s="30">
        <v>0</v>
      </c>
      <c r="AB66" s="30">
        <v>2.0686013179806508E-5</v>
      </c>
      <c r="AC66" s="30">
        <v>1.2063963388715404E-5</v>
      </c>
      <c r="AD66" s="30">
        <v>1.6037981715146922E-6</v>
      </c>
      <c r="AE66" s="30">
        <v>7.2277129095050033E-12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3.7645262867423868E-2</v>
      </c>
      <c r="AR66" s="30">
        <v>1.0971020904517656E-3</v>
      </c>
      <c r="AS66" s="30">
        <v>2.1664364213275805E-4</v>
      </c>
      <c r="AT66" s="30">
        <v>0</v>
      </c>
      <c r="AU66" s="30">
        <v>0</v>
      </c>
      <c r="AV66" s="30">
        <v>1.213019692154284E-4</v>
      </c>
      <c r="AW66" s="30">
        <v>1.3444792379340346E-5</v>
      </c>
      <c r="AX66" s="30">
        <v>3.8821589207678363E-7</v>
      </c>
      <c r="AY66" s="30">
        <v>4.3739230756217151E-8</v>
      </c>
      <c r="AZ66" s="30">
        <v>2.2601989213822552E-7</v>
      </c>
      <c r="BA66" s="30">
        <v>6.736144541390727E-10</v>
      </c>
      <c r="BB66" s="30">
        <v>0</v>
      </c>
      <c r="BC66" s="30">
        <v>3.3595163533853905E-7</v>
      </c>
      <c r="BD66" s="30">
        <v>9.0069367199419309E-7</v>
      </c>
      <c r="BE66" s="30">
        <v>3.6367220588751025E-7</v>
      </c>
      <c r="BF66" s="30">
        <v>1.2441926962117712E-6</v>
      </c>
      <c r="BG66" s="30">
        <v>4.5908076205489987E-4</v>
      </c>
      <c r="BH66" s="30">
        <v>1.771467382035145E-6</v>
      </c>
      <c r="BI66" s="30">
        <v>0</v>
      </c>
      <c r="BJ66" s="30">
        <v>1.4172582850935746E-6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1.3389910329594184E-6</v>
      </c>
      <c r="BS66" s="30">
        <v>7.1157725101595223E-7</v>
      </c>
      <c r="BT66" s="30">
        <v>7.9723230883765066E-8</v>
      </c>
      <c r="BU66" s="30">
        <v>1.6978967219330995E-7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3.1768143529943429</v>
      </c>
      <c r="CG66" s="30">
        <v>6.4565133745905552</v>
      </c>
      <c r="CH66" s="30">
        <v>1.6930311529249205</v>
      </c>
      <c r="CI66" s="30">
        <v>0.29018569404045103</v>
      </c>
      <c r="CJ66" s="30">
        <v>11.649442430596107</v>
      </c>
      <c r="CK66" s="30"/>
      <c r="CL66" s="30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</row>
    <row r="67" spans="1:118" s="116" customFormat="1" x14ac:dyDescent="0.35">
      <c r="A67" s="9" t="s">
        <v>16</v>
      </c>
      <c r="B67" s="9" t="s">
        <v>23</v>
      </c>
      <c r="C67" s="9">
        <f t="array" ref="C67:CJ67">TRANSPOSE([1]!dsleq_ef)</f>
        <v>3.0913802273204758</v>
      </c>
      <c r="D67" s="9">
        <v>2.7372239374785015E-3</v>
      </c>
      <c r="E67" s="9">
        <v>0</v>
      </c>
      <c r="F67" s="9">
        <v>4.3200339561599724E-3</v>
      </c>
      <c r="G67" s="9">
        <v>0</v>
      </c>
      <c r="H67" s="9">
        <v>7.5056777656821162E-5</v>
      </c>
      <c r="I67" s="9">
        <v>4.1480629514915966E-3</v>
      </c>
      <c r="J67" s="9">
        <v>1.72725007789618E-3</v>
      </c>
      <c r="K67" s="9">
        <v>0</v>
      </c>
      <c r="L67" s="9">
        <v>5.581444632870268E-2</v>
      </c>
      <c r="M67" s="9">
        <v>1.4707712456056535E-3</v>
      </c>
      <c r="N67" s="9">
        <v>2.2732400050266086E-3</v>
      </c>
      <c r="O67" s="9">
        <v>2.6689476603453721E-2</v>
      </c>
      <c r="P67" s="9">
        <v>1.9328842131689122E-5</v>
      </c>
      <c r="Q67" s="9">
        <v>1.6158012589516848E-8</v>
      </c>
      <c r="R67" s="9">
        <v>3.0300280951994021E-5</v>
      </c>
      <c r="S67" s="9">
        <v>2.6570992677113928E-9</v>
      </c>
      <c r="T67" s="9">
        <v>1.9560556952100232E-5</v>
      </c>
      <c r="U67" s="9">
        <v>7.2506131788610365E-13</v>
      </c>
      <c r="V67" s="9">
        <v>6.4239179060419506E-10</v>
      </c>
      <c r="W67" s="9">
        <v>4.9156699517701941E-13</v>
      </c>
      <c r="X67" s="9">
        <v>2.780965877469039E-8</v>
      </c>
      <c r="Y67" s="9">
        <v>0</v>
      </c>
      <c r="Z67" s="9">
        <v>0</v>
      </c>
      <c r="AA67" s="9">
        <v>0</v>
      </c>
      <c r="AB67" s="9">
        <v>1.2901282050675898E-5</v>
      </c>
      <c r="AC67" s="9">
        <v>8.2999320619952113E-6</v>
      </c>
      <c r="AD67" s="9">
        <v>4.7188941068085763E-7</v>
      </c>
      <c r="AE67" s="9">
        <v>2.3615059853795303E-11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0.15871121741057345</v>
      </c>
      <c r="AR67" s="9">
        <v>9.4381332350018995E-3</v>
      </c>
      <c r="AS67" s="9">
        <v>9.0007537396582902E-5</v>
      </c>
      <c r="AT67" s="9">
        <v>0</v>
      </c>
      <c r="AU67" s="9">
        <v>0</v>
      </c>
      <c r="AV67" s="9">
        <v>6.1218841329812158E-4</v>
      </c>
      <c r="AW67" s="9">
        <v>6.4972178796407652E-5</v>
      </c>
      <c r="AX67" s="9">
        <v>1.0038433672451323E-6</v>
      </c>
      <c r="AY67" s="9">
        <v>1.4415884221196149E-7</v>
      </c>
      <c r="AZ67" s="9">
        <v>9.7604754439187126E-7</v>
      </c>
      <c r="BA67" s="9">
        <v>3.3629531579509436E-9</v>
      </c>
      <c r="BB67" s="9">
        <v>0</v>
      </c>
      <c r="BC67" s="9">
        <v>4.2497522731332939E-8</v>
      </c>
      <c r="BD67" s="9">
        <v>8.7033463946463019E-6</v>
      </c>
      <c r="BE67" s="9">
        <v>2.0478384136730147E-6</v>
      </c>
      <c r="BF67" s="9">
        <v>7.0831632028101365E-6</v>
      </c>
      <c r="BG67" s="9">
        <v>4.2034762962894091E-3</v>
      </c>
      <c r="BH67" s="9">
        <v>7.4836461811430905E-6</v>
      </c>
      <c r="BI67" s="9">
        <v>0</v>
      </c>
      <c r="BJ67" s="9">
        <v>5.9771331612338389E-6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5.6470495109281166E-6</v>
      </c>
      <c r="BS67" s="9">
        <v>2.9932118222677203E-6</v>
      </c>
      <c r="BT67" s="9">
        <v>3.3622408282805826E-7</v>
      </c>
      <c r="BU67" s="9">
        <v>7.1120984899118218E-7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1.1013870680808722</v>
      </c>
      <c r="CG67" s="9">
        <v>2.1354742062834275</v>
      </c>
      <c r="CH67" s="9">
        <v>0.28349313210891125</v>
      </c>
      <c r="CI67" s="9">
        <v>21.173938117885751</v>
      </c>
      <c r="CJ67" s="9">
        <v>41.904242389941842</v>
      </c>
      <c r="CK67" s="13"/>
      <c r="CL67" s="13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</row>
    <row r="68" spans="1:118" s="13" customFormat="1" x14ac:dyDescent="0.35">
      <c r="A68" s="116" t="s">
        <v>17</v>
      </c>
      <c r="B68" s="116" t="s">
        <v>24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</row>
    <row r="69" spans="1:118" x14ac:dyDescent="0.35">
      <c r="A69" s="116" t="s">
        <v>203</v>
      </c>
      <c r="B69" s="116" t="s">
        <v>461</v>
      </c>
      <c r="C69" s="116">
        <v>0.39555000000000001</v>
      </c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</row>
    <row r="70" spans="1:118" x14ac:dyDescent="0.35">
      <c r="A70" s="13" t="s">
        <v>374</v>
      </c>
      <c r="B70" s="13"/>
      <c r="C70" s="13">
        <v>1</v>
      </c>
      <c r="D70" s="13">
        <v>0</v>
      </c>
      <c r="E70" s="13">
        <v>-1</v>
      </c>
      <c r="F70" s="13">
        <v>25</v>
      </c>
      <c r="G70" s="13">
        <v>25</v>
      </c>
      <c r="H70" s="13">
        <v>298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</row>
    <row r="71" spans="1:118" x14ac:dyDescent="0.35">
      <c r="A71" s="2" t="s">
        <v>237</v>
      </c>
      <c r="D71" s="56"/>
      <c r="E71" s="56"/>
    </row>
    <row r="72" spans="1:118" x14ac:dyDescent="0.35">
      <c r="B72" s="14"/>
      <c r="C72" s="14"/>
      <c r="D72" s="56"/>
      <c r="E72" s="56"/>
    </row>
    <row r="73" spans="1:118" x14ac:dyDescent="0.35">
      <c r="A73" t="str">
        <f t="array" ref="A73:A113">[1]!wasteStreams</f>
        <v>Yard Trimmings, Leaves</v>
      </c>
      <c r="B73" s="56"/>
      <c r="C73" s="56"/>
      <c r="D73" s="56"/>
      <c r="E73" s="56"/>
    </row>
    <row r="74" spans="1:118" x14ac:dyDescent="0.35">
      <c r="A74" t="str">
        <v>Yard Trimmings, Grass</v>
      </c>
      <c r="B74" s="56"/>
      <c r="C74" s="56"/>
      <c r="D74" s="56"/>
      <c r="E74" s="56"/>
    </row>
    <row r="75" spans="1:118" x14ac:dyDescent="0.35">
      <c r="A75" t="str">
        <v>Yard Trimmings, Branches</v>
      </c>
      <c r="B75" s="56"/>
      <c r="C75" s="56"/>
      <c r="D75" s="56"/>
      <c r="E75" s="56"/>
    </row>
    <row r="76" spans="1:118" x14ac:dyDescent="0.35">
      <c r="A76" t="str">
        <v>Food Waste - Vegetable</v>
      </c>
      <c r="B76" s="56"/>
      <c r="C76" s="56"/>
      <c r="D76" s="56"/>
      <c r="E76" s="56"/>
    </row>
    <row r="77" spans="1:118" x14ac:dyDescent="0.35">
      <c r="A77" t="str">
        <v>Food Waste - Non-Vegetable</v>
      </c>
      <c r="B77" s="56"/>
      <c r="C77" s="56"/>
      <c r="D77" s="56"/>
      <c r="E77" s="56"/>
    </row>
    <row r="78" spans="1:118" x14ac:dyDescent="0.35">
      <c r="A78" t="str">
        <v>Wood</v>
      </c>
      <c r="B78" s="56"/>
      <c r="C78" s="56"/>
      <c r="D78" s="56"/>
      <c r="E78" s="56"/>
    </row>
    <row r="79" spans="1:118" x14ac:dyDescent="0.35">
      <c r="A79" t="str">
        <v>Wood Other</v>
      </c>
      <c r="B79" s="56"/>
      <c r="C79" s="56"/>
      <c r="D79" s="56"/>
      <c r="E79" s="56"/>
    </row>
    <row r="80" spans="1:118" x14ac:dyDescent="0.35">
      <c r="A80" t="str">
        <v>Textiles</v>
      </c>
      <c r="B80" s="56"/>
      <c r="C80" s="56"/>
      <c r="D80" s="56"/>
      <c r="E80" s="56"/>
    </row>
    <row r="81" spans="1:5" x14ac:dyDescent="0.35">
      <c r="A81" t="str">
        <v>Rubber/Leather</v>
      </c>
      <c r="B81" s="56"/>
      <c r="C81" s="56"/>
      <c r="D81" s="56"/>
      <c r="E81" s="56"/>
    </row>
    <row r="82" spans="1:5" x14ac:dyDescent="0.35">
      <c r="A82" t="str">
        <v>Newsprint</v>
      </c>
      <c r="B82" s="56"/>
      <c r="C82" s="56"/>
      <c r="D82" s="56"/>
      <c r="E82" s="56"/>
    </row>
    <row r="83" spans="1:5" x14ac:dyDescent="0.35">
      <c r="A83" t="str">
        <v>Corr. Cardboard</v>
      </c>
      <c r="B83" s="56"/>
      <c r="C83" s="56"/>
      <c r="D83" s="56"/>
      <c r="E83" s="56"/>
    </row>
    <row r="84" spans="1:5" x14ac:dyDescent="0.35">
      <c r="A84" t="str">
        <v>Office Paper</v>
      </c>
      <c r="B84" s="56"/>
      <c r="C84" s="56"/>
      <c r="D84" s="56"/>
      <c r="E84" s="56"/>
    </row>
    <row r="85" spans="1:5" x14ac:dyDescent="0.35">
      <c r="A85" t="str">
        <v xml:space="preserve">Magazines </v>
      </c>
      <c r="B85" s="56"/>
      <c r="C85" s="56"/>
      <c r="D85" s="56"/>
      <c r="E85" s="56"/>
    </row>
    <row r="86" spans="1:5" x14ac:dyDescent="0.35">
      <c r="A86" t="str">
        <v>3rd Class Mail</v>
      </c>
      <c r="B86" s="56"/>
      <c r="C86" s="56"/>
      <c r="D86" s="56"/>
      <c r="E86" s="56"/>
    </row>
    <row r="87" spans="1:5" x14ac:dyDescent="0.35">
      <c r="A87" t="str">
        <v>Folding Containers</v>
      </c>
      <c r="B87" s="56"/>
      <c r="C87" s="56"/>
      <c r="D87" s="56"/>
      <c r="E87" s="56"/>
    </row>
    <row r="88" spans="1:5" x14ac:dyDescent="0.35">
      <c r="A88" t="str">
        <v xml:space="preserve">Paper Bags </v>
      </c>
      <c r="B88" s="56"/>
      <c r="C88" s="56"/>
      <c r="D88" s="56"/>
      <c r="E88" s="56"/>
    </row>
    <row r="89" spans="1:5" x14ac:dyDescent="0.35">
      <c r="A89" t="str">
        <v>Mixed Paper</v>
      </c>
      <c r="B89" s="56"/>
      <c r="C89" s="56"/>
      <c r="D89" s="56"/>
      <c r="E89" s="56"/>
    </row>
    <row r="90" spans="1:5" x14ac:dyDescent="0.35">
      <c r="A90" t="str">
        <v>Paper - Non-recyclable</v>
      </c>
      <c r="B90" s="56"/>
      <c r="C90" s="56"/>
      <c r="D90" s="56"/>
      <c r="E90" s="56"/>
    </row>
    <row r="91" spans="1:5" x14ac:dyDescent="0.35">
      <c r="A91" t="str">
        <v>HDPE - Translucent Containers</v>
      </c>
      <c r="B91" s="56"/>
      <c r="C91" s="56"/>
      <c r="D91" s="56"/>
      <c r="E91" s="56"/>
    </row>
    <row r="92" spans="1:5" x14ac:dyDescent="0.35">
      <c r="A92" t="str">
        <v>HDPE - Pigmented Containers</v>
      </c>
      <c r="B92" s="56"/>
      <c r="C92" s="56"/>
      <c r="D92" s="56"/>
      <c r="E92" s="56"/>
    </row>
    <row r="93" spans="1:5" x14ac:dyDescent="0.35">
      <c r="A93" t="str">
        <v>PET - Containers</v>
      </c>
      <c r="B93" s="56"/>
      <c r="C93" s="56"/>
      <c r="D93" s="56"/>
      <c r="E93" s="56"/>
    </row>
    <row r="94" spans="1:5" x14ac:dyDescent="0.35">
      <c r="A94" t="str">
        <v>Plastic - Other # 1, Polypropylene</v>
      </c>
      <c r="B94" s="56"/>
      <c r="C94" s="56"/>
      <c r="D94" s="56"/>
      <c r="E94" s="56"/>
    </row>
    <row r="95" spans="1:5" x14ac:dyDescent="0.35">
      <c r="A95" t="str">
        <v>Plastic - Other # 2</v>
      </c>
      <c r="B95" s="56"/>
      <c r="C95" s="56"/>
      <c r="D95" s="56"/>
      <c r="E95" s="56"/>
    </row>
    <row r="96" spans="1:5" x14ac:dyDescent="0.35">
      <c r="A96" t="str">
        <v>Mixed Plastic</v>
      </c>
      <c r="B96" s="56"/>
      <c r="C96" s="56"/>
      <c r="D96" s="56"/>
      <c r="E96" s="56"/>
    </row>
    <row r="97" spans="1:5" x14ac:dyDescent="0.35">
      <c r="A97" t="str">
        <v>Plastic Film</v>
      </c>
      <c r="B97" s="56"/>
      <c r="C97" s="56"/>
      <c r="D97" s="56"/>
      <c r="E97" s="56"/>
    </row>
    <row r="98" spans="1:5" x14ac:dyDescent="0.35">
      <c r="A98" t="str">
        <v xml:space="preserve">Plastic - Non-Recyclable </v>
      </c>
      <c r="B98" s="56"/>
      <c r="C98" s="56"/>
      <c r="D98" s="56"/>
      <c r="E98" s="56"/>
    </row>
    <row r="99" spans="1:5" x14ac:dyDescent="0.35">
      <c r="A99" t="str">
        <v>Ferrous Cans</v>
      </c>
      <c r="B99" s="56"/>
      <c r="C99" s="56"/>
      <c r="D99" s="56"/>
      <c r="E99" s="56"/>
    </row>
    <row r="100" spans="1:5" x14ac:dyDescent="0.35">
      <c r="A100" t="str">
        <v>Ferrous Metal - Other</v>
      </c>
      <c r="B100" s="56"/>
      <c r="C100" s="56"/>
      <c r="D100" s="56"/>
      <c r="E100" s="56"/>
    </row>
    <row r="101" spans="1:5" x14ac:dyDescent="0.35">
      <c r="A101" t="str">
        <v>Aluminum Cans</v>
      </c>
      <c r="B101" s="56"/>
      <c r="C101" s="56"/>
      <c r="D101" s="56"/>
      <c r="E101" s="56"/>
    </row>
    <row r="102" spans="1:5" x14ac:dyDescent="0.35">
      <c r="A102" t="str">
        <v>Aluminum - Foil</v>
      </c>
      <c r="B102" s="56"/>
      <c r="C102" s="56"/>
      <c r="D102" s="56"/>
      <c r="E102" s="56"/>
    </row>
    <row r="103" spans="1:5" x14ac:dyDescent="0.35">
      <c r="A103" t="str">
        <v>Aluminum - Other</v>
      </c>
      <c r="B103" s="56"/>
      <c r="C103" s="56"/>
      <c r="D103" s="56"/>
      <c r="E103" s="56"/>
    </row>
    <row r="104" spans="1:5" x14ac:dyDescent="0.35">
      <c r="A104" t="str">
        <v xml:space="preserve">Ferrous - Non-recyclable </v>
      </c>
      <c r="B104" s="56"/>
      <c r="C104" s="56"/>
      <c r="D104" s="56"/>
      <c r="E104" s="12"/>
    </row>
    <row r="105" spans="1:5" x14ac:dyDescent="0.35">
      <c r="A105" t="str">
        <v xml:space="preserve">Al - Non-recyclable </v>
      </c>
      <c r="B105" s="56"/>
      <c r="C105" s="56"/>
      <c r="D105" s="56"/>
      <c r="E105" s="12"/>
    </row>
    <row r="106" spans="1:5" x14ac:dyDescent="0.35">
      <c r="A106" t="str">
        <v>Glass - Brown</v>
      </c>
      <c r="B106" s="56"/>
      <c r="C106" s="56"/>
      <c r="D106" s="56"/>
    </row>
    <row r="107" spans="1:5" x14ac:dyDescent="0.35">
      <c r="A107" t="str">
        <v>Glass - Green</v>
      </c>
      <c r="B107" s="56"/>
      <c r="C107" s="56"/>
      <c r="D107" s="56"/>
    </row>
    <row r="108" spans="1:5" x14ac:dyDescent="0.35">
      <c r="A108" t="str">
        <v>Glass - Clear</v>
      </c>
      <c r="B108" s="56"/>
      <c r="C108" s="56"/>
      <c r="D108" s="56"/>
    </row>
    <row r="109" spans="1:5" x14ac:dyDescent="0.35">
      <c r="A109" t="str">
        <v>Mixed Glass</v>
      </c>
      <c r="B109" s="56"/>
      <c r="C109" s="56"/>
      <c r="D109" s="56"/>
    </row>
    <row r="110" spans="1:5" x14ac:dyDescent="0.35">
      <c r="A110" t="str">
        <v>Glass - Non-recyclable</v>
      </c>
      <c r="B110" s="56"/>
      <c r="C110" s="56"/>
      <c r="D110" s="56"/>
    </row>
    <row r="111" spans="1:5" x14ac:dyDescent="0.35">
      <c r="A111" t="str">
        <v>Misc. Organic</v>
      </c>
      <c r="B111" s="56"/>
      <c r="C111" s="56"/>
      <c r="D111" s="56"/>
    </row>
    <row r="112" spans="1:5" x14ac:dyDescent="0.35">
      <c r="A112" t="str">
        <v>Misc. Inorganic</v>
      </c>
      <c r="B112" s="56"/>
      <c r="C112" s="56"/>
      <c r="D112" s="12"/>
    </row>
    <row r="113" spans="1:25" x14ac:dyDescent="0.35">
      <c r="A113" t="str">
        <v>E-waste</v>
      </c>
      <c r="B113" s="56"/>
      <c r="C113" s="56"/>
      <c r="D113" s="12"/>
    </row>
    <row r="114" spans="1:25" x14ac:dyDescent="0.35">
      <c r="B114" s="12"/>
      <c r="C114" s="12"/>
    </row>
    <row r="115" spans="1:25" x14ac:dyDescent="0.35">
      <c r="A115" s="2" t="s">
        <v>233</v>
      </c>
      <c r="G115" s="80"/>
    </row>
    <row r="116" spans="1:25" x14ac:dyDescent="0.35">
      <c r="A116" s="18" t="str">
        <f>'MRF Data-For Common'!A33</f>
        <v>Yes</v>
      </c>
      <c r="B116" s="8" t="str">
        <f>'MRF Data-For Common'!B33</f>
        <v>Removed</v>
      </c>
      <c r="C116" s="7" t="str">
        <f>'MRF Data-For Common'!C33</f>
        <v xml:space="preserve"> --&gt;must pertain to removed mass</v>
      </c>
      <c r="D116" s="6"/>
      <c r="E116" s="18" t="str">
        <f>'MRF Data-For Common'!E33</f>
        <v>Yes-Automatic</v>
      </c>
      <c r="G116" s="80"/>
    </row>
    <row r="117" spans="1:25" x14ac:dyDescent="0.35">
      <c r="A117" s="17" t="str">
        <f>'MRF Data-For Common'!A34</f>
        <v>No</v>
      </c>
      <c r="B117" s="5" t="str">
        <f>'MRF Data-For Common'!B34</f>
        <v>Remaining</v>
      </c>
      <c r="C117" s="9" t="str">
        <f>'MRF Data-For Common'!C34</f>
        <v xml:space="preserve"> --&gt;must pertain to remaining mass</v>
      </c>
      <c r="D117" s="4"/>
      <c r="E117" s="17" t="str">
        <f>'MRF Data-For Common'!E34</f>
        <v>Yes-Manual</v>
      </c>
      <c r="G117" s="80"/>
    </row>
    <row r="118" spans="1:25" x14ac:dyDescent="0.35">
      <c r="A118" s="23"/>
      <c r="B118" s="10" t="str">
        <f>'MRF Data-For Common'!B35</f>
        <v>Total Throughput</v>
      </c>
      <c r="C118" s="1" t="str">
        <f>'MRF Data-For Common'!C35</f>
        <v xml:space="preserve"> --&gt;must pertain to total mass</v>
      </c>
      <c r="D118" s="22"/>
      <c r="E118" s="23" t="str">
        <f>'MRF Data-For Common'!E35</f>
        <v>No</v>
      </c>
    </row>
    <row r="119" spans="1:25" x14ac:dyDescent="0.35">
      <c r="B119" s="130"/>
      <c r="D119" s="14"/>
    </row>
    <row r="120" spans="1:25" x14ac:dyDescent="0.35">
      <c r="B120" s="12"/>
      <c r="C120" s="12"/>
    </row>
    <row r="121" spans="1:25" x14ac:dyDescent="0.35">
      <c r="B121" s="32"/>
      <c r="D121" s="54"/>
    </row>
    <row r="122" spans="1:25" x14ac:dyDescent="0.35">
      <c r="D122" s="54"/>
    </row>
    <row r="123" spans="1:25" s="104" customFormat="1" ht="15.5" x14ac:dyDescent="0.35">
      <c r="A123" s="112"/>
      <c r="C123" s="109"/>
      <c r="D123" s="109"/>
      <c r="E123" s="109"/>
      <c r="F123" s="109"/>
      <c r="G123" s="109"/>
      <c r="H123" s="111"/>
      <c r="I123" s="110"/>
      <c r="J123" s="108"/>
      <c r="K123" s="109"/>
      <c r="L123" s="109"/>
      <c r="M123" s="109"/>
      <c r="N123" s="109"/>
      <c r="O123" s="110"/>
      <c r="P123" s="109"/>
      <c r="Q123" s="108"/>
      <c r="R123" s="107"/>
      <c r="S123" s="242"/>
      <c r="T123" s="106"/>
      <c r="U123" s="243"/>
      <c r="W123" s="105"/>
      <c r="Y123" s="105"/>
    </row>
  </sheetData>
  <mergeCells count="2">
    <mergeCell ref="AQ6:CE6"/>
    <mergeCell ref="CF6:CJ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5"/>
  <sheetViews>
    <sheetView workbookViewId="0">
      <selection activeCell="J14" sqref="J14"/>
    </sheetView>
  </sheetViews>
  <sheetFormatPr defaultRowHeight="14.5" x14ac:dyDescent="0.35"/>
  <cols>
    <col min="1" max="1" width="31.7265625" customWidth="1"/>
    <col min="2" max="2" width="19.54296875" bestFit="1" customWidth="1"/>
    <col min="3" max="3" width="11.81640625" bestFit="1" customWidth="1"/>
    <col min="4" max="4" width="19.54296875" bestFit="1" customWidth="1"/>
    <col min="5" max="5" width="14" customWidth="1"/>
    <col min="6" max="6" width="19.54296875" bestFit="1" customWidth="1"/>
    <col min="7" max="7" width="11.81640625" bestFit="1" customWidth="1"/>
    <col min="8" max="8" width="16.453125" customWidth="1"/>
    <col min="9" max="9" width="13.26953125" customWidth="1"/>
  </cols>
  <sheetData>
    <row r="1" spans="1:9" ht="19" thickBot="1" x14ac:dyDescent="0.5">
      <c r="A1" s="9"/>
      <c r="B1" s="351" t="s">
        <v>238</v>
      </c>
      <c r="C1" s="352"/>
      <c r="D1" s="351" t="s">
        <v>239</v>
      </c>
      <c r="E1" s="352"/>
      <c r="F1" s="351" t="s">
        <v>240</v>
      </c>
      <c r="G1" s="353"/>
      <c r="H1" s="351" t="s">
        <v>242</v>
      </c>
      <c r="I1" s="352"/>
    </row>
    <row r="2" spans="1:9" x14ac:dyDescent="0.35">
      <c r="A2" s="9"/>
      <c r="B2" s="271" t="s">
        <v>156</v>
      </c>
      <c r="C2" s="277" t="s">
        <v>188</v>
      </c>
      <c r="D2" s="271" t="s">
        <v>156</v>
      </c>
      <c r="E2" s="277" t="s">
        <v>188</v>
      </c>
      <c r="F2" s="271" t="s">
        <v>156</v>
      </c>
      <c r="G2" s="277" t="s">
        <v>188</v>
      </c>
      <c r="H2" s="228"/>
      <c r="I2" s="277" t="s">
        <v>188</v>
      </c>
    </row>
    <row r="3" spans="1:9" x14ac:dyDescent="0.35">
      <c r="A3" s="9" t="s">
        <v>146</v>
      </c>
      <c r="B3" s="272" t="s">
        <v>148</v>
      </c>
      <c r="C3" s="267">
        <v>77</v>
      </c>
      <c r="D3" s="272" t="s">
        <v>148</v>
      </c>
      <c r="E3" s="267">
        <v>77</v>
      </c>
      <c r="F3" s="272" t="s">
        <v>148</v>
      </c>
      <c r="G3" s="267">
        <v>77</v>
      </c>
      <c r="H3" s="229"/>
      <c r="I3" s="267">
        <v>77</v>
      </c>
    </row>
    <row r="4" spans="1:9" x14ac:dyDescent="0.35">
      <c r="A4" s="9" t="s">
        <v>147</v>
      </c>
      <c r="B4" s="272" t="s">
        <v>148</v>
      </c>
      <c r="C4" s="267">
        <v>50</v>
      </c>
      <c r="D4" s="272" t="s">
        <v>148</v>
      </c>
      <c r="E4" s="267">
        <v>50</v>
      </c>
      <c r="F4" s="272" t="s">
        <v>148</v>
      </c>
      <c r="G4" s="267">
        <v>50</v>
      </c>
      <c r="H4" s="229"/>
      <c r="I4" s="267">
        <v>50</v>
      </c>
    </row>
    <row r="5" spans="1:9" x14ac:dyDescent="0.35">
      <c r="A5" s="9" t="s">
        <v>145</v>
      </c>
      <c r="B5" s="272" t="s">
        <v>148</v>
      </c>
      <c r="C5" s="267">
        <v>1300</v>
      </c>
      <c r="D5" s="272" t="s">
        <v>148</v>
      </c>
      <c r="E5" s="267">
        <v>1300</v>
      </c>
      <c r="F5" s="272" t="s">
        <v>148</v>
      </c>
      <c r="G5" s="267">
        <v>1300</v>
      </c>
      <c r="H5" s="229"/>
      <c r="I5" s="267">
        <v>1300</v>
      </c>
    </row>
    <row r="6" spans="1:9" x14ac:dyDescent="0.35">
      <c r="A6" s="9" t="s">
        <v>144</v>
      </c>
      <c r="B6" s="272" t="s">
        <v>148</v>
      </c>
      <c r="C6" s="267">
        <v>110</v>
      </c>
      <c r="D6" s="272" t="s">
        <v>148</v>
      </c>
      <c r="E6" s="267">
        <v>110</v>
      </c>
      <c r="F6" s="272" t="s">
        <v>148</v>
      </c>
      <c r="G6" s="267">
        <v>110</v>
      </c>
      <c r="H6" s="229"/>
      <c r="I6" s="267">
        <v>110</v>
      </c>
    </row>
    <row r="7" spans="1:9" x14ac:dyDescent="0.35">
      <c r="A7" s="9" t="s">
        <v>77</v>
      </c>
      <c r="B7" s="272" t="s">
        <v>148</v>
      </c>
      <c r="C7" s="267">
        <v>0</v>
      </c>
      <c r="D7" s="272" t="s">
        <v>148</v>
      </c>
      <c r="E7" s="267">
        <v>0</v>
      </c>
      <c r="F7" s="272" t="s">
        <v>19</v>
      </c>
      <c r="G7" s="267">
        <v>0</v>
      </c>
      <c r="H7" s="229"/>
      <c r="I7" s="267">
        <v>0</v>
      </c>
    </row>
    <row r="8" spans="1:9" x14ac:dyDescent="0.35">
      <c r="A8" s="9" t="s">
        <v>76</v>
      </c>
      <c r="B8" s="272" t="s">
        <v>148</v>
      </c>
      <c r="C8" s="267">
        <v>330</v>
      </c>
      <c r="D8" s="272" t="s">
        <v>148</v>
      </c>
      <c r="E8" s="267">
        <v>330</v>
      </c>
      <c r="F8" s="272" t="s">
        <v>148</v>
      </c>
      <c r="G8" s="267">
        <v>330</v>
      </c>
      <c r="H8" s="229"/>
      <c r="I8" s="267">
        <v>330</v>
      </c>
    </row>
    <row r="9" spans="1:9" x14ac:dyDescent="0.35">
      <c r="A9" s="9" t="s">
        <v>75</v>
      </c>
      <c r="B9" s="272" t="s">
        <v>148</v>
      </c>
      <c r="C9" s="267">
        <v>290</v>
      </c>
      <c r="D9" s="272" t="s">
        <v>148</v>
      </c>
      <c r="E9" s="267">
        <v>290</v>
      </c>
      <c r="F9" s="272" t="s">
        <v>148</v>
      </c>
      <c r="G9" s="267">
        <v>290</v>
      </c>
      <c r="H9" s="229"/>
      <c r="I9" s="267">
        <v>290</v>
      </c>
    </row>
    <row r="10" spans="1:9" x14ac:dyDescent="0.35">
      <c r="A10" s="30" t="s">
        <v>72</v>
      </c>
      <c r="B10" s="273" t="s">
        <v>13</v>
      </c>
      <c r="C10" s="268"/>
      <c r="D10" s="273" t="s">
        <v>13</v>
      </c>
      <c r="E10" s="268"/>
      <c r="F10" s="273" t="s">
        <v>13</v>
      </c>
      <c r="G10" s="268"/>
      <c r="H10" s="229"/>
      <c r="I10" s="268"/>
    </row>
    <row r="11" spans="1:9" x14ac:dyDescent="0.35">
      <c r="A11" s="9"/>
      <c r="B11" s="229"/>
      <c r="C11" s="186"/>
      <c r="D11" s="229"/>
      <c r="E11" s="186"/>
      <c r="F11" s="229"/>
      <c r="G11" s="186"/>
      <c r="H11" s="229"/>
      <c r="I11" s="216"/>
    </row>
    <row r="12" spans="1:9" x14ac:dyDescent="0.35">
      <c r="A12" s="25" t="s">
        <v>179</v>
      </c>
      <c r="B12" s="229"/>
      <c r="C12" s="186"/>
      <c r="D12" s="229"/>
      <c r="E12" s="186"/>
      <c r="F12" s="229"/>
      <c r="G12" s="186"/>
      <c r="H12" s="274"/>
      <c r="I12" s="186"/>
    </row>
    <row r="13" spans="1:9" x14ac:dyDescent="0.35">
      <c r="A13" s="25" t="s">
        <v>180</v>
      </c>
      <c r="B13" s="274" t="s">
        <v>200</v>
      </c>
      <c r="C13" s="186" t="s">
        <v>188</v>
      </c>
      <c r="D13" s="274" t="s">
        <v>200</v>
      </c>
      <c r="E13" s="186" t="s">
        <v>188</v>
      </c>
      <c r="F13" s="274" t="s">
        <v>200</v>
      </c>
      <c r="G13" s="186" t="s">
        <v>188</v>
      </c>
      <c r="H13" s="279" t="s">
        <v>200</v>
      </c>
      <c r="I13" s="186" t="s">
        <v>188</v>
      </c>
    </row>
    <row r="14" spans="1:9" x14ac:dyDescent="0.35">
      <c r="A14" s="9" t="s">
        <v>217</v>
      </c>
      <c r="B14" s="272" t="s">
        <v>19</v>
      </c>
      <c r="C14" s="267">
        <v>55</v>
      </c>
      <c r="D14" s="272" t="s">
        <v>19</v>
      </c>
      <c r="E14" s="267">
        <v>55</v>
      </c>
      <c r="F14" s="272" t="s">
        <v>19</v>
      </c>
      <c r="G14" s="267">
        <v>55</v>
      </c>
      <c r="H14" s="272" t="s">
        <v>19</v>
      </c>
      <c r="I14" s="267">
        <v>55</v>
      </c>
    </row>
    <row r="15" spans="1:9" x14ac:dyDescent="0.35">
      <c r="A15" s="9" t="s">
        <v>218</v>
      </c>
      <c r="B15" s="272" t="s">
        <v>19</v>
      </c>
      <c r="C15" s="267">
        <v>50</v>
      </c>
      <c r="D15" s="272" t="s">
        <v>19</v>
      </c>
      <c r="E15" s="267">
        <v>50</v>
      </c>
      <c r="F15" s="272" t="s">
        <v>19</v>
      </c>
      <c r="G15" s="267">
        <v>50</v>
      </c>
      <c r="H15" s="272" t="s">
        <v>19</v>
      </c>
      <c r="I15" s="267">
        <v>50</v>
      </c>
    </row>
    <row r="16" spans="1:9" x14ac:dyDescent="0.35">
      <c r="A16" s="9" t="s">
        <v>219</v>
      </c>
      <c r="B16" s="272" t="s">
        <v>19</v>
      </c>
      <c r="C16" s="267">
        <v>50</v>
      </c>
      <c r="D16" s="272" t="s">
        <v>19</v>
      </c>
      <c r="E16" s="267">
        <v>50</v>
      </c>
      <c r="F16" s="272" t="s">
        <v>19</v>
      </c>
      <c r="G16" s="267">
        <v>50</v>
      </c>
      <c r="H16" s="272" t="s">
        <v>19</v>
      </c>
      <c r="I16" s="267">
        <v>50</v>
      </c>
    </row>
    <row r="17" spans="1:9" x14ac:dyDescent="0.35">
      <c r="A17" s="9" t="s">
        <v>220</v>
      </c>
      <c r="B17" s="272" t="s">
        <v>19</v>
      </c>
      <c r="C17" s="267">
        <v>50</v>
      </c>
      <c r="D17" s="272" t="s">
        <v>19</v>
      </c>
      <c r="E17" s="267">
        <v>50</v>
      </c>
      <c r="F17" s="272" t="s">
        <v>19</v>
      </c>
      <c r="G17" s="267">
        <v>50</v>
      </c>
      <c r="H17" s="272" t="s">
        <v>19</v>
      </c>
      <c r="I17" s="267">
        <v>50</v>
      </c>
    </row>
    <row r="18" spans="1:9" x14ac:dyDescent="0.35">
      <c r="A18" s="9" t="s">
        <v>221</v>
      </c>
      <c r="B18" s="272" t="s">
        <v>19</v>
      </c>
      <c r="C18" s="267">
        <v>50</v>
      </c>
      <c r="D18" s="272" t="s">
        <v>19</v>
      </c>
      <c r="E18" s="267">
        <v>50</v>
      </c>
      <c r="F18" s="272" t="s">
        <v>19</v>
      </c>
      <c r="G18" s="267">
        <v>50</v>
      </c>
      <c r="H18" s="272" t="s">
        <v>19</v>
      </c>
      <c r="I18" s="267">
        <v>50</v>
      </c>
    </row>
    <row r="19" spans="1:9" x14ac:dyDescent="0.35">
      <c r="A19" s="9" t="s">
        <v>222</v>
      </c>
      <c r="B19" s="272" t="s">
        <v>19</v>
      </c>
      <c r="C19" s="267">
        <v>50</v>
      </c>
      <c r="D19" s="272" t="s">
        <v>19</v>
      </c>
      <c r="E19" s="267">
        <v>50</v>
      </c>
      <c r="F19" s="272" t="s">
        <v>19</v>
      </c>
      <c r="G19" s="267">
        <v>50</v>
      </c>
      <c r="H19" s="272" t="s">
        <v>19</v>
      </c>
      <c r="I19" s="267">
        <v>50</v>
      </c>
    </row>
    <row r="20" spans="1:9" x14ac:dyDescent="0.35">
      <c r="A20" s="11"/>
      <c r="B20" s="275"/>
      <c r="C20" s="189"/>
      <c r="D20" s="275"/>
      <c r="E20" s="189"/>
      <c r="F20" s="275"/>
      <c r="G20" s="189"/>
      <c r="H20" s="275"/>
      <c r="I20" s="189"/>
    </row>
    <row r="21" spans="1:9" ht="29" x14ac:dyDescent="0.35">
      <c r="A21" s="47" t="s">
        <v>241</v>
      </c>
      <c r="B21" s="275"/>
      <c r="C21" s="189"/>
      <c r="D21" s="275"/>
      <c r="E21" s="189"/>
      <c r="F21" s="275"/>
      <c r="G21" s="189"/>
      <c r="H21" s="275"/>
      <c r="I21" s="189"/>
    </row>
    <row r="22" spans="1:9" x14ac:dyDescent="0.35">
      <c r="A22" s="9" t="s">
        <v>223</v>
      </c>
      <c r="B22" s="272" t="s">
        <v>13</v>
      </c>
      <c r="C22" s="267">
        <v>20</v>
      </c>
      <c r="D22" s="272" t="s">
        <v>13</v>
      </c>
      <c r="E22" s="267">
        <v>20</v>
      </c>
      <c r="F22" s="272" t="s">
        <v>13</v>
      </c>
      <c r="G22" s="267">
        <v>20</v>
      </c>
      <c r="H22" s="272" t="s">
        <v>13</v>
      </c>
      <c r="I22" s="267">
        <v>20</v>
      </c>
    </row>
    <row r="23" spans="1:9" x14ac:dyDescent="0.35">
      <c r="A23" s="9" t="s">
        <v>224</v>
      </c>
      <c r="B23" s="272" t="s">
        <v>13</v>
      </c>
      <c r="C23" s="267">
        <v>1</v>
      </c>
      <c r="D23" s="272" t="s">
        <v>13</v>
      </c>
      <c r="E23" s="267">
        <v>1</v>
      </c>
      <c r="F23" s="272" t="s">
        <v>13</v>
      </c>
      <c r="G23" s="267">
        <v>1</v>
      </c>
      <c r="H23" s="272" t="s">
        <v>13</v>
      </c>
      <c r="I23" s="267">
        <v>1</v>
      </c>
    </row>
    <row r="24" spans="1:9" ht="15" thickBot="1" x14ac:dyDescent="0.4">
      <c r="A24" s="9" t="s">
        <v>225</v>
      </c>
      <c r="B24" s="276" t="s">
        <v>13</v>
      </c>
      <c r="C24" s="278">
        <v>28</v>
      </c>
      <c r="D24" s="276" t="s">
        <v>13</v>
      </c>
      <c r="E24" s="278">
        <v>28</v>
      </c>
      <c r="F24" s="276" t="s">
        <v>13</v>
      </c>
      <c r="G24" s="278">
        <v>28</v>
      </c>
      <c r="H24" s="276" t="s">
        <v>13</v>
      </c>
      <c r="I24" s="278">
        <v>28</v>
      </c>
    </row>
    <row r="25" spans="1:9" x14ac:dyDescent="0.35">
      <c r="A25" s="9"/>
      <c r="B25" s="185"/>
      <c r="C25" s="186"/>
      <c r="D25" s="218"/>
      <c r="E25" s="219"/>
      <c r="F25" s="218"/>
      <c r="G25" s="114"/>
      <c r="H25" s="191"/>
      <c r="I25" s="216"/>
    </row>
    <row r="26" spans="1:9" x14ac:dyDescent="0.35">
      <c r="A26" s="14" t="s">
        <v>181</v>
      </c>
      <c r="B26" s="191"/>
      <c r="C26" s="216"/>
      <c r="D26" s="221"/>
      <c r="E26" s="222"/>
      <c r="F26" s="221"/>
      <c r="G26" s="226"/>
      <c r="H26" s="185"/>
      <c r="I26" s="216"/>
    </row>
    <row r="27" spans="1:9" x14ac:dyDescent="0.35">
      <c r="A27" s="13" t="s">
        <v>187</v>
      </c>
      <c r="B27" s="215" t="s">
        <v>19</v>
      </c>
      <c r="C27" s="216"/>
      <c r="D27" s="220" t="s">
        <v>19</v>
      </c>
      <c r="E27" s="222"/>
      <c r="F27" s="220" t="s">
        <v>19</v>
      </c>
      <c r="G27" s="226"/>
      <c r="H27" s="215" t="s">
        <v>19</v>
      </c>
      <c r="I27" s="216"/>
    </row>
    <row r="28" spans="1:9" x14ac:dyDescent="0.35">
      <c r="A28" s="13"/>
      <c r="B28" s="185" t="s">
        <v>188</v>
      </c>
      <c r="C28" s="216"/>
      <c r="D28" s="218" t="s">
        <v>188</v>
      </c>
      <c r="E28" s="222"/>
      <c r="F28" s="218" t="s">
        <v>188</v>
      </c>
      <c r="G28" s="226"/>
      <c r="H28" s="185" t="s">
        <v>188</v>
      </c>
      <c r="I28" s="216"/>
    </row>
    <row r="29" spans="1:9" x14ac:dyDescent="0.35">
      <c r="A29" s="13" t="s">
        <v>226</v>
      </c>
      <c r="B29" s="215">
        <v>330</v>
      </c>
      <c r="C29" s="216"/>
      <c r="D29" s="215">
        <v>330</v>
      </c>
      <c r="E29" s="222"/>
      <c r="F29" s="215">
        <v>330</v>
      </c>
      <c r="G29" s="226"/>
      <c r="H29" s="215">
        <v>330</v>
      </c>
      <c r="I29" s="216"/>
    </row>
    <row r="30" spans="1:9" ht="15" thickBot="1" x14ac:dyDescent="0.4">
      <c r="A30" s="13" t="s">
        <v>227</v>
      </c>
      <c r="B30" s="269">
        <v>330</v>
      </c>
      <c r="C30" s="217"/>
      <c r="D30" s="269">
        <v>330</v>
      </c>
      <c r="E30" s="223"/>
      <c r="F30" s="269">
        <v>330</v>
      </c>
      <c r="G30" s="227"/>
      <c r="H30" s="269">
        <v>330</v>
      </c>
      <c r="I30" s="270"/>
    </row>
    <row r="31" spans="1:9" x14ac:dyDescent="0.35">
      <c r="A31" s="9"/>
      <c r="B31" s="9"/>
      <c r="C31" s="9"/>
      <c r="D31" s="9"/>
      <c r="E31" s="9"/>
      <c r="F31" s="9"/>
      <c r="G31" s="9"/>
    </row>
    <row r="32" spans="1:9" x14ac:dyDescent="0.35">
      <c r="A32" s="2" t="s">
        <v>233</v>
      </c>
    </row>
    <row r="33" spans="1:5" x14ac:dyDescent="0.35">
      <c r="A33" s="18" t="s">
        <v>13</v>
      </c>
      <c r="B33" s="8" t="s">
        <v>35</v>
      </c>
      <c r="C33" s="7" t="s">
        <v>46</v>
      </c>
      <c r="D33" s="6"/>
      <c r="E33" s="18" t="s">
        <v>148</v>
      </c>
    </row>
    <row r="34" spans="1:5" x14ac:dyDescent="0.35">
      <c r="A34" s="17" t="s">
        <v>19</v>
      </c>
      <c r="B34" s="5" t="s">
        <v>34</v>
      </c>
      <c r="C34" s="9" t="s">
        <v>47</v>
      </c>
      <c r="D34" s="4"/>
      <c r="E34" s="17" t="s">
        <v>149</v>
      </c>
    </row>
    <row r="35" spans="1:5" x14ac:dyDescent="0.35">
      <c r="A35" s="23"/>
      <c r="B35" s="10" t="s">
        <v>45</v>
      </c>
      <c r="C35" s="1" t="s">
        <v>48</v>
      </c>
      <c r="D35" s="22"/>
      <c r="E35" s="23" t="s">
        <v>19</v>
      </c>
    </row>
  </sheetData>
  <mergeCells count="4">
    <mergeCell ref="B1:C1"/>
    <mergeCell ref="D1:E1"/>
    <mergeCell ref="F1:G1"/>
    <mergeCell ref="H1:I1"/>
  </mergeCells>
  <dataValidations count="3">
    <dataValidation type="list" allowBlank="1" showInputMessage="1" showErrorMessage="1" sqref="H27 B22:B24 B27 F14:F19 F22:F24 F27 D14:D19 D22:D24 D27 B14:B19 H14:H19 H22:H24" xr:uid="{00000000-0002-0000-0900-000000000000}">
      <formula1>YN</formula1>
    </dataValidation>
    <dataValidation type="list" showInputMessage="1" showErrorMessage="1" sqref="B3:B9 F3:F9 D11 D3:D9" xr:uid="{00000000-0002-0000-0900-000001000000}">
      <formula1>Mat_Rec_Opt</formula1>
    </dataValidation>
    <dataValidation type="list" showInputMessage="1" showErrorMessage="1" sqref="B10 F10 D10" xr:uid="{00000000-0002-0000-0900-000002000000}">
      <formula1>YN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86"/>
  <sheetViews>
    <sheetView topLeftCell="A20" workbookViewId="0">
      <selection activeCell="G30" sqref="G30"/>
    </sheetView>
  </sheetViews>
  <sheetFormatPr defaultRowHeight="14.5" x14ac:dyDescent="0.35"/>
  <cols>
    <col min="1" max="1" width="15.7265625" customWidth="1"/>
    <col min="2" max="2" width="13.26953125" customWidth="1"/>
    <col min="3" max="3" width="11.26953125" customWidth="1"/>
    <col min="4" max="4" width="10.54296875" customWidth="1"/>
    <col min="5" max="5" width="19.54296875" customWidth="1"/>
    <col min="6" max="6" width="13.453125" customWidth="1"/>
    <col min="7" max="7" width="15.453125" customWidth="1"/>
    <col min="8" max="10" width="9.54296875" bestFit="1" customWidth="1"/>
  </cols>
  <sheetData>
    <row r="1" spans="1:10" x14ac:dyDescent="0.35">
      <c r="A1" t="s">
        <v>423</v>
      </c>
    </row>
    <row r="2" spans="1:10" s="286" customFormat="1" x14ac:dyDescent="0.35">
      <c r="A2" s="286" t="s">
        <v>422</v>
      </c>
      <c r="B2" s="286" t="str">
        <f>'SS Material Flow'!B227</f>
        <v>OCC</v>
      </c>
      <c r="C2" s="286" t="str">
        <f>'SS Material Flow'!C227</f>
        <v>Non-OCC Fiber</v>
      </c>
      <c r="D2" s="286" t="str">
        <f>'SS Material Flow'!D227</f>
        <v>Al</v>
      </c>
      <c r="E2" s="286" t="str">
        <f>'SS Material Flow'!E227</f>
        <v>Fe</v>
      </c>
      <c r="F2" s="286" t="str">
        <f>'SS Material Flow'!F227</f>
        <v>Film</v>
      </c>
      <c r="G2" s="286" t="str">
        <f>'SS Material Flow'!G227</f>
        <v>HDPE</v>
      </c>
      <c r="H2" s="286" t="str">
        <f>'SS Material Flow'!H227</f>
        <v>PET</v>
      </c>
      <c r="I2" s="286" t="str">
        <f>'SS Material Flow'!I227</f>
        <v>Glass</v>
      </c>
      <c r="J2" s="286" t="s">
        <v>345</v>
      </c>
    </row>
    <row r="3" spans="1:10" s="287" customFormat="1" x14ac:dyDescent="0.35">
      <c r="A3" s="287" t="s">
        <v>364</v>
      </c>
      <c r="B3" s="289">
        <f>'SS Material Flow'!B272</f>
        <v>0.99595</v>
      </c>
      <c r="C3" s="289">
        <f>'SS Material Flow'!C272</f>
        <v>0.98650000000000015</v>
      </c>
      <c r="D3" s="289">
        <f>'SS Material Flow'!D272</f>
        <v>0.96999999999999975</v>
      </c>
      <c r="E3" s="289">
        <f>'SS Material Flow'!E272</f>
        <v>0.98</v>
      </c>
      <c r="F3" s="289">
        <f>'SS Material Flow'!F272</f>
        <v>0.9</v>
      </c>
      <c r="G3" s="289">
        <f>'SS Material Flow'!G272</f>
        <v>0.97853000000000001</v>
      </c>
      <c r="H3" s="289">
        <f>'SS Material Flow'!H272</f>
        <v>0.97853000000000001</v>
      </c>
      <c r="I3" s="289">
        <f>'SS Material Flow'!I272</f>
        <v>0.94090000000000007</v>
      </c>
      <c r="J3" s="289">
        <f>'SS Material Flow'!B274</f>
        <v>2.1362827001293272E-2</v>
      </c>
    </row>
    <row r="4" spans="1:10" s="287" customFormat="1" x14ac:dyDescent="0.35">
      <c r="A4" s="287" t="s">
        <v>365</v>
      </c>
      <c r="B4" s="289" t="e">
        <f>#REF!</f>
        <v>#REF!</v>
      </c>
      <c r="C4" s="289" t="e">
        <f>#REF!</f>
        <v>#REF!</v>
      </c>
      <c r="D4" s="289" t="e">
        <f>#REF!</f>
        <v>#REF!</v>
      </c>
      <c r="E4" s="289" t="e">
        <f>#REF!</f>
        <v>#REF!</v>
      </c>
      <c r="F4" s="289" t="e">
        <f>#REF!</f>
        <v>#REF!</v>
      </c>
      <c r="G4" s="289" t="e">
        <f>#REF!</f>
        <v>#REF!</v>
      </c>
      <c r="H4" s="289" t="e">
        <f>#REF!</f>
        <v>#REF!</v>
      </c>
      <c r="I4" s="289" t="e">
        <f>#REF!</f>
        <v>#REF!</v>
      </c>
      <c r="J4" s="289" t="e">
        <f>#REF!</f>
        <v>#REF!</v>
      </c>
    </row>
    <row r="5" spans="1:10" s="287" customFormat="1" x14ac:dyDescent="0.35">
      <c r="A5" s="287" t="s">
        <v>366</v>
      </c>
      <c r="B5" s="289" t="e">
        <f>#REF!</f>
        <v>#REF!</v>
      </c>
      <c r="C5" s="289" t="e">
        <f>#REF!</f>
        <v>#REF!</v>
      </c>
      <c r="D5" s="289" t="e">
        <f>#REF!</f>
        <v>#REF!</v>
      </c>
      <c r="E5" s="289" t="e">
        <f>#REF!</f>
        <v>#REF!</v>
      </c>
      <c r="F5" s="289" t="e">
        <f>#REF!</f>
        <v>#REF!</v>
      </c>
      <c r="G5" s="289" t="e">
        <f>#REF!</f>
        <v>#REF!</v>
      </c>
      <c r="H5" s="289" t="e">
        <f>#REF!</f>
        <v>#REF!</v>
      </c>
      <c r="I5" s="289" t="e">
        <f>#REF!</f>
        <v>#REF!</v>
      </c>
      <c r="J5" s="289" t="e">
        <f>#REF!</f>
        <v>#REF!</v>
      </c>
    </row>
    <row r="6" spans="1:10" s="293" customFormat="1" x14ac:dyDescent="0.35">
      <c r="A6" s="293" t="s">
        <v>242</v>
      </c>
      <c r="B6" s="294" t="e">
        <f>#REF!</f>
        <v>#REF!</v>
      </c>
      <c r="C6" s="294" t="e">
        <f>#REF!</f>
        <v>#REF!</v>
      </c>
      <c r="D6" s="294" t="e">
        <f>#REF!</f>
        <v>#REF!</v>
      </c>
      <c r="E6" s="294" t="e">
        <f>#REF!</f>
        <v>#REF!</v>
      </c>
      <c r="F6" s="294" t="e">
        <f>#REF!</f>
        <v>#REF!</v>
      </c>
      <c r="G6" s="294" t="e">
        <f>#REF!</f>
        <v>#REF!</v>
      </c>
      <c r="H6" s="294" t="e">
        <f>#REF!</f>
        <v>#REF!</v>
      </c>
      <c r="I6" s="294" t="e">
        <f>#REF!</f>
        <v>#REF!</v>
      </c>
      <c r="J6" s="294" t="e">
        <f>#REF!</f>
        <v>#REF!</v>
      </c>
    </row>
    <row r="8" spans="1:10" x14ac:dyDescent="0.35">
      <c r="A8" t="s">
        <v>245</v>
      </c>
    </row>
    <row r="9" spans="1:10" s="16" customFormat="1" ht="47.5" x14ac:dyDescent="0.45">
      <c r="A9" s="286" t="str">
        <f>A2</f>
        <v>MRF Type</v>
      </c>
      <c r="B9" s="291" t="s">
        <v>470</v>
      </c>
      <c r="C9" s="291" t="s">
        <v>471</v>
      </c>
      <c r="D9" s="291" t="s">
        <v>469</v>
      </c>
      <c r="E9" s="291" t="s">
        <v>468</v>
      </c>
    </row>
    <row r="10" spans="1:10" x14ac:dyDescent="0.35">
      <c r="A10" s="287" t="str">
        <f>A3</f>
        <v>Single-Stream</v>
      </c>
      <c r="B10" s="288">
        <f>Single.Stream!B245</f>
        <v>4.1922360692781524</v>
      </c>
      <c r="C10" s="288">
        <f>Single.Stream!C245</f>
        <v>0.70000000000000051</v>
      </c>
      <c r="D10" s="288">
        <f>Single.Stream!D245</f>
        <v>0</v>
      </c>
      <c r="E10" s="288">
        <f>Single.Stream!E245</f>
        <v>0.93066578928668631</v>
      </c>
      <c r="F10">
        <v>13.8</v>
      </c>
      <c r="G10">
        <f>B10/F10</f>
        <v>0.30378522241146028</v>
      </c>
    </row>
    <row r="11" spans="1:10" hidden="1" x14ac:dyDescent="0.35">
      <c r="A11" s="287"/>
      <c r="B11" s="288" t="e">
        <f>#REF!</f>
        <v>#REF!</v>
      </c>
      <c r="C11" s="288" t="e">
        <f>#REF!</f>
        <v>#REF!</v>
      </c>
      <c r="D11" s="288" t="e">
        <f>#REF!</f>
        <v>#REF!</v>
      </c>
      <c r="E11" s="288" t="e">
        <f>#REF!</f>
        <v>#REF!</v>
      </c>
    </row>
    <row r="12" spans="1:10" x14ac:dyDescent="0.35">
      <c r="A12" s="287" t="str">
        <f>A4</f>
        <v>Mixed-Waste</v>
      </c>
      <c r="B12" s="288" t="e">
        <f>#REF!</f>
        <v>#REF!</v>
      </c>
      <c r="C12" s="288" t="e">
        <f>#REF!</f>
        <v>#REF!</v>
      </c>
      <c r="D12" s="288" t="e">
        <f>#REF!</f>
        <v>#REF!</v>
      </c>
      <c r="E12" s="288" t="e">
        <f>#REF!</f>
        <v>#REF!</v>
      </c>
      <c r="I12" t="e">
        <f>#REF!/'Tables and Figures'!B12</f>
        <v>#REF!</v>
      </c>
    </row>
    <row r="13" spans="1:10" hidden="1" x14ac:dyDescent="0.35">
      <c r="A13" s="287"/>
      <c r="B13" s="288" t="e">
        <f>#REF!</f>
        <v>#REF!</v>
      </c>
      <c r="C13" s="288" t="e">
        <f>#REF!</f>
        <v>#REF!</v>
      </c>
      <c r="D13" s="288" t="e">
        <f>#REF!</f>
        <v>#REF!</v>
      </c>
      <c r="E13" s="288" t="e">
        <f>#REF!</f>
        <v>#REF!</v>
      </c>
    </row>
    <row r="14" spans="1:10" x14ac:dyDescent="0.35">
      <c r="A14" s="287" t="str">
        <f>A5</f>
        <v>Dual-Stream</v>
      </c>
      <c r="B14" s="288" t="e">
        <f>#REF!</f>
        <v>#REF!</v>
      </c>
      <c r="C14" s="288" t="e">
        <f>#REF!</f>
        <v>#REF!</v>
      </c>
      <c r="D14" s="288" t="e">
        <f>#REF!</f>
        <v>#REF!</v>
      </c>
      <c r="E14" s="288" t="e">
        <f>#REF!</f>
        <v>#REF!</v>
      </c>
      <c r="F14">
        <v>11.5</v>
      </c>
      <c r="G14" t="e">
        <f>B14/F14</f>
        <v>#REF!</v>
      </c>
    </row>
    <row r="15" spans="1:10" hidden="1" x14ac:dyDescent="0.35">
      <c r="A15" s="287"/>
      <c r="B15" s="288" t="e">
        <f>#REF!</f>
        <v>#REF!</v>
      </c>
      <c r="C15" s="288" t="e">
        <f>#REF!</f>
        <v>#REF!</v>
      </c>
      <c r="D15" s="288" t="e">
        <f>#REF!</f>
        <v>#REF!</v>
      </c>
      <c r="E15" s="288" t="e">
        <f>#REF!</f>
        <v>#REF!</v>
      </c>
    </row>
    <row r="16" spans="1:10" x14ac:dyDescent="0.35">
      <c r="A16" s="287" t="str">
        <f>A6</f>
        <v>Pre-Sorted</v>
      </c>
      <c r="B16" s="288" t="e">
        <f>#REF!</f>
        <v>#REF!</v>
      </c>
      <c r="C16" s="288" t="e">
        <f>#REF!</f>
        <v>#REF!</v>
      </c>
      <c r="D16" s="288" t="e">
        <f>#REF!</f>
        <v>#REF!</v>
      </c>
      <c r="E16" s="288" t="e">
        <f>#REF!</f>
        <v>#REF!</v>
      </c>
    </row>
    <row r="17" spans="1:17" x14ac:dyDescent="0.35">
      <c r="B17" s="32"/>
      <c r="C17" s="32"/>
      <c r="D17" s="32"/>
      <c r="E17" s="32"/>
    </row>
    <row r="18" spans="1:17" x14ac:dyDescent="0.35">
      <c r="A18" t="s">
        <v>377</v>
      </c>
      <c r="B18" s="26">
        <v>0.1</v>
      </c>
      <c r="C18" s="32"/>
      <c r="D18" s="32"/>
      <c r="E18" s="32"/>
    </row>
    <row r="19" spans="1:17" x14ac:dyDescent="0.35">
      <c r="A19" t="s">
        <v>378</v>
      </c>
      <c r="B19" s="26">
        <v>1</v>
      </c>
      <c r="C19" s="32"/>
      <c r="D19" s="32"/>
      <c r="E19" s="32"/>
    </row>
    <row r="20" spans="1:17" x14ac:dyDescent="0.35">
      <c r="A20" s="9" t="s">
        <v>473</v>
      </c>
      <c r="B20" s="9">
        <f>SUMPRODUCT(Common!C67:H67,Common!C70:H70)</f>
        <v>3.2217479959662079</v>
      </c>
    </row>
    <row r="21" spans="1:17" s="16" customFormat="1" ht="72.5" x14ac:dyDescent="0.35">
      <c r="A21" s="286" t="str">
        <f>A9</f>
        <v>MRF Type</v>
      </c>
      <c r="B21" s="291" t="str">
        <f>Single.Stream!F202</f>
        <v>Average Cost of Ownership (Equipment) ($/Mg input)</v>
      </c>
      <c r="C21" s="291" t="str">
        <f>Single.Stream!G202</f>
        <v>Labor ($/Mg input)</v>
      </c>
      <c r="D21" s="291" t="str">
        <f>Single.Stream!H202</f>
        <v>Wire Cost ($/Mg input)</v>
      </c>
      <c r="E21" s="291" t="s">
        <v>375</v>
      </c>
      <c r="F21" s="291" t="str">
        <f>Single.Stream!J202</f>
        <v>Capital Costs (Building and Land) ($/Mg per year)</v>
      </c>
      <c r="G21" s="291" t="s">
        <v>367</v>
      </c>
      <c r="I21" s="16" t="s">
        <v>511</v>
      </c>
      <c r="J21" s="16" t="str">
        <f>Single.Stream!K202</f>
        <v>Revenue ($/Mg)</v>
      </c>
      <c r="K21" s="284" t="str">
        <f>Single.Stream!I202</f>
        <v>Total O&amp;M Cost ($/Mg input)</v>
      </c>
      <c r="M21" s="16" t="s">
        <v>426</v>
      </c>
      <c r="N21" s="16" t="s">
        <v>427</v>
      </c>
      <c r="O21" s="16" t="s">
        <v>428</v>
      </c>
      <c r="P21" s="16" t="s">
        <v>429</v>
      </c>
      <c r="Q21" s="16" t="s">
        <v>430</v>
      </c>
    </row>
    <row r="22" spans="1:17" x14ac:dyDescent="0.35">
      <c r="A22" s="287" t="str">
        <f>A10</f>
        <v>Single-Stream</v>
      </c>
      <c r="B22" s="288">
        <f>Single.Stream!F245</f>
        <v>4.4896856145512078</v>
      </c>
      <c r="C22" s="288">
        <f>Single.Stream!G245</f>
        <v>1.7904391591490354</v>
      </c>
      <c r="D22" s="288">
        <f>Single.Stream!H245</f>
        <v>1.9590514864484745</v>
      </c>
      <c r="E22" s="288">
        <f t="shared" ref="E22:E28" si="0">B10*$B$18+C10*$B$19</f>
        <v>1.1192236069278159</v>
      </c>
      <c r="F22" s="288">
        <f>Single.Stream!J245</f>
        <v>12.265493399927907</v>
      </c>
      <c r="G22" s="292">
        <f t="shared" ref="G22:G28" si="1">K22+F22+E22</f>
        <v>21.623893267004437</v>
      </c>
      <c r="I22" s="54">
        <f t="shared" ref="I22:I28" si="2">G22-C22</f>
        <v>19.833454107855403</v>
      </c>
      <c r="J22" s="347">
        <f>Single.Stream!K245</f>
        <v>214.82395176024212</v>
      </c>
      <c r="K22" s="285">
        <f>Single.Stream!I245</f>
        <v>8.2391762601487137</v>
      </c>
      <c r="M22" s="283">
        <f t="shared" ref="M22:Q28" si="3">B22/$G22</f>
        <v>0.20762614572288651</v>
      </c>
      <c r="N22" s="283">
        <f t="shared" si="3"/>
        <v>8.2799111937952391E-2</v>
      </c>
      <c r="O22" s="283">
        <f t="shared" si="3"/>
        <v>9.0596612842043608E-2</v>
      </c>
      <c r="P22" s="283">
        <f t="shared" si="3"/>
        <v>5.1758653869958829E-2</v>
      </c>
      <c r="Q22" s="283">
        <f t="shared" si="3"/>
        <v>0.5672194756271588</v>
      </c>
    </row>
    <row r="23" spans="1:17" hidden="1" x14ac:dyDescent="0.35">
      <c r="A23" s="287"/>
      <c r="B23" s="288" t="e">
        <f>#REF!</f>
        <v>#REF!</v>
      </c>
      <c r="C23" s="288" t="e">
        <f>#REF!</f>
        <v>#REF!</v>
      </c>
      <c r="D23" s="288" t="e">
        <f>#REF!</f>
        <v>#REF!</v>
      </c>
      <c r="E23" s="288" t="e">
        <f t="shared" si="0"/>
        <v>#REF!</v>
      </c>
      <c r="F23" s="288" t="e">
        <f>#REF!</f>
        <v>#REF!</v>
      </c>
      <c r="G23" s="288" t="e">
        <f t="shared" si="1"/>
        <v>#REF!</v>
      </c>
      <c r="I23" s="54" t="e">
        <f t="shared" si="2"/>
        <v>#REF!</v>
      </c>
      <c r="J23" t="e">
        <f>#REF!</f>
        <v>#REF!</v>
      </c>
      <c r="K23" s="26" t="e">
        <f>#REF!</f>
        <v>#REF!</v>
      </c>
      <c r="M23" s="283" t="e">
        <f t="shared" si="3"/>
        <v>#REF!</v>
      </c>
      <c r="N23" s="283" t="e">
        <f t="shared" si="3"/>
        <v>#REF!</v>
      </c>
      <c r="O23" s="283" t="e">
        <f t="shared" si="3"/>
        <v>#REF!</v>
      </c>
      <c r="P23" s="283" t="e">
        <f t="shared" si="3"/>
        <v>#REF!</v>
      </c>
      <c r="Q23" s="283" t="e">
        <f t="shared" si="3"/>
        <v>#REF!</v>
      </c>
    </row>
    <row r="24" spans="1:17" x14ac:dyDescent="0.35">
      <c r="A24" s="287" t="str">
        <f>A12</f>
        <v>Mixed-Waste</v>
      </c>
      <c r="B24" s="288" t="e">
        <f>#REF!</f>
        <v>#REF!</v>
      </c>
      <c r="C24" s="288" t="e">
        <f>#REF!</f>
        <v>#REF!</v>
      </c>
      <c r="D24" s="288" t="e">
        <f>#REF!</f>
        <v>#REF!</v>
      </c>
      <c r="E24" s="288" t="e">
        <f t="shared" si="0"/>
        <v>#REF!</v>
      </c>
      <c r="F24" s="288" t="e">
        <f>#REF!</f>
        <v>#REF!</v>
      </c>
      <c r="G24" s="288" t="e">
        <f t="shared" si="1"/>
        <v>#REF!</v>
      </c>
      <c r="I24" s="54" t="e">
        <f t="shared" si="2"/>
        <v>#REF!</v>
      </c>
      <c r="J24" s="32" t="e">
        <f>#REF!</f>
        <v>#REF!</v>
      </c>
      <c r="K24" s="285" t="e">
        <f>#REF!</f>
        <v>#REF!</v>
      </c>
      <c r="M24" s="283" t="e">
        <f t="shared" si="3"/>
        <v>#REF!</v>
      </c>
      <c r="N24" s="283" t="e">
        <f t="shared" si="3"/>
        <v>#REF!</v>
      </c>
      <c r="O24" s="283" t="e">
        <f t="shared" si="3"/>
        <v>#REF!</v>
      </c>
      <c r="P24" s="283" t="e">
        <f t="shared" si="3"/>
        <v>#REF!</v>
      </c>
      <c r="Q24" s="283" t="e">
        <f t="shared" si="3"/>
        <v>#REF!</v>
      </c>
    </row>
    <row r="25" spans="1:17" hidden="1" x14ac:dyDescent="0.35">
      <c r="A25" s="287"/>
      <c r="B25" s="288" t="e">
        <f>#REF!</f>
        <v>#REF!</v>
      </c>
      <c r="C25" s="288" t="e">
        <f>#REF!</f>
        <v>#REF!</v>
      </c>
      <c r="D25" s="288" t="e">
        <f>#REF!</f>
        <v>#REF!</v>
      </c>
      <c r="E25" s="288" t="e">
        <f t="shared" si="0"/>
        <v>#REF!</v>
      </c>
      <c r="F25" s="288" t="e">
        <f>#REF!</f>
        <v>#REF!</v>
      </c>
      <c r="G25" s="288" t="e">
        <f t="shared" si="1"/>
        <v>#REF!</v>
      </c>
      <c r="I25" s="54" t="e">
        <f t="shared" si="2"/>
        <v>#REF!</v>
      </c>
      <c r="J25" t="e">
        <f>#REF!</f>
        <v>#REF!</v>
      </c>
      <c r="K25" s="26" t="e">
        <f>#REF!</f>
        <v>#REF!</v>
      </c>
      <c r="M25" s="283" t="e">
        <f t="shared" si="3"/>
        <v>#REF!</v>
      </c>
      <c r="N25" s="283" t="e">
        <f t="shared" si="3"/>
        <v>#REF!</v>
      </c>
      <c r="O25" s="283" t="e">
        <f t="shared" si="3"/>
        <v>#REF!</v>
      </c>
      <c r="P25" s="283" t="e">
        <f t="shared" si="3"/>
        <v>#REF!</v>
      </c>
      <c r="Q25" s="283" t="e">
        <f t="shared" si="3"/>
        <v>#REF!</v>
      </c>
    </row>
    <row r="26" spans="1:17" x14ac:dyDescent="0.35">
      <c r="A26" s="287" t="str">
        <f>A14</f>
        <v>Dual-Stream</v>
      </c>
      <c r="B26" s="288" t="e">
        <f>#REF!</f>
        <v>#REF!</v>
      </c>
      <c r="C26" s="288" t="e">
        <f>#REF!</f>
        <v>#REF!</v>
      </c>
      <c r="D26" s="288" t="e">
        <f>#REF!</f>
        <v>#REF!</v>
      </c>
      <c r="E26" s="288" t="e">
        <f t="shared" si="0"/>
        <v>#REF!</v>
      </c>
      <c r="F26" s="288" t="e">
        <f>#REF!</f>
        <v>#REF!</v>
      </c>
      <c r="G26" s="288" t="e">
        <f t="shared" si="1"/>
        <v>#REF!</v>
      </c>
      <c r="I26" s="54" t="e">
        <f t="shared" si="2"/>
        <v>#REF!</v>
      </c>
      <c r="J26" s="32" t="e">
        <f>#REF!</f>
        <v>#REF!</v>
      </c>
      <c r="K26" s="285" t="e">
        <f>#REF!</f>
        <v>#REF!</v>
      </c>
      <c r="M26" s="283" t="e">
        <f t="shared" si="3"/>
        <v>#REF!</v>
      </c>
      <c r="N26" s="283" t="e">
        <f t="shared" si="3"/>
        <v>#REF!</v>
      </c>
      <c r="O26" s="283" t="e">
        <f t="shared" si="3"/>
        <v>#REF!</v>
      </c>
      <c r="P26" s="283" t="e">
        <f t="shared" si="3"/>
        <v>#REF!</v>
      </c>
      <c r="Q26" s="283" t="e">
        <f t="shared" si="3"/>
        <v>#REF!</v>
      </c>
    </row>
    <row r="27" spans="1:17" hidden="1" x14ac:dyDescent="0.35">
      <c r="A27" s="287"/>
      <c r="B27" s="288" t="e">
        <f>#REF!</f>
        <v>#REF!</v>
      </c>
      <c r="C27" s="288" t="e">
        <f>#REF!</f>
        <v>#REF!</v>
      </c>
      <c r="D27" s="288" t="e">
        <f>#REF!</f>
        <v>#REF!</v>
      </c>
      <c r="E27" s="288" t="e">
        <f t="shared" si="0"/>
        <v>#REF!</v>
      </c>
      <c r="F27" s="288" t="e">
        <f>#REF!</f>
        <v>#REF!</v>
      </c>
      <c r="G27" s="288" t="e">
        <f t="shared" si="1"/>
        <v>#REF!</v>
      </c>
      <c r="I27" s="54" t="e">
        <f t="shared" si="2"/>
        <v>#REF!</v>
      </c>
      <c r="J27" t="e">
        <f>#REF!</f>
        <v>#REF!</v>
      </c>
      <c r="K27" s="26" t="e">
        <f>#REF!</f>
        <v>#REF!</v>
      </c>
      <c r="M27" s="283" t="e">
        <f t="shared" si="3"/>
        <v>#REF!</v>
      </c>
      <c r="N27" s="283" t="e">
        <f t="shared" si="3"/>
        <v>#REF!</v>
      </c>
      <c r="O27" s="283" t="e">
        <f t="shared" si="3"/>
        <v>#REF!</v>
      </c>
      <c r="P27" s="283" t="e">
        <f t="shared" si="3"/>
        <v>#REF!</v>
      </c>
      <c r="Q27" s="283" t="e">
        <f t="shared" si="3"/>
        <v>#REF!</v>
      </c>
    </row>
    <row r="28" spans="1:17" x14ac:dyDescent="0.35">
      <c r="A28" s="287" t="str">
        <f>A16</f>
        <v>Pre-Sorted</v>
      </c>
      <c r="B28" s="288" t="e">
        <f>#REF!</f>
        <v>#REF!</v>
      </c>
      <c r="C28" s="288" t="e">
        <f>#REF!</f>
        <v>#REF!</v>
      </c>
      <c r="D28" s="288" t="e">
        <f>#REF!</f>
        <v>#REF!</v>
      </c>
      <c r="E28" s="288" t="e">
        <f t="shared" si="0"/>
        <v>#REF!</v>
      </c>
      <c r="F28" s="288" t="e">
        <f>#REF!</f>
        <v>#REF!</v>
      </c>
      <c r="G28" s="288" t="e">
        <f t="shared" si="1"/>
        <v>#REF!</v>
      </c>
      <c r="I28" s="54" t="e">
        <f t="shared" si="2"/>
        <v>#REF!</v>
      </c>
      <c r="J28" s="32" t="e">
        <f>#REF!</f>
        <v>#REF!</v>
      </c>
      <c r="K28" s="285" t="e">
        <f>#REF!</f>
        <v>#REF!</v>
      </c>
      <c r="M28" s="283" t="e">
        <f t="shared" si="3"/>
        <v>#REF!</v>
      </c>
      <c r="N28" s="283" t="e">
        <f t="shared" si="3"/>
        <v>#REF!</v>
      </c>
      <c r="O28" s="283" t="e">
        <f t="shared" si="3"/>
        <v>#REF!</v>
      </c>
      <c r="P28" s="283" t="e">
        <f t="shared" si="3"/>
        <v>#REF!</v>
      </c>
      <c r="Q28" s="283" t="e">
        <f t="shared" si="3"/>
        <v>#REF!</v>
      </c>
    </row>
    <row r="31" spans="1:17" x14ac:dyDescent="0.35">
      <c r="A31" t="s">
        <v>368</v>
      </c>
    </row>
    <row r="32" spans="1:17" x14ac:dyDescent="0.35">
      <c r="B32" t="s">
        <v>370</v>
      </c>
      <c r="C32" t="s">
        <v>371</v>
      </c>
      <c r="D32" t="s">
        <v>372</v>
      </c>
      <c r="E32" t="s">
        <v>373</v>
      </c>
    </row>
    <row r="33" spans="1:10" x14ac:dyDescent="0.35">
      <c r="A33" t="s">
        <v>369</v>
      </c>
      <c r="B33" s="26">
        <f>SUMPRODUCT(Common!C65:H65,Common!C70:H70)</f>
        <v>0.78163091236846827</v>
      </c>
      <c r="C33" s="26">
        <f>SUMPRODUCT(Common!C67:H67,Common!C70:H70)</f>
        <v>3.2217479959662079</v>
      </c>
      <c r="D33" s="26">
        <f>SUMPRODUCT(Common!C68:H68,Common!C70:H70)</f>
        <v>0</v>
      </c>
      <c r="E33" s="26">
        <f>SUMPRODUCT(Common!C69:H69,Common!C70:H70)</f>
        <v>0.39555000000000001</v>
      </c>
    </row>
    <row r="34" spans="1:10" x14ac:dyDescent="0.35">
      <c r="A34" s="286" t="str">
        <f>A2</f>
        <v>MRF Type</v>
      </c>
      <c r="B34" s="286" t="s">
        <v>458</v>
      </c>
      <c r="C34" s="286" t="s">
        <v>459</v>
      </c>
      <c r="D34" s="286" t="s">
        <v>460</v>
      </c>
      <c r="E34" s="286" t="s">
        <v>424</v>
      </c>
      <c r="G34" s="12"/>
    </row>
    <row r="35" spans="1:10" x14ac:dyDescent="0.35">
      <c r="A35" s="287" t="str">
        <f>A3</f>
        <v>Single-Stream</v>
      </c>
      <c r="B35" s="288">
        <f>$B$33*B10</f>
        <v>3.2767813036938835</v>
      </c>
      <c r="C35" s="288">
        <f>C10*$C$33</f>
        <v>2.255223597176347</v>
      </c>
      <c r="D35" s="288">
        <f>E10*$E$33</f>
        <v>0.36812485295234876</v>
      </c>
      <c r="E35" s="288">
        <f>SUMPRODUCT(B10:E10,$B$33:$E$33)</f>
        <v>5.9001297538225792</v>
      </c>
    </row>
    <row r="36" spans="1:10" x14ac:dyDescent="0.35">
      <c r="A36" s="287" t="str">
        <f t="shared" ref="A36:A38" si="4">A4</f>
        <v>Mixed-Waste</v>
      </c>
      <c r="B36" s="288" t="e">
        <f>$B$33*B12</f>
        <v>#REF!</v>
      </c>
      <c r="C36" s="288" t="e">
        <f>C12*$C$33</f>
        <v>#REF!</v>
      </c>
      <c r="D36" s="288" t="e">
        <f>E12*$E$33</f>
        <v>#REF!</v>
      </c>
      <c r="E36" s="288" t="e">
        <f>SUMPRODUCT(B12:E12,$B$33:$E$33)</f>
        <v>#REF!</v>
      </c>
    </row>
    <row r="37" spans="1:10" x14ac:dyDescent="0.35">
      <c r="A37" s="287" t="str">
        <f t="shared" si="4"/>
        <v>Dual-Stream</v>
      </c>
      <c r="B37" s="288" t="e">
        <f>$B$33*B14</f>
        <v>#REF!</v>
      </c>
      <c r="C37" s="288" t="e">
        <f>C14*$C$33</f>
        <v>#REF!</v>
      </c>
      <c r="D37" s="288" t="e">
        <f>E14*$E$33</f>
        <v>#REF!</v>
      </c>
      <c r="E37" s="288" t="e">
        <f>SUMPRODUCT(B14:E14,$B$33:$E$33)</f>
        <v>#REF!</v>
      </c>
    </row>
    <row r="38" spans="1:10" x14ac:dyDescent="0.35">
      <c r="A38" s="287" t="str">
        <f t="shared" si="4"/>
        <v>Pre-Sorted</v>
      </c>
      <c r="B38" s="288" t="e">
        <f>$B$33*B16</f>
        <v>#REF!</v>
      </c>
      <c r="C38" s="288" t="e">
        <f>C16*$C$33</f>
        <v>#REF!</v>
      </c>
      <c r="D38" s="288" t="e">
        <f>E16*$E$33</f>
        <v>#REF!</v>
      </c>
      <c r="E38" s="288" t="e">
        <f>SUMPRODUCT(B16:E16,$B$33:$E$33)</f>
        <v>#REF!</v>
      </c>
    </row>
    <row r="40" spans="1:10" x14ac:dyDescent="0.35">
      <c r="A40" t="s">
        <v>421</v>
      </c>
      <c r="F40" t="s">
        <v>466</v>
      </c>
    </row>
    <row r="41" spans="1:10" x14ac:dyDescent="0.35">
      <c r="A41" s="286" t="s">
        <v>376</v>
      </c>
      <c r="B41" s="286" t="str">
        <f t="array" ref="B41:E41">TRANSPOSE(A35:A38)</f>
        <v>Single-Stream</v>
      </c>
      <c r="C41" s="286" t="str">
        <v>Mixed-Waste</v>
      </c>
      <c r="D41" s="286" t="str">
        <v>Dual-Stream</v>
      </c>
      <c r="E41" s="286" t="str">
        <v>Pre-Sorted</v>
      </c>
      <c r="F41" s="286" t="s">
        <v>376</v>
      </c>
      <c r="G41" s="286" t="s">
        <v>453</v>
      </c>
      <c r="H41" s="286" t="s">
        <v>420</v>
      </c>
      <c r="I41" s="286" t="s">
        <v>452</v>
      </c>
      <c r="J41" s="286" t="s">
        <v>454</v>
      </c>
    </row>
    <row r="42" spans="1:10" x14ac:dyDescent="0.35">
      <c r="A42" s="287" t="str">
        <f>'SS Material Flow'!A93</f>
        <v>Yard Trimmings, Leaves</v>
      </c>
      <c r="B42" s="288">
        <f>'SS Material Flow'!B93</f>
        <v>9.9999999999999995E-7</v>
      </c>
      <c r="C42" s="288" t="e">
        <f>#REF!</f>
        <v>#REF!</v>
      </c>
      <c r="D42" s="288" t="e">
        <f>#REF!</f>
        <v>#REF!</v>
      </c>
      <c r="E42" s="288" t="e">
        <f>#REF!</f>
        <v>#REF!</v>
      </c>
      <c r="F42" s="287" t="s">
        <v>388</v>
      </c>
      <c r="G42" s="288">
        <v>9.9999999999999995E-7</v>
      </c>
      <c r="H42" s="288">
        <v>9.9999999999999995E-7</v>
      </c>
      <c r="I42" s="288">
        <v>9.9999999999999995E-7</v>
      </c>
      <c r="J42" s="288">
        <v>9.9999999999999995E-7</v>
      </c>
    </row>
    <row r="43" spans="1:10" x14ac:dyDescent="0.35">
      <c r="A43" s="287" t="str">
        <f>'SS Material Flow'!A94</f>
        <v>Yard Trimmings, Grass</v>
      </c>
      <c r="B43" s="288">
        <f>'SS Material Flow'!B94</f>
        <v>9.9999999999999995E-7</v>
      </c>
      <c r="C43" s="288" t="e">
        <f>#REF!</f>
        <v>#REF!</v>
      </c>
      <c r="D43" s="288" t="e">
        <f>#REF!</f>
        <v>#REF!</v>
      </c>
      <c r="E43" s="288" t="e">
        <f>#REF!</f>
        <v>#REF!</v>
      </c>
      <c r="F43" s="287" t="s">
        <v>389</v>
      </c>
      <c r="G43" s="288">
        <v>9.9999999999999995E-7</v>
      </c>
      <c r="H43" s="288">
        <v>9.9999999999999995E-7</v>
      </c>
      <c r="I43" s="288">
        <v>9.9999999999999995E-7</v>
      </c>
      <c r="J43" s="288">
        <v>9.9999999999999995E-7</v>
      </c>
    </row>
    <row r="44" spans="1:10" x14ac:dyDescent="0.35">
      <c r="A44" s="287" t="str">
        <f>'SS Material Flow'!A95</f>
        <v>Yard Trimmings, Branches</v>
      </c>
      <c r="B44" s="288">
        <f>'SS Material Flow'!B95</f>
        <v>9.9999999999999995E-7</v>
      </c>
      <c r="C44" s="288" t="e">
        <f>#REF!</f>
        <v>#REF!</v>
      </c>
      <c r="D44" s="288" t="e">
        <f>#REF!</f>
        <v>#REF!</v>
      </c>
      <c r="E44" s="288" t="e">
        <f>#REF!</f>
        <v>#REF!</v>
      </c>
      <c r="F44" s="287" t="s">
        <v>390</v>
      </c>
      <c r="G44" s="288">
        <v>9.9999999999999995E-7</v>
      </c>
      <c r="H44" s="288">
        <v>9.9999999999999995E-7</v>
      </c>
      <c r="I44" s="288">
        <v>9.9999999999999995E-7</v>
      </c>
      <c r="J44" s="288">
        <v>9.9999999999999995E-7</v>
      </c>
    </row>
    <row r="45" spans="1:10" x14ac:dyDescent="0.35">
      <c r="A45" s="287" t="str">
        <f>'SS Material Flow'!A96</f>
        <v>Food Waste - Vegetable</v>
      </c>
      <c r="B45" s="288">
        <f>'SS Material Flow'!B96</f>
        <v>9.9999999999999995E-7</v>
      </c>
      <c r="C45" s="288" t="e">
        <f>#REF!</f>
        <v>#REF!</v>
      </c>
      <c r="D45" s="288" t="e">
        <f>#REF!</f>
        <v>#REF!</v>
      </c>
      <c r="E45" s="288" t="e">
        <f>#REF!</f>
        <v>#REF!</v>
      </c>
      <c r="F45" s="287" t="s">
        <v>391</v>
      </c>
      <c r="G45" s="288">
        <v>9.9999999999999995E-7</v>
      </c>
      <c r="H45" s="288">
        <v>9.9999999999999995E-7</v>
      </c>
      <c r="I45" s="288">
        <v>9.9999999999999995E-7</v>
      </c>
      <c r="J45" s="288">
        <v>9.9999999999999995E-7</v>
      </c>
    </row>
    <row r="46" spans="1:10" x14ac:dyDescent="0.35">
      <c r="A46" s="287" t="str">
        <f>'SS Material Flow'!A97</f>
        <v>Food Waste - Non-Vegetable</v>
      </c>
      <c r="B46" s="288">
        <f>'SS Material Flow'!B97</f>
        <v>9.9999999999999995E-7</v>
      </c>
      <c r="C46" s="288" t="e">
        <f>#REF!</f>
        <v>#REF!</v>
      </c>
      <c r="D46" s="288" t="e">
        <f>#REF!</f>
        <v>#REF!</v>
      </c>
      <c r="E46" s="288" t="e">
        <f>#REF!</f>
        <v>#REF!</v>
      </c>
      <c r="F46" s="287" t="s">
        <v>392</v>
      </c>
      <c r="G46" s="288">
        <v>9.9999999999999995E-7</v>
      </c>
      <c r="H46" s="288">
        <v>9.9999999999999995E-7</v>
      </c>
      <c r="I46" s="288">
        <v>9.9999999999999995E-7</v>
      </c>
      <c r="J46" s="288">
        <v>9.9999999999999995E-7</v>
      </c>
    </row>
    <row r="47" spans="1:10" x14ac:dyDescent="0.35">
      <c r="A47" s="287" t="str">
        <f>'SS Material Flow'!A98</f>
        <v>Wood</v>
      </c>
      <c r="B47" s="288">
        <f>'SS Material Flow'!B98</f>
        <v>9.9999999999999995E-7</v>
      </c>
      <c r="C47" s="288" t="e">
        <f>#REF!</f>
        <v>#REF!</v>
      </c>
      <c r="D47" s="288" t="e">
        <f>#REF!</f>
        <v>#REF!</v>
      </c>
      <c r="E47" s="288" t="e">
        <f>#REF!</f>
        <v>#REF!</v>
      </c>
      <c r="F47" s="287" t="s">
        <v>393</v>
      </c>
      <c r="G47" s="288">
        <v>9.9999999999999995E-7</v>
      </c>
      <c r="H47" s="288">
        <v>9.9999999999999995E-7</v>
      </c>
      <c r="I47" s="288">
        <v>9.9999999999999995E-7</v>
      </c>
      <c r="J47" s="288">
        <v>9.9999999999999995E-7</v>
      </c>
    </row>
    <row r="48" spans="1:10" hidden="1" x14ac:dyDescent="0.35">
      <c r="A48" s="287" t="str">
        <f>'SS Material Flow'!A99</f>
        <v>Wood Other</v>
      </c>
      <c r="B48" s="288">
        <f>'SS Material Flow'!B99</f>
        <v>9.9999999999999995E-7</v>
      </c>
      <c r="C48" s="288" t="e">
        <f>#REF!</f>
        <v>#REF!</v>
      </c>
      <c r="D48" s="288" t="e">
        <f>#REF!</f>
        <v>#REF!</v>
      </c>
      <c r="E48" s="288" t="e">
        <f>#REF!</f>
        <v>#REF!</v>
      </c>
      <c r="F48" s="287" t="s">
        <v>394</v>
      </c>
      <c r="G48" s="288">
        <v>9.9999999999999995E-7</v>
      </c>
      <c r="H48" s="288">
        <v>9.9999999999999995E-7</v>
      </c>
      <c r="I48" s="288">
        <v>9.9999999999999995E-7</v>
      </c>
      <c r="J48" s="288">
        <v>9.9999999999999995E-7</v>
      </c>
    </row>
    <row r="49" spans="1:10" x14ac:dyDescent="0.35">
      <c r="A49" s="287" t="str">
        <f>'SS Material Flow'!A100</f>
        <v>Textiles</v>
      </c>
      <c r="B49" s="288">
        <f>'SS Material Flow'!B100</f>
        <v>9.9999999999999995E-7</v>
      </c>
      <c r="C49" s="288" t="e">
        <f>#REF!</f>
        <v>#REF!</v>
      </c>
      <c r="D49" s="288" t="e">
        <f>#REF!</f>
        <v>#REF!</v>
      </c>
      <c r="E49" s="288" t="e">
        <f>#REF!</f>
        <v>#REF!</v>
      </c>
      <c r="F49" s="287" t="s">
        <v>395</v>
      </c>
      <c r="G49" s="288">
        <v>0.9</v>
      </c>
      <c r="H49" s="288">
        <v>9.9999999999999995E-7</v>
      </c>
      <c r="I49" s="288">
        <v>9.9999999999999995E-7</v>
      </c>
      <c r="J49" s="288">
        <v>9.9999999999999995E-7</v>
      </c>
    </row>
    <row r="50" spans="1:10" x14ac:dyDescent="0.35">
      <c r="A50" s="287" t="str">
        <f>'SS Material Flow'!A101</f>
        <v>Rubber/Leather</v>
      </c>
      <c r="B50" s="288">
        <f>'SS Material Flow'!B101</f>
        <v>9.9999999999999995E-7</v>
      </c>
      <c r="C50" s="288" t="e">
        <f>#REF!</f>
        <v>#REF!</v>
      </c>
      <c r="D50" s="288" t="e">
        <f>#REF!</f>
        <v>#REF!</v>
      </c>
      <c r="E50" s="288" t="e">
        <f>#REF!</f>
        <v>#REF!</v>
      </c>
      <c r="F50" s="287" t="s">
        <v>396</v>
      </c>
      <c r="G50" s="288">
        <v>9.9999999999999995E-7</v>
      </c>
      <c r="H50" s="288">
        <v>9.9999999999999995E-7</v>
      </c>
      <c r="I50" s="288">
        <v>9.9999999999999995E-7</v>
      </c>
      <c r="J50" s="288">
        <v>9.9999999999999995E-7</v>
      </c>
    </row>
    <row r="51" spans="1:10" x14ac:dyDescent="0.35">
      <c r="A51" s="287" t="str">
        <f>'SS Material Flow'!A102</f>
        <v>Newsprint</v>
      </c>
      <c r="B51" s="288">
        <f>'SS Material Flow'!B102</f>
        <v>13.5</v>
      </c>
      <c r="C51" s="288" t="e">
        <f>#REF!</f>
        <v>#REF!</v>
      </c>
      <c r="D51" s="288" t="e">
        <f>#REF!</f>
        <v>#REF!</v>
      </c>
      <c r="E51" s="288" t="e">
        <f>#REF!</f>
        <v>#REF!</v>
      </c>
      <c r="F51" s="287" t="s">
        <v>217</v>
      </c>
      <c r="G51" s="288">
        <v>19.5</v>
      </c>
      <c r="H51" s="288">
        <v>13.5</v>
      </c>
      <c r="I51" s="288">
        <v>53.16</v>
      </c>
      <c r="J51" s="288">
        <v>45.7</v>
      </c>
    </row>
    <row r="52" spans="1:10" x14ac:dyDescent="0.35">
      <c r="A52" s="287" t="str">
        <f>'SS Material Flow'!A103</f>
        <v>Corr. Cardboard</v>
      </c>
      <c r="B52" s="288">
        <f>'SS Material Flow'!B103</f>
        <v>39.799999999999997</v>
      </c>
      <c r="C52" s="288" t="e">
        <f>#REF!</f>
        <v>#REF!</v>
      </c>
      <c r="D52" s="288" t="e">
        <f>#REF!</f>
        <v>#REF!</v>
      </c>
      <c r="E52" s="288" t="e">
        <f>#REF!</f>
        <v>#REF!</v>
      </c>
      <c r="F52" s="287" t="s">
        <v>397</v>
      </c>
      <c r="G52" s="288">
        <v>17.8</v>
      </c>
      <c r="H52" s="288">
        <v>39.799999999999997</v>
      </c>
      <c r="I52" s="288">
        <v>18.34</v>
      </c>
      <c r="J52" s="288">
        <v>1.4</v>
      </c>
    </row>
    <row r="53" spans="1:10" x14ac:dyDescent="0.35">
      <c r="A53" s="287" t="str">
        <f>'SS Material Flow'!A104</f>
        <v>Office Paper</v>
      </c>
      <c r="B53" s="288">
        <f>'SS Material Flow'!B104</f>
        <v>7.2</v>
      </c>
      <c r="C53" s="288" t="e">
        <f>#REF!</f>
        <v>#REF!</v>
      </c>
      <c r="D53" s="288" t="e">
        <f>#REF!</f>
        <v>#REF!</v>
      </c>
      <c r="E53" s="288" t="e">
        <f>#REF!</f>
        <v>#REF!</v>
      </c>
      <c r="F53" s="287" t="s">
        <v>218</v>
      </c>
      <c r="G53" s="288">
        <v>9.9999999999999995E-7</v>
      </c>
      <c r="H53" s="288">
        <v>7.2</v>
      </c>
      <c r="I53" s="288">
        <v>9.9999999999999995E-7</v>
      </c>
      <c r="J53" s="288">
        <v>0.5</v>
      </c>
    </row>
    <row r="54" spans="1:10" x14ac:dyDescent="0.35">
      <c r="A54" s="287" t="str">
        <f>'SS Material Flow'!A105</f>
        <v xml:space="preserve">Magazines </v>
      </c>
      <c r="B54" s="288">
        <f>'SS Material Flow'!B105</f>
        <v>2.2000000000000002</v>
      </c>
      <c r="C54" s="288" t="e">
        <f>#REF!</f>
        <v>#REF!</v>
      </c>
      <c r="D54" s="288" t="e">
        <f>#REF!</f>
        <v>#REF!</v>
      </c>
      <c r="E54" s="288" t="e">
        <f>#REF!</f>
        <v>#REF!</v>
      </c>
      <c r="F54" s="287" t="s">
        <v>219</v>
      </c>
      <c r="G54" s="288">
        <v>0.6</v>
      </c>
      <c r="H54" s="288">
        <v>2.2000000000000002</v>
      </c>
      <c r="I54" s="288">
        <v>9.9999999999999995E-7</v>
      </c>
      <c r="J54" s="288">
        <v>1.8</v>
      </c>
    </row>
    <row r="55" spans="1:10" x14ac:dyDescent="0.35">
      <c r="A55" s="287" t="str">
        <f>'SS Material Flow'!A106</f>
        <v>3rd Class Mail</v>
      </c>
      <c r="B55" s="288">
        <f>'SS Material Flow'!B106</f>
        <v>5.9</v>
      </c>
      <c r="C55" s="288" t="e">
        <f>#REF!</f>
        <v>#REF!</v>
      </c>
      <c r="D55" s="288" t="e">
        <f>#REF!</f>
        <v>#REF!</v>
      </c>
      <c r="E55" s="288" t="e">
        <f>#REF!</f>
        <v>#REF!</v>
      </c>
      <c r="F55" s="287" t="s">
        <v>220</v>
      </c>
      <c r="G55" s="288">
        <v>9.9999999999999995E-7</v>
      </c>
      <c r="H55" s="288">
        <v>5.9</v>
      </c>
      <c r="I55" s="288">
        <v>9.9999999999999995E-7</v>
      </c>
      <c r="J55" s="288">
        <v>9.9999999999999995E-7</v>
      </c>
    </row>
    <row r="56" spans="1:10" x14ac:dyDescent="0.35">
      <c r="A56" s="287" t="str">
        <f>'SS Material Flow'!A109</f>
        <v>Mixed Paper</v>
      </c>
      <c r="B56" s="288">
        <f>'SS Material Flow'!B109</f>
        <v>9.9999999999999995E-7</v>
      </c>
      <c r="C56" s="288" t="e">
        <f>#REF!</f>
        <v>#REF!</v>
      </c>
      <c r="D56" s="288" t="e">
        <f>#REF!</f>
        <v>#REF!</v>
      </c>
      <c r="E56" s="288" t="e">
        <f>#REF!</f>
        <v>#REF!</v>
      </c>
      <c r="F56" s="287" t="s">
        <v>400</v>
      </c>
      <c r="G56" s="288">
        <v>29.7</v>
      </c>
      <c r="H56" s="288">
        <v>9.9999999999999995E-7</v>
      </c>
      <c r="I56" s="288">
        <v>11.600000000000001</v>
      </c>
      <c r="J56" s="288">
        <v>9.6</v>
      </c>
    </row>
    <row r="57" spans="1:10" x14ac:dyDescent="0.35">
      <c r="A57" s="287" t="str">
        <f>'SS Material Flow'!A110</f>
        <v>Paper - Non-recyclable</v>
      </c>
      <c r="B57" s="288">
        <f>'SS Material Flow'!B110</f>
        <v>9.9999999999999995E-7</v>
      </c>
      <c r="C57" s="288" t="e">
        <f>#REF!</f>
        <v>#REF!</v>
      </c>
      <c r="D57" s="288" t="e">
        <f>#REF!</f>
        <v>#REF!</v>
      </c>
      <c r="E57" s="288" t="e">
        <f>#REF!</f>
        <v>#REF!</v>
      </c>
      <c r="F57" s="287" t="s">
        <v>401</v>
      </c>
      <c r="G57" s="288">
        <v>2.7</v>
      </c>
      <c r="H57" s="288">
        <v>9.9999999999999995E-7</v>
      </c>
      <c r="I57" s="288">
        <v>1.7</v>
      </c>
      <c r="J57" s="288">
        <v>9.9999999999999995E-7</v>
      </c>
    </row>
    <row r="58" spans="1:10" x14ac:dyDescent="0.35">
      <c r="A58" s="287" t="str">
        <f>'SS Material Flow'!A111</f>
        <v>HDPE - Translucent Containers</v>
      </c>
      <c r="B58" s="288">
        <f>'SS Material Flow'!B111</f>
        <v>1.1000000000000001</v>
      </c>
      <c r="C58" s="288" t="e">
        <f>#REF!</f>
        <v>#REF!</v>
      </c>
      <c r="D58" s="288" t="e">
        <f>#REF!</f>
        <v>#REF!</v>
      </c>
      <c r="E58" s="288" t="e">
        <f>#REF!</f>
        <v>#REF!</v>
      </c>
      <c r="F58" s="287" t="s">
        <v>226</v>
      </c>
      <c r="G58" s="288">
        <v>1.1000000000000001</v>
      </c>
      <c r="H58" s="288">
        <v>1.1000000000000001</v>
      </c>
      <c r="I58" s="288">
        <v>2.34</v>
      </c>
      <c r="J58" s="288">
        <v>6.9</v>
      </c>
    </row>
    <row r="59" spans="1:10" x14ac:dyDescent="0.35">
      <c r="A59" s="287" t="str">
        <f>'SS Material Flow'!A112</f>
        <v>HDPE - Pigmented Containers</v>
      </c>
      <c r="B59" s="288">
        <f>'SS Material Flow'!B112</f>
        <v>2</v>
      </c>
      <c r="C59" s="288" t="e">
        <f>#REF!</f>
        <v>#REF!</v>
      </c>
      <c r="D59" s="288" t="e">
        <f>#REF!</f>
        <v>#REF!</v>
      </c>
      <c r="E59" s="288" t="e">
        <f>#REF!</f>
        <v>#REF!</v>
      </c>
      <c r="F59" s="287" t="s">
        <v>227</v>
      </c>
      <c r="G59" s="288">
        <v>9.9999999999999995E-7</v>
      </c>
      <c r="H59" s="288">
        <v>2</v>
      </c>
      <c r="I59" s="288">
        <v>9.9999999999999995E-7</v>
      </c>
      <c r="J59" s="288">
        <v>9.9999999999999995E-7</v>
      </c>
    </row>
    <row r="60" spans="1:10" x14ac:dyDescent="0.35">
      <c r="A60" s="287" t="str">
        <f>'SS Material Flow'!A113</f>
        <v>PET - Containers</v>
      </c>
      <c r="B60" s="288">
        <f>'SS Material Flow'!B113</f>
        <v>3.7</v>
      </c>
      <c r="C60" s="288" t="e">
        <f>#REF!</f>
        <v>#REF!</v>
      </c>
      <c r="D60" s="288" t="e">
        <f>#REF!</f>
        <v>#REF!</v>
      </c>
      <c r="E60" s="288" t="e">
        <f>#REF!</f>
        <v>#REF!</v>
      </c>
      <c r="F60" s="287" t="s">
        <v>402</v>
      </c>
      <c r="G60" s="288">
        <v>2.1</v>
      </c>
      <c r="H60" s="288">
        <v>3.7</v>
      </c>
      <c r="I60" s="288">
        <v>2.34</v>
      </c>
      <c r="J60" s="288">
        <v>5</v>
      </c>
    </row>
    <row r="61" spans="1:10" hidden="1" x14ac:dyDescent="0.35">
      <c r="A61" s="287" t="str">
        <f>'SS Material Flow'!A115</f>
        <v>Plastic - Other # 2</v>
      </c>
      <c r="B61" s="288">
        <f>'SS Material Flow'!B115</f>
        <v>9.9999999999999995E-7</v>
      </c>
      <c r="C61" s="288" t="e">
        <f>#REF!</f>
        <v>#REF!</v>
      </c>
      <c r="D61" s="288" t="e">
        <f>#REF!</f>
        <v>#REF!</v>
      </c>
      <c r="E61" s="288" t="e">
        <f>#REF!</f>
        <v>#REF!</v>
      </c>
      <c r="F61" s="287" t="s">
        <v>404</v>
      </c>
      <c r="G61" s="288">
        <v>9.9999999999999995E-7</v>
      </c>
      <c r="H61" s="288">
        <v>9.9999999999999995E-7</v>
      </c>
      <c r="I61" s="288">
        <v>9.9999999999999995E-7</v>
      </c>
      <c r="J61" s="288">
        <v>9.9999999999999995E-7</v>
      </c>
    </row>
    <row r="62" spans="1:10" hidden="1" x14ac:dyDescent="0.35">
      <c r="A62" s="287" t="str">
        <f>'SS Material Flow'!A116</f>
        <v>Mixed Plastic</v>
      </c>
      <c r="B62" s="288">
        <f>'SS Material Flow'!B116</f>
        <v>9.9999999999999995E-7</v>
      </c>
      <c r="C62" s="288" t="e">
        <f>#REF!</f>
        <v>#REF!</v>
      </c>
      <c r="D62" s="288" t="e">
        <f>#REF!</f>
        <v>#REF!</v>
      </c>
      <c r="E62" s="288" t="e">
        <f>#REF!</f>
        <v>#REF!</v>
      </c>
      <c r="F62" s="287" t="s">
        <v>405</v>
      </c>
      <c r="G62" s="288">
        <v>9.9999999999999995E-7</v>
      </c>
      <c r="H62" s="288">
        <v>9.9999999999999995E-7</v>
      </c>
      <c r="I62" s="288">
        <v>9.9999999999999995E-7</v>
      </c>
      <c r="J62" s="288">
        <v>9.9999999999999995E-7</v>
      </c>
    </row>
    <row r="63" spans="1:10" x14ac:dyDescent="0.35">
      <c r="A63" s="287" t="str">
        <f>'SS Material Flow'!A117</f>
        <v>Plastic Film</v>
      </c>
      <c r="B63" s="288">
        <f>'SS Material Flow'!B117</f>
        <v>5.4</v>
      </c>
      <c r="C63" s="288" t="e">
        <f>#REF!</f>
        <v>#REF!</v>
      </c>
      <c r="D63" s="288" t="e">
        <f>#REF!</f>
        <v>#REF!</v>
      </c>
      <c r="E63" s="288" t="e">
        <f>#REF!</f>
        <v>#REF!</v>
      </c>
      <c r="F63" s="287" t="s">
        <v>406</v>
      </c>
      <c r="G63" s="288">
        <v>0</v>
      </c>
      <c r="H63" s="288">
        <v>5.4</v>
      </c>
      <c r="I63" s="288">
        <v>0.4</v>
      </c>
      <c r="J63" s="288">
        <v>9.9999999999999995E-7</v>
      </c>
    </row>
    <row r="64" spans="1:10" x14ac:dyDescent="0.35">
      <c r="A64" s="287" t="str">
        <f>'SS Material Flow'!A118</f>
        <v xml:space="preserve">Plastic - Non-Recyclable </v>
      </c>
      <c r="B64" s="288">
        <v>2.1</v>
      </c>
      <c r="C64" s="288" t="e">
        <f>#REF!</f>
        <v>#REF!</v>
      </c>
      <c r="D64" s="288">
        <v>2.1</v>
      </c>
      <c r="E64" s="288">
        <v>2.1</v>
      </c>
      <c r="F64" s="287" t="s">
        <v>407</v>
      </c>
      <c r="G64" s="288">
        <v>2.1</v>
      </c>
      <c r="H64" s="288">
        <v>9.9999999999999995E-7</v>
      </c>
      <c r="I64" s="288">
        <v>1.62</v>
      </c>
      <c r="J64" s="288">
        <v>9.9999999999999995E-7</v>
      </c>
    </row>
    <row r="65" spans="1:16" x14ac:dyDescent="0.35">
      <c r="A65" s="287" t="str">
        <f>'SS Material Flow'!A119</f>
        <v>Ferrous Cans</v>
      </c>
      <c r="B65" s="288">
        <f>'SS Material Flow'!B119</f>
        <v>3.2</v>
      </c>
      <c r="C65" s="288" t="e">
        <f>#REF!</f>
        <v>#REF!</v>
      </c>
      <c r="D65" s="288" t="e">
        <f>#REF!</f>
        <v>#REF!</v>
      </c>
      <c r="E65" s="288" t="e">
        <f>#REF!</f>
        <v>#REF!</v>
      </c>
      <c r="F65" s="287" t="s">
        <v>408</v>
      </c>
      <c r="G65" s="288">
        <v>1.2</v>
      </c>
      <c r="H65" s="288">
        <v>3.2</v>
      </c>
      <c r="I65" s="288">
        <v>2.06</v>
      </c>
      <c r="J65" s="288">
        <v>5.6</v>
      </c>
    </row>
    <row r="66" spans="1:16" x14ac:dyDescent="0.35">
      <c r="A66" s="287" t="str">
        <f>'SS Material Flow'!A120</f>
        <v>Ferrous Metal - Other</v>
      </c>
      <c r="B66" s="288">
        <f>'SS Material Flow'!B120</f>
        <v>0.6</v>
      </c>
      <c r="C66" s="288" t="e">
        <f>#REF!</f>
        <v>#REF!</v>
      </c>
      <c r="D66" s="288" t="e">
        <f>#REF!</f>
        <v>#REF!</v>
      </c>
      <c r="E66" s="288" t="e">
        <f>#REF!</f>
        <v>#REF!</v>
      </c>
      <c r="F66" s="287" t="s">
        <v>409</v>
      </c>
      <c r="G66" s="288">
        <v>0.4</v>
      </c>
      <c r="H66" s="288">
        <v>0.6</v>
      </c>
      <c r="I66" s="288">
        <v>9.9999999999999995E-7</v>
      </c>
      <c r="J66" s="288">
        <v>9.9999999999999995E-7</v>
      </c>
    </row>
    <row r="67" spans="1:16" x14ac:dyDescent="0.35">
      <c r="A67" s="287" t="str">
        <f>'SS Material Flow'!A121</f>
        <v>Aluminum Cans</v>
      </c>
      <c r="B67" s="288">
        <f>'SS Material Flow'!B121</f>
        <v>2</v>
      </c>
      <c r="C67" s="288" t="e">
        <f>#REF!</f>
        <v>#REF!</v>
      </c>
      <c r="D67" s="288" t="e">
        <f>#REF!</f>
        <v>#REF!</v>
      </c>
      <c r="E67" s="288" t="e">
        <f>#REF!</f>
        <v>#REF!</v>
      </c>
      <c r="F67" s="287" t="s">
        <v>410</v>
      </c>
      <c r="G67" s="288">
        <v>0.7</v>
      </c>
      <c r="H67" s="288">
        <v>2</v>
      </c>
      <c r="I67" s="288">
        <v>0.31</v>
      </c>
      <c r="J67" s="288">
        <v>2</v>
      </c>
    </row>
    <row r="68" spans="1:16" x14ac:dyDescent="0.35">
      <c r="A68" s="287" t="str">
        <f>'SS Material Flow'!A122</f>
        <v>Aluminum - Foil</v>
      </c>
      <c r="B68" s="288">
        <f>'SS Material Flow'!B122</f>
        <v>0.6</v>
      </c>
      <c r="C68" s="288" t="e">
        <f>#REF!</f>
        <v>#REF!</v>
      </c>
      <c r="D68" s="288" t="e">
        <f>#REF!</f>
        <v>#REF!</v>
      </c>
      <c r="E68" s="288" t="e">
        <f>#REF!</f>
        <v>#REF!</v>
      </c>
      <c r="F68" s="287" t="s">
        <v>411</v>
      </c>
      <c r="G68" s="288">
        <v>0.2</v>
      </c>
      <c r="H68" s="288">
        <v>0.6</v>
      </c>
      <c r="I68" s="288">
        <v>0.14000000000000001</v>
      </c>
      <c r="J68" s="288">
        <v>9.9999999999999995E-7</v>
      </c>
    </row>
    <row r="69" spans="1:16" x14ac:dyDescent="0.35">
      <c r="A69" s="287" t="str">
        <f>'SS Material Flow'!A123</f>
        <v>Aluminum - Other</v>
      </c>
      <c r="B69" s="288">
        <f>'SS Material Flow'!B123</f>
        <v>9.9999999999999995E-7</v>
      </c>
      <c r="C69" s="288" t="e">
        <f>#REF!</f>
        <v>#REF!</v>
      </c>
      <c r="D69" s="288" t="e">
        <f>#REF!</f>
        <v>#REF!</v>
      </c>
      <c r="E69" s="288" t="e">
        <f>#REF!</f>
        <v>#REF!</v>
      </c>
      <c r="F69" s="287" t="s">
        <v>412</v>
      </c>
      <c r="G69" s="288">
        <v>9.9999999999999995E-7</v>
      </c>
      <c r="H69" s="288">
        <v>9.9999999999999995E-7</v>
      </c>
      <c r="I69" s="288">
        <v>1.95</v>
      </c>
      <c r="J69" s="288">
        <v>0.2</v>
      </c>
    </row>
    <row r="70" spans="1:16" x14ac:dyDescent="0.35">
      <c r="A70" s="287" t="str">
        <f>'SS Material Flow'!A124</f>
        <v xml:space="preserve">Ferrous - Non-recyclable </v>
      </c>
      <c r="B70" s="288">
        <f>'SS Material Flow'!B124</f>
        <v>9.9999999999999995E-7</v>
      </c>
      <c r="C70" s="288" t="e">
        <f>#REF!</f>
        <v>#REF!</v>
      </c>
      <c r="D70" s="288" t="e">
        <f>#REF!</f>
        <v>#REF!</v>
      </c>
      <c r="E70" s="288" t="e">
        <f>#REF!</f>
        <v>#REF!</v>
      </c>
      <c r="F70" s="287" t="s">
        <v>413</v>
      </c>
      <c r="G70" s="288">
        <v>0.4</v>
      </c>
      <c r="H70" s="288">
        <v>9.9999999999999995E-7</v>
      </c>
      <c r="I70" s="288">
        <v>9.9999999999999995E-7</v>
      </c>
      <c r="J70" s="288">
        <v>9.9999999999999995E-7</v>
      </c>
    </row>
    <row r="71" spans="1:16" x14ac:dyDescent="0.35">
      <c r="A71" s="287" t="str">
        <f>'SS Material Flow'!A125</f>
        <v xml:space="preserve">Al - Non-recyclable </v>
      </c>
      <c r="B71" s="288">
        <f>'SS Material Flow'!B125</f>
        <v>9.9999999999999995E-7</v>
      </c>
      <c r="C71" s="288" t="e">
        <f>#REF!</f>
        <v>#REF!</v>
      </c>
      <c r="D71" s="288" t="e">
        <f>#REF!</f>
        <v>#REF!</v>
      </c>
      <c r="E71" s="288" t="e">
        <f>#REF!</f>
        <v>#REF!</v>
      </c>
      <c r="F71" s="287" t="s">
        <v>414</v>
      </c>
      <c r="G71" s="288">
        <v>9.9999999999999995E-7</v>
      </c>
      <c r="H71" s="288">
        <v>9.9999999999999995E-7</v>
      </c>
      <c r="I71" s="288">
        <v>9.9999999999999995E-7</v>
      </c>
      <c r="J71" s="288">
        <v>9.9999999999999995E-7</v>
      </c>
    </row>
    <row r="72" spans="1:16" x14ac:dyDescent="0.35">
      <c r="A72" s="287" t="str">
        <f>'SS Material Flow'!A126</f>
        <v>Glass - Brown</v>
      </c>
      <c r="B72" s="288">
        <f>'SS Material Flow'!B126</f>
        <v>7.5</v>
      </c>
      <c r="C72" s="288" t="e">
        <f>#REF!</f>
        <v>#REF!</v>
      </c>
      <c r="D72" s="288" t="e">
        <f>#REF!</f>
        <v>#REF!</v>
      </c>
      <c r="E72" s="288" t="e">
        <f>#REF!</f>
        <v>#REF!</v>
      </c>
      <c r="F72" s="287" t="s">
        <v>223</v>
      </c>
      <c r="G72" s="288">
        <v>5.0135593220338981</v>
      </c>
      <c r="H72" s="288">
        <v>7.5</v>
      </c>
      <c r="I72" s="288">
        <v>9.9999999999999995E-7</v>
      </c>
      <c r="J72" s="288">
        <v>5.5760563380281694</v>
      </c>
    </row>
    <row r="73" spans="1:16" x14ac:dyDescent="0.35">
      <c r="A73" s="287" t="str">
        <f>'SS Material Flow'!A127</f>
        <v>Glass - Green</v>
      </c>
      <c r="B73" s="288">
        <f>'SS Material Flow'!B127</f>
        <v>3.2</v>
      </c>
      <c r="C73" s="288" t="e">
        <f>#REF!</f>
        <v>#REF!</v>
      </c>
      <c r="D73" s="288" t="e">
        <f>#REF!</f>
        <v>#REF!</v>
      </c>
      <c r="E73" s="288" t="e">
        <f>#REF!</f>
        <v>#REF!</v>
      </c>
      <c r="F73" s="287" t="s">
        <v>224</v>
      </c>
      <c r="G73" s="288">
        <v>7.0779661016949156</v>
      </c>
      <c r="H73" s="288">
        <v>3.2</v>
      </c>
      <c r="I73" s="288">
        <v>9.9999999999999995E-7</v>
      </c>
      <c r="J73" s="288">
        <v>5.274647887323944</v>
      </c>
    </row>
    <row r="74" spans="1:16" x14ac:dyDescent="0.35">
      <c r="A74" s="287" t="str">
        <f>'SS Material Flow'!A128</f>
        <v>Glass - Clear</v>
      </c>
      <c r="B74" s="288">
        <f>'SS Material Flow'!B128</f>
        <v>2.1</v>
      </c>
      <c r="C74" s="288" t="e">
        <f>#REF!</f>
        <v>#REF!</v>
      </c>
      <c r="D74" s="288" t="e">
        <f>#REF!</f>
        <v>#REF!</v>
      </c>
      <c r="E74" s="288" t="e">
        <f>#REF!</f>
        <v>#REF!</v>
      </c>
      <c r="F74" s="287" t="s">
        <v>225</v>
      </c>
      <c r="G74" s="288">
        <v>5.3084745762711867</v>
      </c>
      <c r="H74" s="288">
        <v>2.1</v>
      </c>
      <c r="I74" s="288">
        <v>9.9999999999999995E-7</v>
      </c>
      <c r="J74" s="288">
        <v>10.549295774647888</v>
      </c>
    </row>
    <row r="75" spans="1:16" hidden="1" x14ac:dyDescent="0.35">
      <c r="A75" s="287" t="str">
        <f>'SS Material Flow'!A129</f>
        <v>Mixed Glass</v>
      </c>
      <c r="B75" s="288">
        <f>'SS Material Flow'!B129</f>
        <v>9.9999999999999995E-7</v>
      </c>
      <c r="C75" s="288" t="e">
        <f>#REF!</f>
        <v>#REF!</v>
      </c>
      <c r="D75" s="288" t="e">
        <f>#REF!</f>
        <v>#REF!</v>
      </c>
      <c r="E75" s="288" t="e">
        <f>#REF!</f>
        <v>#REF!</v>
      </c>
      <c r="F75" s="287" t="s">
        <v>415</v>
      </c>
      <c r="G75" s="288">
        <v>9.9999999999999995E-7</v>
      </c>
      <c r="H75" s="288">
        <v>9.9999999999999995E-7</v>
      </c>
      <c r="I75" s="288">
        <v>9.9999999999999995E-7</v>
      </c>
      <c r="J75" s="288">
        <v>9.9999999999999995E-7</v>
      </c>
    </row>
    <row r="76" spans="1:16" x14ac:dyDescent="0.35">
      <c r="A76" s="287" t="str">
        <f>'SS Material Flow'!A130</f>
        <v>Glass - Non-recyclable</v>
      </c>
      <c r="B76" s="288">
        <f>'SS Material Flow'!B130</f>
        <v>9.9999999999999995E-7</v>
      </c>
      <c r="C76" s="288" t="e">
        <f>#REF!</f>
        <v>#REF!</v>
      </c>
      <c r="D76" s="288" t="e">
        <f>#REF!</f>
        <v>#REF!</v>
      </c>
      <c r="E76" s="288" t="e">
        <f>#REF!</f>
        <v>#REF!</v>
      </c>
      <c r="F76" s="287" t="s">
        <v>416</v>
      </c>
      <c r="G76" s="288">
        <v>0.3</v>
      </c>
      <c r="H76" s="288">
        <v>9.9999999999999995E-7</v>
      </c>
      <c r="I76" s="288">
        <v>1.38</v>
      </c>
      <c r="J76" s="288">
        <v>9.9999999999999995E-7</v>
      </c>
    </row>
    <row r="77" spans="1:16" x14ac:dyDescent="0.35">
      <c r="A77" s="287" t="str">
        <f>'SS Material Flow'!A131</f>
        <v>Misc. Organic</v>
      </c>
      <c r="B77" s="288">
        <f>'SS Material Flow'!B131</f>
        <v>9.9999999999999995E-7</v>
      </c>
      <c r="C77" s="288" t="e">
        <f>#REF!</f>
        <v>#REF!</v>
      </c>
      <c r="D77" s="288" t="e">
        <f>#REF!</f>
        <v>#REF!</v>
      </c>
      <c r="E77" s="288" t="e">
        <f>#REF!</f>
        <v>#REF!</v>
      </c>
      <c r="F77" s="287" t="s">
        <v>417</v>
      </c>
      <c r="G77" s="288">
        <v>0.6</v>
      </c>
      <c r="H77" s="288">
        <v>9.9999999999999995E-7</v>
      </c>
      <c r="I77" s="288">
        <v>9.9999999999999995E-7</v>
      </c>
      <c r="J77" s="288">
        <v>9.9999999999999995E-7</v>
      </c>
    </row>
    <row r="78" spans="1:16" x14ac:dyDescent="0.35">
      <c r="A78" s="287" t="str">
        <f>'SS Material Flow'!A132</f>
        <v>Misc. Inorganic</v>
      </c>
      <c r="B78" s="288">
        <f>'SS Material Flow'!B132</f>
        <v>9.9999999999999995E-7</v>
      </c>
      <c r="C78" s="288" t="e">
        <f>#REF!</f>
        <v>#REF!</v>
      </c>
      <c r="D78" s="288" t="e">
        <f>#REF!</f>
        <v>#REF!</v>
      </c>
      <c r="E78" s="288" t="e">
        <f>#REF!</f>
        <v>#REF!</v>
      </c>
      <c r="F78" s="287" t="s">
        <v>418</v>
      </c>
      <c r="G78" s="288">
        <v>1.5</v>
      </c>
      <c r="H78" s="288">
        <v>9.9999999999999995E-7</v>
      </c>
      <c r="I78" s="288">
        <v>2.62</v>
      </c>
      <c r="J78" s="288">
        <v>9.9999999999999995E-7</v>
      </c>
      <c r="L78" s="2" t="s">
        <v>472</v>
      </c>
    </row>
    <row r="79" spans="1:16" hidden="1" x14ac:dyDescent="0.35">
      <c r="A79" t="str">
        <f>'SS Material Flow'!A133</f>
        <v>E-waste</v>
      </c>
      <c r="B79">
        <f>'SS Material Flow'!B133</f>
        <v>9.9999999999999995E-7</v>
      </c>
      <c r="C79" t="e">
        <f>#REF!</f>
        <v>#REF!</v>
      </c>
      <c r="D79" t="e">
        <f>#REF!</f>
        <v>#REF!</v>
      </c>
      <c r="E79" t="e">
        <f>#REF!</f>
        <v>#REF!</v>
      </c>
      <c r="F79" t="s">
        <v>419</v>
      </c>
      <c r="G79" s="310">
        <v>9.9999999999999995E-7</v>
      </c>
      <c r="H79" s="310">
        <v>9.9999999999999995E-7</v>
      </c>
      <c r="I79" s="310">
        <v>9.9999999999999995E-7</v>
      </c>
      <c r="J79" s="310">
        <v>9.9999999999999995E-7</v>
      </c>
      <c r="K79" s="186"/>
      <c r="L79" s="185">
        <v>9.9999999999999995E-7</v>
      </c>
      <c r="N79" s="185">
        <v>9.9999999999999995E-7</v>
      </c>
    </row>
    <row r="80" spans="1:16" x14ac:dyDescent="0.35">
      <c r="B80" s="54">
        <f>SUM(B42:B78)</f>
        <v>102.10001999999996</v>
      </c>
      <c r="C80" s="54" t="e">
        <f t="shared" ref="C80:E80" si="5">SUM(C42:C78)</f>
        <v>#REF!</v>
      </c>
      <c r="D80" s="54" t="e">
        <f t="shared" si="5"/>
        <v>#REF!</v>
      </c>
      <c r="E80" s="54" t="e">
        <f t="shared" si="5"/>
        <v>#REF!</v>
      </c>
      <c r="I80" s="54">
        <f>SUM(I42:I78)</f>
        <v>99.960022999999993</v>
      </c>
      <c r="L80" s="287" t="str">
        <f t="shared" ref="L80:P80" si="6">L86</f>
        <v>Cascadia (2011)</v>
      </c>
      <c r="M80" s="287" t="str">
        <f t="shared" si="6"/>
        <v>ODEQ (2011)</v>
      </c>
      <c r="N80" s="287" t="str">
        <f t="shared" si="6"/>
        <v>Beck (2005)</v>
      </c>
      <c r="O80" s="287" t="str">
        <f t="shared" si="6"/>
        <v>U.S. EPA (2010)</v>
      </c>
      <c r="P80" s="287" t="str">
        <f t="shared" si="6"/>
        <v>Current</v>
      </c>
    </row>
    <row r="81" spans="1:20" x14ac:dyDescent="0.35">
      <c r="B81" t="s">
        <v>441</v>
      </c>
      <c r="C81" t="s">
        <v>442</v>
      </c>
      <c r="D81" t="s">
        <v>443</v>
      </c>
      <c r="E81" t="s">
        <v>444</v>
      </c>
      <c r="F81" t="s">
        <v>445</v>
      </c>
      <c r="K81" s="287" t="s">
        <v>449</v>
      </c>
      <c r="L81" s="290">
        <v>9.9147898298496365E-2</v>
      </c>
      <c r="M81" s="290">
        <v>8.5187575086389286E-2</v>
      </c>
      <c r="N81" s="290">
        <v>2.2541944348906693E-2</v>
      </c>
      <c r="O81" s="290">
        <v>2.0123286174178488E-2</v>
      </c>
      <c r="P81" s="290">
        <f>J3</f>
        <v>2.1362827001293272E-2</v>
      </c>
    </row>
    <row r="82" spans="1:20" x14ac:dyDescent="0.35">
      <c r="A82" t="s">
        <v>447</v>
      </c>
      <c r="B82" s="308">
        <f>J3</f>
        <v>2.1362827001293272E-2</v>
      </c>
      <c r="C82" s="308">
        <v>8.5187575086389286E-2</v>
      </c>
      <c r="D82" s="283">
        <v>9.9147898298496365E-2</v>
      </c>
      <c r="E82" s="283">
        <v>2.2541944348906693E-2</v>
      </c>
      <c r="F82" s="283">
        <v>2.0123286174178488E-2</v>
      </c>
      <c r="K82" s="287" t="s">
        <v>448</v>
      </c>
      <c r="L82" s="288">
        <v>6.1545815797851189</v>
      </c>
      <c r="M82" s="288">
        <v>4.2383841044267783</v>
      </c>
      <c r="N82" s="288">
        <v>6.97983298940881</v>
      </c>
      <c r="O82" s="288">
        <v>5.3789423325903121</v>
      </c>
      <c r="P82" s="288">
        <f>B10</f>
        <v>4.1922360692781524</v>
      </c>
    </row>
    <row r="83" spans="1:20" x14ac:dyDescent="0.35">
      <c r="A83" s="2" t="s">
        <v>12</v>
      </c>
      <c r="B83" t="s">
        <v>446</v>
      </c>
      <c r="C83" t="s">
        <v>446</v>
      </c>
      <c r="D83" t="s">
        <v>446</v>
      </c>
      <c r="E83" t="s">
        <v>446</v>
      </c>
      <c r="F83" t="s">
        <v>446</v>
      </c>
      <c r="K83" s="287" t="s">
        <v>451</v>
      </c>
      <c r="L83" s="288">
        <v>7.3083026671941793</v>
      </c>
      <c r="M83" s="288">
        <v>5.8823907480919493</v>
      </c>
      <c r="N83" s="288">
        <v>8.0578327402604693</v>
      </c>
      <c r="O83" s="288">
        <v>6.8278080271943908</v>
      </c>
      <c r="P83" s="288">
        <f>E35</f>
        <v>5.9001297538225792</v>
      </c>
    </row>
    <row r="84" spans="1:20" x14ac:dyDescent="0.35">
      <c r="A84" t="str">
        <f>Single.Stream!A109</f>
        <v>Drum Feeder</v>
      </c>
      <c r="B84" s="32">
        <f t="array" ref="B84:B107">Single.Stream!J109:J132*TRANSPOSE('SS Material Flow'!C134:Z134)/'SS Material Flow'!$B$134</f>
        <v>0.25</v>
      </c>
      <c r="C84" s="32">
        <v>0.25</v>
      </c>
      <c r="D84">
        <v>0.25</v>
      </c>
      <c r="E84">
        <v>0.25</v>
      </c>
      <c r="F84">
        <v>0.25</v>
      </c>
      <c r="K84" s="287" t="s">
        <v>450</v>
      </c>
      <c r="L84" s="288">
        <v>24.88588801461848</v>
      </c>
      <c r="M84" s="288">
        <v>23.941577656061888</v>
      </c>
      <c r="N84" s="288">
        <v>26.595750010407919</v>
      </c>
      <c r="O84" s="288">
        <v>24.266285367656359</v>
      </c>
      <c r="P84" s="288">
        <f>G22</f>
        <v>21.623893267004437</v>
      </c>
    </row>
    <row r="85" spans="1:20" x14ac:dyDescent="0.35">
      <c r="A85" t="str">
        <f>Single.Stream!A110</f>
        <v>Manual Sort 1 (Negative)</v>
      </c>
      <c r="B85" s="32">
        <v>5.8823529411764705E-2</v>
      </c>
      <c r="C85" s="32">
        <v>5.8823529411764712E-2</v>
      </c>
      <c r="D85">
        <v>5.8823529411764698E-2</v>
      </c>
      <c r="E85">
        <v>5.8823529411764705E-2</v>
      </c>
      <c r="F85">
        <v>5.8823529411764705E-2</v>
      </c>
      <c r="K85" s="224" t="s">
        <v>516</v>
      </c>
      <c r="L85" s="283">
        <f>ABS(L84-AVERAGE($L$84:$O$84))/AVERAGE($L$84:$O$84)</f>
        <v>1.4640357182585859E-3</v>
      </c>
      <c r="M85" s="283">
        <f t="shared" ref="M85:P85" si="7">ABS(M84-AVERAGE($L$84:$O$84))/AVERAGE($L$84:$O$84)</f>
        <v>3.9354098307491835E-2</v>
      </c>
      <c r="N85" s="283">
        <f t="shared" si="7"/>
        <v>6.7143469698119254E-2</v>
      </c>
      <c r="O85" s="283">
        <f t="shared" si="7"/>
        <v>2.6325335672369408E-2</v>
      </c>
      <c r="P85">
        <f t="shared" si="7"/>
        <v>0.13235022587058135</v>
      </c>
    </row>
    <row r="86" spans="1:20" x14ac:dyDescent="0.35">
      <c r="A86" t="str">
        <f>Single.Stream!A111</f>
        <v>Vacuum</v>
      </c>
      <c r="B86" s="32">
        <v>1.4294114073530314E-2</v>
      </c>
      <c r="C86" s="32">
        <v>1.0592469421919675E-3</v>
      </c>
      <c r="D86">
        <v>1.591417827403067E-3</v>
      </c>
      <c r="E86">
        <v>2.6444136694241619E-9</v>
      </c>
      <c r="F86">
        <v>1.4294114073530314E-2</v>
      </c>
      <c r="K86" s="287"/>
      <c r="L86" s="287" t="s">
        <v>526</v>
      </c>
      <c r="M86" s="287" t="s">
        <v>527</v>
      </c>
      <c r="N86" s="287" t="s">
        <v>462</v>
      </c>
      <c r="O86" s="287" t="s">
        <v>464</v>
      </c>
      <c r="P86" s="287" t="s">
        <v>441</v>
      </c>
      <c r="Q86" t="str">
        <f>L86</f>
        <v>Cascadia (2011)</v>
      </c>
    </row>
    <row r="87" spans="1:20" x14ac:dyDescent="0.35">
      <c r="A87" t="str">
        <f>Single.Stream!A112</f>
        <v>Disc Screen 1</v>
      </c>
      <c r="B87" s="32">
        <v>0.10571111246111077</v>
      </c>
      <c r="C87" s="32">
        <v>0.11071095115517192</v>
      </c>
      <c r="D87">
        <v>0.11050990882075884</v>
      </c>
      <c r="E87">
        <v>0.11111111011211039</v>
      </c>
      <c r="F87">
        <v>0.10571111246111077</v>
      </c>
      <c r="K87" s="287" t="s">
        <v>434</v>
      </c>
      <c r="L87" s="292">
        <f>T87</f>
        <v>0.58073053313643541</v>
      </c>
      <c r="M87" s="292">
        <f>SUM(C87:C89)</f>
        <v>0.47174345463296935</v>
      </c>
      <c r="N87" s="292">
        <f>SUM(E87:E89)</f>
        <v>0.68175903785113112</v>
      </c>
      <c r="O87" s="292">
        <f>SUM(F87:F89)</f>
        <v>0.48374205744917292</v>
      </c>
      <c r="P87" s="292">
        <f>SUM(B87:B89)</f>
        <v>0.48374205744917292</v>
      </c>
      <c r="Q87" s="283">
        <f t="shared" ref="Q87:Q94" si="8">L87/$L$95</f>
        <v>9.4357435287536012E-2</v>
      </c>
      <c r="T87" s="292">
        <f>SUM(D87:D89)</f>
        <v>0.58073053313643541</v>
      </c>
    </row>
    <row r="88" spans="1:20" x14ac:dyDescent="0.35">
      <c r="A88" t="str">
        <f>Single.Stream!A113</f>
        <v>Disc Screen 2</v>
      </c>
      <c r="B88" s="32">
        <v>0.10365267366666353</v>
      </c>
      <c r="C88" s="32">
        <v>0.13372044044701004</v>
      </c>
      <c r="D88">
        <v>0.13399348097096775</v>
      </c>
      <c r="E88">
        <v>0.15255332806064897</v>
      </c>
      <c r="F88">
        <v>0.10365267366666353</v>
      </c>
      <c r="K88" s="287" t="s">
        <v>435</v>
      </c>
      <c r="L88" s="292">
        <f t="shared" ref="L88:L94" si="9">T88</f>
        <v>0.10961419404963772</v>
      </c>
      <c r="M88" s="292">
        <f>SUM(C85,C90:C91,C96,C98,C100,C102,C104:C105)</f>
        <v>0.10909269760742642</v>
      </c>
      <c r="N88" s="292">
        <f>SUM(E85,E90:E91,E96,E98,E100,E102,E104:E105)</f>
        <v>0.11682719489349197</v>
      </c>
      <c r="O88" s="292">
        <f>SUM(F85,F90:F91,F96,F98,F100,F102,F104:F105)</f>
        <v>9.8253933118869666E-2</v>
      </c>
      <c r="P88" s="292">
        <f>SUM(B85,B90:B91,B96,B98,B100,B102,B104:B105)</f>
        <v>5.8823529411764705E-2</v>
      </c>
      <c r="Q88" s="283">
        <f t="shared" si="8"/>
        <v>1.7810178097186716E-2</v>
      </c>
      <c r="T88" s="292">
        <f>SUM(D85,D90:D91,D96,D98,D100,D102,D104:D105)</f>
        <v>0.10961419404963772</v>
      </c>
    </row>
    <row r="89" spans="1:20" x14ac:dyDescent="0.35">
      <c r="A89" t="str">
        <f>Single.Stream!A114</f>
        <v>Disc Screen 3</v>
      </c>
      <c r="B89" s="32">
        <v>0.27437827132139864</v>
      </c>
      <c r="C89" s="32">
        <v>0.22731206303078738</v>
      </c>
      <c r="D89">
        <v>0.33622714334470877</v>
      </c>
      <c r="E89">
        <v>0.41809459967837181</v>
      </c>
      <c r="F89">
        <v>0.27437827132139864</v>
      </c>
      <c r="K89" s="287" t="s">
        <v>436</v>
      </c>
      <c r="L89" s="292">
        <f t="shared" si="9"/>
        <v>0.47789262302232893</v>
      </c>
      <c r="M89" s="292">
        <f>C92+C106</f>
        <v>0.59902874700814934</v>
      </c>
      <c r="N89" s="292">
        <f>E92+E106</f>
        <v>0.54865119089094261</v>
      </c>
      <c r="O89" s="292">
        <f>F92+F106</f>
        <v>0.59504711685827005</v>
      </c>
      <c r="P89" s="292">
        <f>B92+B106</f>
        <v>0.59494882288284356</v>
      </c>
      <c r="Q89" s="283">
        <f t="shared" si="8"/>
        <v>7.7648271751239686E-2</v>
      </c>
      <c r="T89" s="292">
        <f>D92+D106</f>
        <v>0.47789262302232893</v>
      </c>
    </row>
    <row r="90" spans="1:20" x14ac:dyDescent="0.35">
      <c r="A90" t="str">
        <f>Single.Stream!A115</f>
        <v>Manual Sort 2-DS2 (Negative)</v>
      </c>
      <c r="B90" s="32">
        <v>0</v>
      </c>
      <c r="C90" s="32">
        <v>3.5145051031248715E-2</v>
      </c>
      <c r="D90">
        <v>2.7625247245694425E-2</v>
      </c>
      <c r="E90">
        <v>2.8981012372943607E-2</v>
      </c>
      <c r="F90">
        <v>2.0369996407500913E-2</v>
      </c>
      <c r="K90" s="287" t="s">
        <v>61</v>
      </c>
      <c r="L90" s="292">
        <f t="shared" si="9"/>
        <v>0.63665367764599545</v>
      </c>
      <c r="M90" s="292">
        <f>C93</f>
        <v>0.34226542292417217</v>
      </c>
      <c r="N90" s="292">
        <f>E93</f>
        <v>0.82042041144926736</v>
      </c>
      <c r="O90" s="292">
        <f>F93</f>
        <v>0.53117657388232753</v>
      </c>
      <c r="P90" s="292">
        <f>B93</f>
        <v>0.53117657388232753</v>
      </c>
      <c r="Q90" s="283">
        <f t="shared" si="8"/>
        <v>0.1034438603815247</v>
      </c>
      <c r="T90" s="292">
        <f>D93</f>
        <v>0.63665367764599545</v>
      </c>
    </row>
    <row r="91" spans="1:20" x14ac:dyDescent="0.35">
      <c r="A91" t="str">
        <f>Single.Stream!A116</f>
        <v>Manual Sort 2-DS3 (Negative)</v>
      </c>
      <c r="B91" s="32">
        <v>0</v>
      </c>
      <c r="C91" s="32">
        <v>5.6438817244299465E-3</v>
      </c>
      <c r="D91">
        <v>4.4362897047497546E-3</v>
      </c>
      <c r="E91">
        <v>4.6540096340080056E-3</v>
      </c>
      <c r="F91">
        <v>3.2711817760280866E-3</v>
      </c>
      <c r="K91" s="287" t="s">
        <v>437</v>
      </c>
      <c r="L91" s="292">
        <f t="shared" si="9"/>
        <v>1.711078900277591</v>
      </c>
      <c r="M91" s="292">
        <f>C94+C95</f>
        <v>0.1331929842119024</v>
      </c>
      <c r="N91" s="292">
        <f>E94+E95</f>
        <v>2.0625618660936751</v>
      </c>
      <c r="O91" s="292">
        <f>F94+F95</f>
        <v>1.23491565994047</v>
      </c>
      <c r="P91" s="292">
        <f>B94+B95</f>
        <v>0.15542726111888738</v>
      </c>
      <c r="Q91" s="283">
        <f t="shared" si="8"/>
        <v>0.27801709638518302</v>
      </c>
      <c r="T91" s="292">
        <f>D94+D95</f>
        <v>1.711078900277591</v>
      </c>
    </row>
    <row r="92" spans="1:20" x14ac:dyDescent="0.35">
      <c r="A92" t="str">
        <f>Single.Stream!A117</f>
        <v>1-Way Baler</v>
      </c>
      <c r="B92" s="32">
        <v>0.42030879849618297</v>
      </c>
      <c r="C92" s="32">
        <v>0.50760903202381202</v>
      </c>
      <c r="D92">
        <v>0.41375917292749476</v>
      </c>
      <c r="E92">
        <v>0.35921462366374185</v>
      </c>
      <c r="F92">
        <v>0.42030879849618297</v>
      </c>
      <c r="K92" s="287" t="s">
        <v>438</v>
      </c>
      <c r="L92" s="292">
        <f t="shared" si="9"/>
        <v>0.42741735140645748</v>
      </c>
      <c r="M92" s="292">
        <f>C97+C99</f>
        <v>0.44847316520038455</v>
      </c>
      <c r="N92" s="292">
        <f>E97+E99</f>
        <v>0.54277500632637787</v>
      </c>
      <c r="O92" s="292">
        <f>F97+F99</f>
        <v>0.37216610420935642</v>
      </c>
      <c r="P92" s="292">
        <f>B97+B99</f>
        <v>0.38358869126318018</v>
      </c>
      <c r="Q92" s="283">
        <f t="shared" si="8"/>
        <v>6.9447020218290842E-2</v>
      </c>
      <c r="T92" s="292">
        <f>D97+D99</f>
        <v>0.42741735140645748</v>
      </c>
    </row>
    <row r="93" spans="1:20" x14ac:dyDescent="0.35">
      <c r="A93" t="str">
        <f>Single.Stream!A118</f>
        <v>Glass Breaker Screen</v>
      </c>
      <c r="B93" s="32">
        <v>0.53117657388232753</v>
      </c>
      <c r="C93" s="32">
        <v>0.34226542292417217</v>
      </c>
      <c r="D93">
        <v>0.63665367764599545</v>
      </c>
      <c r="E93">
        <v>0.82042041144926736</v>
      </c>
      <c r="F93">
        <v>0.53117657388232753</v>
      </c>
      <c r="K93" s="287" t="s">
        <v>439</v>
      </c>
      <c r="L93" s="292">
        <f t="shared" si="9"/>
        <v>0.18745345090919222</v>
      </c>
      <c r="M93" s="292">
        <f>C103+C101</f>
        <v>0.17757493850443312</v>
      </c>
      <c r="N93" s="292">
        <f>E103+E101</f>
        <v>0.12874210059499921</v>
      </c>
      <c r="O93" s="292">
        <f>F103+F101</f>
        <v>0.11314424842790856</v>
      </c>
      <c r="P93" s="292">
        <f>B103+B101</f>
        <v>0.11916635955576309</v>
      </c>
      <c r="Q93" s="283">
        <f t="shared" si="8"/>
        <v>3.0457545891484795E-2</v>
      </c>
      <c r="T93" s="292">
        <f>D103+D101</f>
        <v>0.18745345090919222</v>
      </c>
    </row>
    <row r="94" spans="1:20" x14ac:dyDescent="0.35">
      <c r="A94" t="str">
        <f>Single.Stream!A119</f>
        <v>Air Knife</v>
      </c>
      <c r="B94" s="32">
        <v>0.15542726111888738</v>
      </c>
      <c r="C94" s="32">
        <v>3.5929191566594583E-2</v>
      </c>
      <c r="D94">
        <v>0.46156846741885521</v>
      </c>
      <c r="E94">
        <v>0.55638201098440576</v>
      </c>
      <c r="F94">
        <v>0.33312206027307989</v>
      </c>
      <c r="K94" s="287" t="s">
        <v>467</v>
      </c>
      <c r="L94" s="292">
        <f t="shared" si="9"/>
        <v>2.0237408493374804</v>
      </c>
      <c r="M94" s="292">
        <f>SUM(C84,C86,C107:C109)</f>
        <v>1.9570126943373416</v>
      </c>
      <c r="N94" s="292">
        <f>SUM(E84,E86,E107:E109)</f>
        <v>2.0780961813089234</v>
      </c>
      <c r="O94" s="292">
        <f>SUM(F84,F86,F107:F109)</f>
        <v>1.9504966387039351</v>
      </c>
      <c r="P94" s="292">
        <f>SUM(B84,B86,B107:B109)</f>
        <v>1.865362773714212</v>
      </c>
      <c r="Q94" s="283">
        <f t="shared" si="8"/>
        <v>0.32881859198755437</v>
      </c>
      <c r="T94" s="292">
        <f>SUM(D84,D86,D107:D109)</f>
        <v>2.0237408493374804</v>
      </c>
    </row>
    <row r="95" spans="1:20" x14ac:dyDescent="0.35">
      <c r="A95" t="str">
        <f>Single.Stream!A120</f>
        <v>Optical Glass</v>
      </c>
      <c r="B95" s="32">
        <v>0</v>
      </c>
      <c r="C95" s="32">
        <v>9.7263792645307809E-2</v>
      </c>
      <c r="D95">
        <v>1.2495104328587359</v>
      </c>
      <c r="E95">
        <v>1.5061798551092693</v>
      </c>
      <c r="F95">
        <v>0.90179359966739014</v>
      </c>
      <c r="L95" s="32">
        <f>SUM(L87:L94)</f>
        <v>6.154581579785118</v>
      </c>
      <c r="M95" s="32">
        <f>SUM(M87:M94)</f>
        <v>4.2383841044267792</v>
      </c>
      <c r="N95" s="32">
        <f t="shared" ref="N95:O95" si="10">SUM(N87:N94)</f>
        <v>6.9798329894088074</v>
      </c>
      <c r="O95" s="32">
        <f t="shared" si="10"/>
        <v>5.3789423325903103</v>
      </c>
      <c r="P95" s="32">
        <f>SUM(P87:P94)</f>
        <v>4.1922360692781515</v>
      </c>
      <c r="T95" s="32"/>
    </row>
    <row r="96" spans="1:20" x14ac:dyDescent="0.35">
      <c r="A96" t="str">
        <f>Single.Stream!A121</f>
        <v>Manual Sort 3-G (Negative)</v>
      </c>
      <c r="B96" s="32">
        <v>0</v>
      </c>
      <c r="C96" s="32">
        <v>1.6782002387461405E-9</v>
      </c>
      <c r="D96">
        <v>9.7491670700336226E-3</v>
      </c>
      <c r="E96">
        <v>1.195441870464636E-2</v>
      </c>
      <c r="F96">
        <v>7.1574570341651558E-3</v>
      </c>
      <c r="K96" t="s">
        <v>440</v>
      </c>
      <c r="L96" t="str">
        <f>IF(L95=D110,"Y","ERR")</f>
        <v>Y</v>
      </c>
      <c r="M96" t="str">
        <f>IF(M95=C110,"Y","ERR")</f>
        <v>Y</v>
      </c>
      <c r="N96" t="str">
        <f>IF(N95=E110,"Y","ERR")</f>
        <v>Y</v>
      </c>
      <c r="O96" t="str">
        <f>IF(O95=F110,"Y","ERR")</f>
        <v>Y</v>
      </c>
      <c r="P96" t="str">
        <f>IF(P95=B110,"Y","ERR")</f>
        <v>Y</v>
      </c>
    </row>
    <row r="97" spans="1:15" x14ac:dyDescent="0.35">
      <c r="A97" t="str">
        <f>Single.Stream!A122</f>
        <v>Optical PET</v>
      </c>
      <c r="B97" s="32">
        <v>0.11498336655098192</v>
      </c>
      <c r="C97" s="32">
        <v>0.1232430389031761</v>
      </c>
      <c r="D97">
        <v>0.11673948802613782</v>
      </c>
      <c r="E97">
        <v>0.16138492201168081</v>
      </c>
      <c r="F97">
        <v>0.11221299036234068</v>
      </c>
      <c r="K97" t="s">
        <v>528</v>
      </c>
      <c r="L97">
        <f>Single.Stream!$B$180</f>
        <v>0.49746205228777451</v>
      </c>
      <c r="M97">
        <f>Single.Stream!$B$180</f>
        <v>0.49746205228777451</v>
      </c>
      <c r="N97">
        <f>Single.Stream!$B$180</f>
        <v>0.49746205228777451</v>
      </c>
      <c r="O97">
        <f>Single.Stream!$B$180</f>
        <v>0.49746205228777451</v>
      </c>
    </row>
    <row r="98" spans="1:15" x14ac:dyDescent="0.35">
      <c r="A98" t="str">
        <f>Single.Stream!A123</f>
        <v>Manual Sort 4-PET (Negative)</v>
      </c>
      <c r="B98" s="32">
        <v>0</v>
      </c>
      <c r="C98" s="32">
        <v>1.3494806043525662E-3</v>
      </c>
      <c r="D98">
        <v>1.2130140328872263E-3</v>
      </c>
      <c r="E98">
        <v>2.8794726622618652E-3</v>
      </c>
      <c r="F98">
        <v>2.1329406432354283E-3</v>
      </c>
      <c r="K98" t="s">
        <v>529</v>
      </c>
      <c r="L98">
        <f>Single.Stream!$B$181</f>
        <v>0.47369889390565789</v>
      </c>
      <c r="M98">
        <f>Single.Stream!$B$181</f>
        <v>0.47369889390565789</v>
      </c>
      <c r="N98">
        <f>Single.Stream!$B$181</f>
        <v>0.47369889390565789</v>
      </c>
      <c r="O98">
        <f>Single.Stream!$B$181</f>
        <v>0.47369889390565789</v>
      </c>
    </row>
    <row r="99" spans="1:15" x14ac:dyDescent="0.35">
      <c r="A99" t="str">
        <f>Single.Stream!A124</f>
        <v>Optical HDPE</v>
      </c>
      <c r="B99" s="32">
        <v>0.26860532471219828</v>
      </c>
      <c r="C99" s="32">
        <v>0.32523012629720843</v>
      </c>
      <c r="D99">
        <v>0.31067786338031966</v>
      </c>
      <c r="E99">
        <v>0.38139008431469712</v>
      </c>
      <c r="F99">
        <v>0.25995311384701575</v>
      </c>
      <c r="K99" t="s">
        <v>331</v>
      </c>
      <c r="L99" s="32">
        <f>L94-L97-L98</f>
        <v>1.0525799031440479</v>
      </c>
      <c r="M99" s="32">
        <f t="shared" ref="M99:O99" si="11">M94-M97-M98</f>
        <v>0.98585174814390908</v>
      </c>
      <c r="N99" s="32">
        <f t="shared" si="11"/>
        <v>1.1069352351154909</v>
      </c>
      <c r="O99" s="32">
        <f t="shared" si="11"/>
        <v>0.97933569251050279</v>
      </c>
    </row>
    <row r="100" spans="1:15" x14ac:dyDescent="0.35">
      <c r="A100" t="str">
        <f>Single.Stream!A125</f>
        <v>Manual Sort 4-HDPE (Negative)</v>
      </c>
      <c r="B100" s="32">
        <v>0</v>
      </c>
      <c r="C100" s="32">
        <v>1.349481181053679E-3</v>
      </c>
      <c r="D100">
        <v>6.3538888056665819E-4</v>
      </c>
      <c r="E100">
        <v>3.973672849815907E-3</v>
      </c>
      <c r="F100">
        <v>1.7870583767648186E-3</v>
      </c>
    </row>
    <row r="101" spans="1:15" x14ac:dyDescent="0.35">
      <c r="A101" t="str">
        <f>Single.Stream!A126</f>
        <v>Magnet</v>
      </c>
      <c r="B101" s="32">
        <v>9.8615106572105732E-2</v>
      </c>
      <c r="C101" s="32">
        <v>0.13562543952753059</v>
      </c>
      <c r="D101">
        <v>0.14263115407882668</v>
      </c>
      <c r="E101">
        <v>0.11122158516103044</v>
      </c>
      <c r="F101">
        <v>9.4235389388211535E-2</v>
      </c>
    </row>
    <row r="102" spans="1:15" x14ac:dyDescent="0.35">
      <c r="A102" t="str">
        <f>Single.Stream!A127</f>
        <v>Manual Sort 4-Fe (Negative)</v>
      </c>
      <c r="B102" s="32">
        <v>0</v>
      </c>
      <c r="C102" s="32">
        <v>1.1880054461228611E-3</v>
      </c>
      <c r="D102">
        <v>1.1552514598925966E-3</v>
      </c>
      <c r="E102">
        <v>3.2250105335223538E-3</v>
      </c>
      <c r="F102">
        <v>2.1905882641176412E-3</v>
      </c>
    </row>
    <row r="103" spans="1:15" x14ac:dyDescent="0.35">
      <c r="A103" t="str">
        <f>Single.Stream!A128</f>
        <v>Eddy Current Separator</v>
      </c>
      <c r="B103" s="32">
        <v>2.0551252983657356E-2</v>
      </c>
      <c r="C103" s="32">
        <v>4.1949498976902519E-2</v>
      </c>
      <c r="D103">
        <v>4.4822296830365538E-2</v>
      </c>
      <c r="E103">
        <v>1.7520515433968778E-2</v>
      </c>
      <c r="F103">
        <v>1.8908859039697024E-2</v>
      </c>
    </row>
    <row r="104" spans="1:15" x14ac:dyDescent="0.35">
      <c r="A104" t="str">
        <f>Single.Stream!A129</f>
        <v>Manual Sort 4-Al (Negative)</v>
      </c>
      <c r="B104" s="32">
        <v>0</v>
      </c>
      <c r="C104" s="32">
        <v>1.3699599493846855E-3</v>
      </c>
      <c r="D104">
        <v>5.145595743235046E-4</v>
      </c>
      <c r="E104">
        <v>1.2540408668252623E-3</v>
      </c>
      <c r="F104">
        <v>1.4835301820586315E-3</v>
      </c>
    </row>
    <row r="105" spans="1:15" x14ac:dyDescent="0.35">
      <c r="A105" t="str">
        <f>Single.Stream!A130</f>
        <v>Manual Sort 5 (Positive)</v>
      </c>
      <c r="B105" s="32">
        <v>0</v>
      </c>
      <c r="C105" s="32">
        <v>4.2233065808689836E-3</v>
      </c>
      <c r="D105">
        <v>5.4617466697252327E-3</v>
      </c>
      <c r="E105">
        <v>1.0820278577039078E-3</v>
      </c>
      <c r="F105">
        <v>1.0376510232343041E-3</v>
      </c>
    </row>
    <row r="106" spans="1:15" x14ac:dyDescent="0.35">
      <c r="A106" t="str">
        <f>Single.Stream!A131</f>
        <v>2-Way Baler</v>
      </c>
      <c r="B106" s="32">
        <v>0.1746400243866606</v>
      </c>
      <c r="C106" s="32">
        <v>9.1419714984337347E-2</v>
      </c>
      <c r="D106">
        <v>6.4133450094834191E-2</v>
      </c>
      <c r="E106">
        <v>0.18943656722720073</v>
      </c>
      <c r="F106">
        <v>0.17473831836208711</v>
      </c>
    </row>
    <row r="107" spans="1:15" x14ac:dyDescent="0.35">
      <c r="A107" t="str">
        <f>Single.Stream!A132</f>
        <v>Rolling Stock</v>
      </c>
      <c r="B107" s="32">
        <v>0</v>
      </c>
      <c r="C107" s="32">
        <v>0</v>
      </c>
      <c r="D107">
        <v>0</v>
      </c>
      <c r="E107">
        <v>0</v>
      </c>
      <c r="F107">
        <v>0</v>
      </c>
    </row>
    <row r="108" spans="1:15" x14ac:dyDescent="0.35">
      <c r="A108" t="str">
        <f>Single.Stream!A108</f>
        <v>Conveyor</v>
      </c>
      <c r="B108" s="32">
        <f>SUM('SS Material Flow'!B134:D134,'SS Material Flow'!F134:J134,'SS Material Flow'!L134:X134)*Single.Stream!J108/'SS Material Flow'!$C$180</f>
        <v>0.62990771344724916</v>
      </c>
      <c r="C108" s="32">
        <v>0.73479250120171735</v>
      </c>
      <c r="D108">
        <v>0.80098848531664479</v>
      </c>
      <c r="E108">
        <v>0.8569352324710775</v>
      </c>
      <c r="F108">
        <v>0.71504157843697236</v>
      </c>
    </row>
    <row r="109" spans="1:15" x14ac:dyDescent="0.35">
      <c r="A109" t="s">
        <v>387</v>
      </c>
      <c r="B109" s="32">
        <f>Single.Stream!B180+Single.Stream!B181</f>
        <v>0.97116094619343241</v>
      </c>
      <c r="C109" s="32">
        <v>0.97116094619343241</v>
      </c>
      <c r="D109">
        <v>0.97116094619343241</v>
      </c>
      <c r="E109">
        <v>0.97116094619343241</v>
      </c>
      <c r="F109">
        <v>0.97116094619343241</v>
      </c>
    </row>
    <row r="110" spans="1:15" ht="15" thickBot="1" x14ac:dyDescent="0.4">
      <c r="B110" s="32">
        <f>SUM(B84:B109)</f>
        <v>4.1922360692781515</v>
      </c>
      <c r="C110" s="32">
        <v>4.2383841044267792</v>
      </c>
      <c r="D110" s="32">
        <f t="shared" ref="D110:F110" si="12">SUM(D84:D109)</f>
        <v>6.1545815797851189</v>
      </c>
      <c r="E110" s="32">
        <f t="shared" si="12"/>
        <v>6.9798329894088091</v>
      </c>
      <c r="F110" s="32">
        <f t="shared" si="12"/>
        <v>5.3789423325903094</v>
      </c>
      <c r="G110" s="32"/>
      <c r="H110" s="32"/>
      <c r="I110" s="32"/>
    </row>
    <row r="111" spans="1:15" ht="58" x14ac:dyDescent="0.35">
      <c r="A111" s="296"/>
      <c r="B111" s="303" t="s">
        <v>15</v>
      </c>
      <c r="C111" s="303" t="s">
        <v>54</v>
      </c>
      <c r="D111" s="303" t="s">
        <v>202</v>
      </c>
      <c r="E111" s="303" t="s">
        <v>368</v>
      </c>
      <c r="F111" s="297"/>
      <c r="G111" s="297"/>
      <c r="H111" s="297"/>
      <c r="I111" s="297"/>
      <c r="J111" s="277"/>
    </row>
    <row r="112" spans="1:15" x14ac:dyDescent="0.35">
      <c r="A112" s="185"/>
      <c r="B112" s="304">
        <f>B10</f>
        <v>4.1922360692781524</v>
      </c>
      <c r="C112" s="142">
        <f>C10</f>
        <v>0.70000000000000051</v>
      </c>
      <c r="D112" s="142">
        <f>E10</f>
        <v>0.93066578928668631</v>
      </c>
      <c r="E112" s="187">
        <f>E35</f>
        <v>5.9001297538225792</v>
      </c>
      <c r="F112" s="9"/>
      <c r="G112" s="9"/>
      <c r="H112" s="9"/>
      <c r="I112" s="9"/>
      <c r="J112" s="186"/>
    </row>
    <row r="113" spans="1:16" x14ac:dyDescent="0.35">
      <c r="A113" s="185" t="s">
        <v>431</v>
      </c>
      <c r="B113" s="295">
        <v>6.0684545081659076</v>
      </c>
      <c r="C113" s="292">
        <v>0.7000000000000004</v>
      </c>
      <c r="D113" s="292">
        <v>0.61298914059972653</v>
      </c>
      <c r="E113" s="292">
        <v>6.9985152310606091</v>
      </c>
      <c r="F113" s="9"/>
      <c r="G113" s="9"/>
      <c r="H113" s="9"/>
      <c r="I113" s="9"/>
      <c r="J113" s="186"/>
    </row>
    <row r="114" spans="1:16" x14ac:dyDescent="0.35">
      <c r="A114" s="185" t="s">
        <v>57</v>
      </c>
      <c r="B114" s="9">
        <v>6.0803004123492537</v>
      </c>
      <c r="C114" s="9">
        <v>0.7000000000000004</v>
      </c>
      <c r="D114" s="9">
        <v>0.61204330898435999</v>
      </c>
      <c r="E114" s="9">
        <v>7.0077743559552674</v>
      </c>
      <c r="F114" s="305">
        <f>(B114-$B$113)/$B$113</f>
        <v>1.9520463023008328E-3</v>
      </c>
      <c r="G114" s="9">
        <f>ABS(F114)</f>
        <v>1.9520463023008328E-3</v>
      </c>
      <c r="H114" s="9"/>
      <c r="I114" s="9"/>
      <c r="J114" s="186"/>
    </row>
    <row r="115" spans="1:16" x14ac:dyDescent="0.35">
      <c r="A115" s="185" t="s">
        <v>58</v>
      </c>
      <c r="B115" s="9">
        <v>6.1538941224031971</v>
      </c>
      <c r="C115" s="9">
        <v>0.7000000000000004</v>
      </c>
      <c r="D115" s="9">
        <v>0.6097152220079578</v>
      </c>
      <c r="E115" s="9">
        <v>7.065297474689312</v>
      </c>
      <c r="F115" s="305">
        <f t="shared" ref="F115:F122" si="13">(B115-$B$113)/$B$113</f>
        <v>1.4079303737437468E-2</v>
      </c>
      <c r="G115" s="9">
        <f t="shared" ref="G115:G122" si="14">ABS(F115)</f>
        <v>1.4079303737437468E-2</v>
      </c>
      <c r="H115" s="9"/>
      <c r="I115" s="9"/>
      <c r="J115" s="186"/>
    </row>
    <row r="116" spans="1:16" x14ac:dyDescent="0.35">
      <c r="A116" s="185" t="s">
        <v>59</v>
      </c>
      <c r="B116" s="9">
        <v>6.123374109070804</v>
      </c>
      <c r="C116" s="9">
        <v>0.7000000000000004</v>
      </c>
      <c r="D116" s="9">
        <v>0.60753260961344502</v>
      </c>
      <c r="E116" s="9">
        <v>7.0414420888228157</v>
      </c>
      <c r="F116" s="305">
        <f t="shared" si="13"/>
        <v>9.0500144362942597E-3</v>
      </c>
      <c r="G116" s="9">
        <f t="shared" si="14"/>
        <v>9.0500144362942597E-3</v>
      </c>
      <c r="H116" s="9"/>
      <c r="I116" s="9"/>
      <c r="J116" s="186"/>
    </row>
    <row r="117" spans="1:16" ht="15" thickBot="1" x14ac:dyDescent="0.4">
      <c r="A117" s="185" t="s">
        <v>61</v>
      </c>
      <c r="B117" s="9">
        <v>5.9800364844953435</v>
      </c>
      <c r="C117" s="9">
        <v>0.7000000000000004</v>
      </c>
      <c r="D117" s="9">
        <v>0.61298914059972653</v>
      </c>
      <c r="E117" s="9">
        <v>6.9294049705491698</v>
      </c>
      <c r="F117" s="305">
        <f t="shared" si="13"/>
        <v>-1.4570105708395099E-2</v>
      </c>
      <c r="G117" s="9">
        <f t="shared" si="14"/>
        <v>1.4570105708395099E-2</v>
      </c>
      <c r="H117" s="9"/>
      <c r="I117" s="9"/>
      <c r="J117" s="186"/>
      <c r="M117" s="311">
        <v>6.07</v>
      </c>
      <c r="N117" s="311">
        <v>4.1500000000000004</v>
      </c>
      <c r="O117" s="311">
        <v>6.89</v>
      </c>
      <c r="P117" s="311">
        <v>5.29</v>
      </c>
    </row>
    <row r="118" spans="1:16" ht="15" thickBot="1" x14ac:dyDescent="0.4">
      <c r="A118" s="185" t="s">
        <v>71</v>
      </c>
      <c r="B118" s="9">
        <v>6.0656051151270978</v>
      </c>
      <c r="C118" s="9">
        <v>0.7000000000000004</v>
      </c>
      <c r="D118" s="9">
        <v>0.61298914059972653</v>
      </c>
      <c r="E118" s="9">
        <v>6.9962880573799877</v>
      </c>
      <c r="F118" s="305">
        <f t="shared" si="13"/>
        <v>-4.6954179766455975E-4</v>
      </c>
      <c r="G118" s="9">
        <f t="shared" si="14"/>
        <v>4.6954179766455975E-4</v>
      </c>
      <c r="H118" s="9"/>
      <c r="I118" s="9"/>
      <c r="J118" s="186"/>
      <c r="M118" s="311">
        <v>7.2</v>
      </c>
      <c r="N118" s="311">
        <v>5.8</v>
      </c>
      <c r="O118" s="311">
        <v>8</v>
      </c>
      <c r="P118" s="311">
        <v>6.8</v>
      </c>
    </row>
    <row r="119" spans="1:16" x14ac:dyDescent="0.35">
      <c r="A119" s="185" t="s">
        <v>63</v>
      </c>
      <c r="B119" s="9">
        <v>6.0754325673702496</v>
      </c>
      <c r="C119" s="9">
        <v>0.7000000000000004</v>
      </c>
      <c r="D119" s="9">
        <v>0.60703006917773594</v>
      </c>
      <c r="E119" s="9">
        <v>7.0039694978430607</v>
      </c>
      <c r="F119" s="305">
        <f t="shared" si="13"/>
        <v>1.1498906673770271E-3</v>
      </c>
      <c r="G119" s="9">
        <f t="shared" si="14"/>
        <v>1.1498906673770271E-3</v>
      </c>
      <c r="H119" s="9"/>
      <c r="I119" s="9"/>
      <c r="J119" s="186"/>
    </row>
    <row r="120" spans="1:16" x14ac:dyDescent="0.35">
      <c r="A120" s="185" t="s">
        <v>64</v>
      </c>
      <c r="B120" s="306">
        <v>6.0693953915880146</v>
      </c>
      <c r="C120" s="306">
        <v>0.7000000000000004</v>
      </c>
      <c r="D120" s="306">
        <v>0.60986771939817364</v>
      </c>
      <c r="E120" s="306">
        <v>6.9992506546282627</v>
      </c>
      <c r="F120" s="305">
        <f t="shared" si="13"/>
        <v>1.550449823494402E-4</v>
      </c>
      <c r="G120" s="9">
        <f t="shared" si="14"/>
        <v>1.550449823494402E-4</v>
      </c>
      <c r="H120" s="9"/>
      <c r="I120" s="9"/>
      <c r="J120" s="186"/>
    </row>
    <row r="121" spans="1:16" x14ac:dyDescent="0.35">
      <c r="A121" s="185" t="s">
        <v>65</v>
      </c>
      <c r="B121" s="304">
        <v>6.0675877846875501</v>
      </c>
      <c r="C121" s="142">
        <v>0.7000000000000004</v>
      </c>
      <c r="D121" s="142">
        <v>0.60939016598946516</v>
      </c>
      <c r="E121" s="187">
        <v>6.9978377731974497</v>
      </c>
      <c r="F121" s="305">
        <f t="shared" si="13"/>
        <v>-1.4282441718747128E-4</v>
      </c>
      <c r="G121" s="9">
        <f t="shared" si="14"/>
        <v>1.4282441718747128E-4</v>
      </c>
      <c r="H121" s="9"/>
      <c r="I121" s="9"/>
      <c r="J121" s="186"/>
    </row>
    <row r="122" spans="1:16" ht="15" thickBot="1" x14ac:dyDescent="0.4">
      <c r="A122" s="301" t="s">
        <v>11</v>
      </c>
      <c r="B122" s="302">
        <v>6.0675677328170314</v>
      </c>
      <c r="C122" s="302">
        <v>0.7000000000000004</v>
      </c>
      <c r="D122" s="302">
        <v>0.61022242271983984</v>
      </c>
      <c r="E122" s="302">
        <v>6.9978221000356013</v>
      </c>
      <c r="F122" s="307">
        <f t="shared" si="13"/>
        <v>-1.4612869680128327E-4</v>
      </c>
      <c r="G122" s="302">
        <f t="shared" si="14"/>
        <v>1.4612869680128327E-4</v>
      </c>
      <c r="H122" s="302"/>
      <c r="I122" s="302"/>
      <c r="J122" s="270"/>
    </row>
    <row r="123" spans="1:16" x14ac:dyDescent="0.35">
      <c r="A123" s="296"/>
      <c r="B123" s="297"/>
      <c r="C123" s="297"/>
      <c r="D123" s="297"/>
      <c r="E123" s="297"/>
      <c r="F123" s="298"/>
      <c r="G123" s="297"/>
      <c r="H123" s="297"/>
      <c r="I123" s="297"/>
      <c r="J123" s="277"/>
    </row>
    <row r="124" spans="1:16" x14ac:dyDescent="0.35">
      <c r="A124" s="185"/>
      <c r="B124" t="s">
        <v>513</v>
      </c>
      <c r="C124" s="9" t="s">
        <v>433</v>
      </c>
      <c r="D124" s="9" t="s">
        <v>432</v>
      </c>
      <c r="E124" s="9"/>
      <c r="F124" s="9"/>
      <c r="G124" s="9"/>
      <c r="H124" s="9"/>
      <c r="I124" s="9"/>
      <c r="J124" s="186"/>
    </row>
    <row r="125" spans="1:16" x14ac:dyDescent="0.35">
      <c r="A125" s="185" t="s">
        <v>61</v>
      </c>
      <c r="B125">
        <v>5.9335365206087065</v>
      </c>
      <c r="C125" s="299">
        <f t="shared" ref="C125:C133" si="15">(B125-$B$134)/$B$134</f>
        <v>-3.5915529969159976E-2</v>
      </c>
      <c r="D125" s="300">
        <v>3.5915529969159976E-2</v>
      </c>
      <c r="E125" s="9"/>
      <c r="F125" s="9"/>
      <c r="G125" s="9"/>
      <c r="H125" s="9"/>
      <c r="I125" s="9"/>
      <c r="J125" s="186"/>
    </row>
    <row r="126" spans="1:16" x14ac:dyDescent="0.35">
      <c r="A126" s="185" t="s">
        <v>58</v>
      </c>
      <c r="B126">
        <v>6.3681806153783409</v>
      </c>
      <c r="C126" s="299">
        <f t="shared" si="15"/>
        <v>3.4705695720208429E-2</v>
      </c>
      <c r="D126" s="300">
        <v>3.4705695720208429E-2</v>
      </c>
      <c r="E126" s="9"/>
      <c r="F126" s="9"/>
      <c r="G126" s="9"/>
      <c r="H126" s="9"/>
      <c r="I126" s="9"/>
      <c r="J126" s="186"/>
    </row>
    <row r="127" spans="1:16" x14ac:dyDescent="0.35">
      <c r="A127" s="185" t="s">
        <v>59</v>
      </c>
      <c r="B127">
        <v>6.2918805820473542</v>
      </c>
      <c r="C127" s="299">
        <f t="shared" si="15"/>
        <v>2.2308421861397931E-2</v>
      </c>
      <c r="D127" s="300">
        <v>2.2308421861397931E-2</v>
      </c>
      <c r="E127" s="9"/>
      <c r="F127" s="9"/>
      <c r="G127" s="9"/>
      <c r="H127" s="9"/>
      <c r="I127" s="9"/>
      <c r="J127" s="186"/>
    </row>
    <row r="128" spans="1:16" x14ac:dyDescent="0.35">
      <c r="A128" s="185" t="s">
        <v>57</v>
      </c>
      <c r="B128">
        <v>6.1841963402434823</v>
      </c>
      <c r="C128" s="299">
        <f t="shared" si="15"/>
        <v>4.8118235292605206E-3</v>
      </c>
      <c r="D128" s="300">
        <v>4.8118235292605206E-3</v>
      </c>
      <c r="E128" s="9"/>
      <c r="F128" s="9"/>
      <c r="G128" s="9"/>
      <c r="H128" s="9"/>
      <c r="I128" s="9"/>
      <c r="J128" s="186"/>
    </row>
    <row r="129" spans="1:10" x14ac:dyDescent="0.35">
      <c r="A129" s="185" t="s">
        <v>63</v>
      </c>
      <c r="B129">
        <v>6.1720267277959744</v>
      </c>
      <c r="C129" s="299">
        <f t="shared" si="15"/>
        <v>2.8344978102418108E-3</v>
      </c>
      <c r="D129" s="300">
        <v>2.8344978102418108E-3</v>
      </c>
      <c r="E129" s="9"/>
      <c r="F129" s="9"/>
      <c r="G129" s="9"/>
      <c r="H129" s="9"/>
      <c r="I129" s="9"/>
      <c r="J129" s="186"/>
    </row>
    <row r="130" spans="1:10" x14ac:dyDescent="0.35">
      <c r="A130" s="185" t="s">
        <v>71</v>
      </c>
      <c r="B130">
        <v>6.1474580971880926</v>
      </c>
      <c r="C130" s="299">
        <f t="shared" si="15"/>
        <v>-1.1574276016461612E-3</v>
      </c>
      <c r="D130" s="300">
        <v>1.1574276016461612E-3</v>
      </c>
      <c r="E130" s="9"/>
      <c r="F130" s="9"/>
      <c r="G130" s="9"/>
      <c r="H130" s="9"/>
      <c r="I130" s="9"/>
      <c r="J130" s="186"/>
    </row>
    <row r="131" spans="1:10" x14ac:dyDescent="0.35">
      <c r="A131" s="185" t="s">
        <v>64</v>
      </c>
      <c r="B131">
        <v>6.1569337883403854</v>
      </c>
      <c r="C131" s="299">
        <f t="shared" si="15"/>
        <v>3.8218821617255202E-4</v>
      </c>
      <c r="D131" s="300">
        <v>3.8218821617255202E-4</v>
      </c>
      <c r="E131" s="9"/>
      <c r="F131" s="9"/>
      <c r="G131" s="9"/>
      <c r="H131" s="9"/>
      <c r="I131" s="9"/>
      <c r="J131" s="186"/>
    </row>
    <row r="132" spans="1:10" x14ac:dyDescent="0.35">
      <c r="A132" s="185" t="s">
        <v>11</v>
      </c>
      <c r="B132">
        <v>6.1523646414129267</v>
      </c>
      <c r="C132" s="299">
        <f t="shared" si="15"/>
        <v>-3.6020943803454625E-4</v>
      </c>
      <c r="D132" s="300">
        <v>3.6020943803454625E-4</v>
      </c>
      <c r="E132" s="9"/>
      <c r="F132" s="9"/>
      <c r="G132" s="9"/>
      <c r="H132" s="9"/>
      <c r="I132" s="9"/>
      <c r="J132" s="186"/>
    </row>
    <row r="133" spans="1:10" x14ac:dyDescent="0.35">
      <c r="A133" s="185" t="s">
        <v>65</v>
      </c>
      <c r="B133">
        <v>6.1524147710892256</v>
      </c>
      <c r="C133" s="299">
        <f t="shared" si="15"/>
        <v>-3.5206433902999854E-4</v>
      </c>
      <c r="D133" s="300">
        <v>3.5206433902999854E-4</v>
      </c>
      <c r="E133" s="9"/>
      <c r="F133" s="9"/>
      <c r="G133" s="9"/>
      <c r="H133" s="9"/>
      <c r="I133" s="9"/>
      <c r="J133" s="186"/>
    </row>
    <row r="134" spans="1:10" x14ac:dyDescent="0.35">
      <c r="A134" s="185" t="s">
        <v>514</v>
      </c>
      <c r="B134" s="9">
        <v>6.1545815797851189</v>
      </c>
      <c r="C134" s="9"/>
      <c r="D134" s="9"/>
      <c r="E134" s="9"/>
      <c r="F134" s="9"/>
      <c r="G134" s="9"/>
      <c r="H134" s="9"/>
      <c r="I134" s="9"/>
      <c r="J134" s="186"/>
    </row>
    <row r="135" spans="1:10" x14ac:dyDescent="0.35">
      <c r="A135" s="185"/>
      <c r="B135" s="9"/>
      <c r="C135" s="9"/>
      <c r="D135" s="9"/>
      <c r="E135" s="9"/>
      <c r="F135" s="9"/>
      <c r="G135" s="9"/>
      <c r="H135" s="9"/>
      <c r="I135" s="9"/>
      <c r="J135" s="186"/>
    </row>
    <row r="136" spans="1:10" x14ac:dyDescent="0.35">
      <c r="A136" s="185"/>
      <c r="B136" s="9"/>
      <c r="C136" s="9"/>
      <c r="D136" s="9"/>
      <c r="E136" s="9"/>
      <c r="F136" s="9"/>
      <c r="G136" s="9"/>
      <c r="H136" s="9"/>
      <c r="I136" s="9"/>
      <c r="J136" s="186"/>
    </row>
    <row r="137" spans="1:10" x14ac:dyDescent="0.35">
      <c r="A137" s="185"/>
      <c r="B137" s="9"/>
      <c r="C137" s="9"/>
      <c r="D137" s="9"/>
      <c r="E137" s="9"/>
      <c r="F137" s="9"/>
      <c r="G137" s="9"/>
      <c r="H137" s="9"/>
      <c r="I137" s="9"/>
      <c r="J137" s="186"/>
    </row>
    <row r="138" spans="1:10" ht="15" thickBot="1" x14ac:dyDescent="0.4">
      <c r="A138" s="301"/>
      <c r="B138" s="302"/>
      <c r="C138" s="302"/>
      <c r="D138" s="302"/>
      <c r="E138" s="302"/>
      <c r="F138" s="302"/>
      <c r="G138" s="302"/>
      <c r="H138" s="302"/>
      <c r="I138" s="302"/>
      <c r="J138" s="270"/>
    </row>
    <row r="140" spans="1:10" x14ac:dyDescent="0.35">
      <c r="A140" s="286" t="s">
        <v>482</v>
      </c>
      <c r="B140" s="286" t="str">
        <f>B41</f>
        <v>Single-Stream</v>
      </c>
      <c r="C140" s="286" t="str">
        <f t="shared" ref="C140:E140" si="16">C41</f>
        <v>Mixed-Waste</v>
      </c>
      <c r="D140" s="286" t="str">
        <f t="shared" si="16"/>
        <v>Dual-Stream</v>
      </c>
      <c r="E140" s="286" t="str">
        <f t="shared" si="16"/>
        <v>Pre-Sorted</v>
      </c>
    </row>
    <row r="141" spans="1:10" x14ac:dyDescent="0.35">
      <c r="A141" s="287" t="s">
        <v>146</v>
      </c>
      <c r="B141" s="288">
        <f>Single.Stream!B213</f>
        <v>2.568975806779334</v>
      </c>
      <c r="C141" s="288" t="e">
        <f>#REF!</f>
        <v>#REF!</v>
      </c>
      <c r="D141" s="288" t="e">
        <f>#REF!</f>
        <v>#REF!</v>
      </c>
      <c r="E141" s="288" t="e">
        <f>#REF!</f>
        <v>#REF!</v>
      </c>
    </row>
    <row r="142" spans="1:10" x14ac:dyDescent="0.35">
      <c r="A142" s="287" t="s">
        <v>147</v>
      </c>
      <c r="B142" s="288">
        <f>Single.Stream!B214</f>
        <v>2.8526767124165886</v>
      </c>
      <c r="C142" s="288" t="e">
        <f>#REF!</f>
        <v>#REF!</v>
      </c>
      <c r="D142" s="288" t="e">
        <f>#REF!</f>
        <v>#REF!</v>
      </c>
      <c r="E142" s="288" t="e">
        <f>#REF!</f>
        <v>#REF!</v>
      </c>
      <c r="F142" s="25"/>
      <c r="G142" s="25">
        <f>Single.Stream!B181/'Tables and Figures'!B112</f>
        <v>0.11299432715086166</v>
      </c>
      <c r="H142" s="25"/>
      <c r="I142" s="9"/>
    </row>
    <row r="143" spans="1:10" x14ac:dyDescent="0.35">
      <c r="A143" s="287" t="s">
        <v>481</v>
      </c>
      <c r="B143" s="288">
        <f>Single.Stream!B231</f>
        <v>5.3360384875650144</v>
      </c>
      <c r="C143" s="288" t="e">
        <f>#REF!</f>
        <v>#REF!</v>
      </c>
      <c r="D143" s="288" t="e">
        <f>#REF!</f>
        <v>#REF!</v>
      </c>
      <c r="E143" s="288" t="e">
        <f>#REF!</f>
        <v>#REF!</v>
      </c>
    </row>
    <row r="144" spans="1:10" x14ac:dyDescent="0.35">
      <c r="A144" s="287" t="s">
        <v>144</v>
      </c>
      <c r="B144" s="288">
        <f>Single.Stream!B229</f>
        <v>7.0431052441695261</v>
      </c>
      <c r="C144" s="288" t="e">
        <f>#REF!</f>
        <v>#REF!</v>
      </c>
      <c r="D144" s="288" t="e">
        <f>#REF!</f>
        <v>#REF!</v>
      </c>
      <c r="E144" s="288" t="e">
        <f>#REF!</f>
        <v>#REF!</v>
      </c>
    </row>
    <row r="145" spans="1:5" x14ac:dyDescent="0.35">
      <c r="A145" s="287" t="s">
        <v>77</v>
      </c>
      <c r="B145" s="288">
        <f>Single.Stream!B227</f>
        <v>2.9569559508619667</v>
      </c>
      <c r="C145" s="288" t="e">
        <f>#REF!</f>
        <v>#REF!</v>
      </c>
      <c r="D145" s="288" t="e">
        <f>#REF!</f>
        <v>#REF!</v>
      </c>
      <c r="E145" s="288" t="e">
        <f>#REF!</f>
        <v>#REF!</v>
      </c>
    </row>
    <row r="146" spans="1:5" x14ac:dyDescent="0.35">
      <c r="A146" s="287" t="s">
        <v>76</v>
      </c>
      <c r="B146" s="288">
        <f>Single.Stream!B221</f>
        <v>13.278024228549562</v>
      </c>
      <c r="C146" s="288" t="e">
        <f>#REF!</f>
        <v>#REF!</v>
      </c>
      <c r="D146" s="288" t="e">
        <f>#REF!</f>
        <v>#REF!</v>
      </c>
      <c r="E146" s="288" t="e">
        <f>#REF!</f>
        <v>#REF!</v>
      </c>
    </row>
    <row r="147" spans="1:5" x14ac:dyDescent="0.35">
      <c r="A147" s="287" t="s">
        <v>75</v>
      </c>
      <c r="B147" s="288">
        <f>Single.Stream!B223</f>
        <v>7.6136861741646467</v>
      </c>
      <c r="C147" s="288" t="e">
        <f>#REF!</f>
        <v>#REF!</v>
      </c>
      <c r="D147" s="288" t="e">
        <f>#REF!</f>
        <v>#REF!</v>
      </c>
      <c r="E147" s="288" t="e">
        <f>#REF!</f>
        <v>#REF!</v>
      </c>
    </row>
    <row r="148" spans="1:5" x14ac:dyDescent="0.35">
      <c r="A148" s="287" t="s">
        <v>72</v>
      </c>
      <c r="B148" s="288">
        <f>Single.Stream!B236</f>
        <v>8.5065393792912616</v>
      </c>
      <c r="C148" s="288" t="e">
        <f>#REF!</f>
        <v>#REF!</v>
      </c>
      <c r="D148" s="288" t="e">
        <f>#REF!</f>
        <v>#REF!</v>
      </c>
      <c r="E148" s="288" t="e">
        <f>#REF!</f>
        <v>#REF!</v>
      </c>
    </row>
    <row r="156" spans="1:5" x14ac:dyDescent="0.35">
      <c r="A156" t="s">
        <v>364</v>
      </c>
      <c r="B156" t="str">
        <f>Single.Stream!B1</f>
        <v>Material Recovered?</v>
      </c>
      <c r="C156" t="str">
        <f>Single.Stream!E1</f>
        <v>Bale Density (Mg/m^3)</v>
      </c>
    </row>
    <row r="157" spans="1:5" x14ac:dyDescent="0.35">
      <c r="A157" t="str">
        <f>Single.Stream!A2</f>
        <v>OCC</v>
      </c>
      <c r="B157" t="str">
        <f>Single.Stream!B2</f>
        <v>Yes-Automatic</v>
      </c>
      <c r="C157">
        <f>Single.Stream!E2</f>
        <v>1.0589999999999999</v>
      </c>
    </row>
    <row r="158" spans="1:5" x14ac:dyDescent="0.35">
      <c r="A158" t="str">
        <f>Single.Stream!A3</f>
        <v>Non-OCC Fiber</v>
      </c>
      <c r="B158" t="str">
        <f>Single.Stream!B3</f>
        <v>Yes-Automatic</v>
      </c>
      <c r="C158">
        <f>Single.Stream!E3</f>
        <v>1.1299999999999999</v>
      </c>
    </row>
    <row r="159" spans="1:5" x14ac:dyDescent="0.35">
      <c r="A159" t="str">
        <f>Single.Stream!A4</f>
        <v>Aluminous</v>
      </c>
      <c r="B159" t="str">
        <f>Single.Stream!B4</f>
        <v>Yes-Automatic</v>
      </c>
      <c r="C159">
        <f>Single.Stream!E4</f>
        <v>0.38400000000000001</v>
      </c>
    </row>
    <row r="160" spans="1:5" x14ac:dyDescent="0.35">
      <c r="A160" t="str">
        <f>Single.Stream!A5</f>
        <v>Ferrous</v>
      </c>
      <c r="B160" t="str">
        <f>Single.Stream!B5</f>
        <v>Yes-Automatic</v>
      </c>
      <c r="C160">
        <f>Single.Stream!E5</f>
        <v>0.65600000000000003</v>
      </c>
    </row>
    <row r="161" spans="1:3" x14ac:dyDescent="0.35">
      <c r="A161" t="str">
        <f>Single.Stream!A6</f>
        <v>Film</v>
      </c>
      <c r="B161" t="str">
        <f>Single.Stream!B6</f>
        <v>Yes-Automatic</v>
      </c>
      <c r="C161">
        <f>Single.Stream!E6</f>
        <v>0.41599999999999998</v>
      </c>
    </row>
    <row r="162" spans="1:3" x14ac:dyDescent="0.35">
      <c r="A162" t="str">
        <f>Single.Stream!A7</f>
        <v>HDPE</v>
      </c>
      <c r="B162" t="str">
        <f>Single.Stream!B7</f>
        <v>Yes-Automatic</v>
      </c>
      <c r="C162">
        <f>Single.Stream!E7</f>
        <v>0.41599999999999998</v>
      </c>
    </row>
    <row r="163" spans="1:3" x14ac:dyDescent="0.35">
      <c r="A163" t="str">
        <f>Single.Stream!A8</f>
        <v>PET</v>
      </c>
      <c r="B163" t="str">
        <f>Single.Stream!B8</f>
        <v>Yes-Automatic</v>
      </c>
      <c r="C163">
        <f>Single.Stream!E8</f>
        <v>0.41599999999999998</v>
      </c>
    </row>
    <row r="164" spans="1:3" x14ac:dyDescent="0.35">
      <c r="A164" t="str">
        <f>Single.Stream!A9</f>
        <v>Glass</v>
      </c>
      <c r="B164" t="str">
        <f>Single.Stream!B9</f>
        <v>Yes</v>
      </c>
    </row>
    <row r="166" spans="1:3" x14ac:dyDescent="0.35">
      <c r="A166" t="str">
        <f>Single.Stream!A11</f>
        <v>Secondary Sort</v>
      </c>
    </row>
    <row r="167" spans="1:3" x14ac:dyDescent="0.35">
      <c r="A167" t="str">
        <f>Single.Stream!A12</f>
        <v>Paper</v>
      </c>
      <c r="B167" t="str">
        <f>Single.Stream!B12</f>
        <v>Isolate Material?</v>
      </c>
      <c r="C167" t="str">
        <f>Single.Stream!E12</f>
        <v>Separation Efficiency</v>
      </c>
    </row>
    <row r="168" spans="1:3" x14ac:dyDescent="0.35">
      <c r="A168" t="str">
        <f>Single.Stream!A13</f>
        <v>Newsprint</v>
      </c>
      <c r="B168" t="str">
        <f>Single.Stream!B13</f>
        <v>No</v>
      </c>
      <c r="C168">
        <f>Single.Stream!E13</f>
        <v>0.95</v>
      </c>
    </row>
    <row r="169" spans="1:3" x14ac:dyDescent="0.35">
      <c r="A169" t="str">
        <f>Single.Stream!A14</f>
        <v>Office Paper</v>
      </c>
      <c r="B169" t="str">
        <f>Single.Stream!B14</f>
        <v>No</v>
      </c>
      <c r="C169">
        <f>Single.Stream!E14</f>
        <v>0.95</v>
      </c>
    </row>
    <row r="170" spans="1:3" x14ac:dyDescent="0.35">
      <c r="A170" t="str">
        <f>Single.Stream!A15</f>
        <v xml:space="preserve">Magazines </v>
      </c>
      <c r="B170" t="str">
        <f>Single.Stream!B15</f>
        <v>No</v>
      </c>
      <c r="C170">
        <f>Single.Stream!E15</f>
        <v>0.95</v>
      </c>
    </row>
    <row r="171" spans="1:3" x14ac:dyDescent="0.35">
      <c r="A171" t="str">
        <f>Single.Stream!A16</f>
        <v>3rd Class Mail</v>
      </c>
      <c r="B171" t="str">
        <f>Single.Stream!B16</f>
        <v>No</v>
      </c>
      <c r="C171">
        <f>Single.Stream!E16</f>
        <v>0.95</v>
      </c>
    </row>
    <row r="172" spans="1:3" x14ac:dyDescent="0.35">
      <c r="A172" t="str">
        <f>Single.Stream!A17</f>
        <v>Paper Other #1</v>
      </c>
      <c r="B172" t="str">
        <f>Single.Stream!B17</f>
        <v>No</v>
      </c>
      <c r="C172">
        <f>Single.Stream!E17</f>
        <v>0.95</v>
      </c>
    </row>
    <row r="173" spans="1:3" x14ac:dyDescent="0.35">
      <c r="A173" t="str">
        <f>Single.Stream!A18</f>
        <v>Paper Other #2</v>
      </c>
      <c r="B173" t="str">
        <f>Single.Stream!B18</f>
        <v>No</v>
      </c>
      <c r="C173">
        <f>Single.Stream!E18</f>
        <v>0.95</v>
      </c>
    </row>
    <row r="175" spans="1:3" x14ac:dyDescent="0.35">
      <c r="A175" t="str">
        <f>Single.Stream!A20</f>
        <v>Glass (if no material isolated, optical sorter will be turned off)</v>
      </c>
      <c r="B175" t="str">
        <f>Single.Stream!B12</f>
        <v>Isolate Material?</v>
      </c>
    </row>
    <row r="176" spans="1:3" x14ac:dyDescent="0.35">
      <c r="A176" t="str">
        <f>Single.Stream!A21</f>
        <v>Glass - Brown</v>
      </c>
      <c r="B176" t="str">
        <f>Single.Stream!B21</f>
        <v>Yes</v>
      </c>
    </row>
    <row r="177" spans="1:3" x14ac:dyDescent="0.35">
      <c r="A177" t="str">
        <f>Single.Stream!A22</f>
        <v>Glass - Green</v>
      </c>
      <c r="B177" t="str">
        <f>Single.Stream!B22</f>
        <v>Yes</v>
      </c>
    </row>
    <row r="178" spans="1:3" x14ac:dyDescent="0.35">
      <c r="A178" t="str">
        <f>Single.Stream!A23</f>
        <v>Glass - Clear</v>
      </c>
      <c r="B178" t="str">
        <f>Single.Stream!B23</f>
        <v>Yes</v>
      </c>
    </row>
    <row r="181" spans="1:3" x14ac:dyDescent="0.35">
      <c r="A181">
        <f>Single.Stream!A107</f>
        <v>0</v>
      </c>
      <c r="B181" t="str">
        <f>Single.Stream!C107</f>
        <v>Is equipment present? (Default)</v>
      </c>
      <c r="C181" t="str">
        <f>Single.Stream!E107</f>
        <v>Mass Used in Resource Calculations</v>
      </c>
    </row>
    <row r="182" spans="1:3" x14ac:dyDescent="0.35">
      <c r="A182" t="str">
        <f>Single.Stream!A108</f>
        <v>Conveyor</v>
      </c>
      <c r="B182" t="str">
        <f>Single.Stream!C108</f>
        <v>-</v>
      </c>
    </row>
    <row r="183" spans="1:3" x14ac:dyDescent="0.35">
      <c r="A183" t="str">
        <f>Single.Stream!A109</f>
        <v>Drum Feeder</v>
      </c>
      <c r="B183" t="str">
        <f>Single.Stream!C109</f>
        <v>Yes</v>
      </c>
      <c r="C183" t="str">
        <f>Single.Stream!E109</f>
        <v>Total Throughput</v>
      </c>
    </row>
    <row r="184" spans="1:3" x14ac:dyDescent="0.35">
      <c r="A184" t="str">
        <f>Single.Stream!A110</f>
        <v>Manual Sort 1 (Negative)</v>
      </c>
      <c r="B184" t="str">
        <f>Single.Stream!C110</f>
        <v>Yes</v>
      </c>
      <c r="C184" t="str">
        <f>Single.Stream!E110</f>
        <v>Total Throughput</v>
      </c>
    </row>
    <row r="185" spans="1:3" x14ac:dyDescent="0.35">
      <c r="A185" t="str">
        <f>Single.Stream!A111</f>
        <v>Vacuum</v>
      </c>
      <c r="B185" t="str">
        <f>Single.Stream!C111</f>
        <v>Yes</v>
      </c>
      <c r="C185" t="str">
        <f>Single.Stream!E111</f>
        <v>Total Throughput</v>
      </c>
    </row>
    <row r="186" spans="1:3" x14ac:dyDescent="0.35">
      <c r="A186" t="str">
        <f>Single.Stream!A112</f>
        <v>Disc Screen 1</v>
      </c>
      <c r="B186" t="str">
        <f>Single.Stream!C112</f>
        <v>Yes</v>
      </c>
      <c r="C186" t="str">
        <f>Single.Stream!E112</f>
        <v>Total Throughput</v>
      </c>
    </row>
    <row r="187" spans="1:3" x14ac:dyDescent="0.35">
      <c r="A187" t="str">
        <f>Single.Stream!A113</f>
        <v>Disc Screen 2</v>
      </c>
      <c r="B187" t="str">
        <f>Single.Stream!C113</f>
        <v>Yes</v>
      </c>
      <c r="C187" t="str">
        <f>Single.Stream!E113</f>
        <v>Total Throughput</v>
      </c>
    </row>
    <row r="188" spans="1:3" x14ac:dyDescent="0.35">
      <c r="A188" t="str">
        <f>Single.Stream!A114</f>
        <v>Disc Screen 3</v>
      </c>
      <c r="B188" t="str">
        <f>Single.Stream!C114</f>
        <v>Yes</v>
      </c>
      <c r="C188" t="str">
        <f>Single.Stream!E114</f>
        <v>Total Throughput</v>
      </c>
    </row>
    <row r="189" spans="1:3" x14ac:dyDescent="0.35">
      <c r="A189" t="str">
        <f>Single.Stream!A115</f>
        <v>Manual Sort 2-DS2 (Negative)</v>
      </c>
      <c r="B189" t="str">
        <f>Single.Stream!C115</f>
        <v>Yes</v>
      </c>
      <c r="C189" t="str">
        <f>Single.Stream!E115</f>
        <v>Total Throughput</v>
      </c>
    </row>
    <row r="190" spans="1:3" x14ac:dyDescent="0.35">
      <c r="A190" t="str">
        <f>Single.Stream!A116</f>
        <v>Manual Sort 2-DS3 (Negative)</v>
      </c>
      <c r="B190" t="str">
        <f>Single.Stream!C116</f>
        <v>Yes</v>
      </c>
      <c r="C190" t="str">
        <f>Single.Stream!E116</f>
        <v>Total Throughput</v>
      </c>
    </row>
    <row r="191" spans="1:3" x14ac:dyDescent="0.35">
      <c r="A191" t="str">
        <f>Single.Stream!A117</f>
        <v>1-Way Baler</v>
      </c>
      <c r="B191" t="str">
        <f>Single.Stream!C117</f>
        <v>Yes</v>
      </c>
      <c r="C191" t="str">
        <f>Single.Stream!E117</f>
        <v>Total Throughput</v>
      </c>
    </row>
    <row r="192" spans="1:3" x14ac:dyDescent="0.35">
      <c r="A192" t="str">
        <f>Single.Stream!A118</f>
        <v>Glass Breaker Screen</v>
      </c>
      <c r="B192" t="str">
        <f>Single.Stream!C118</f>
        <v>Yes</v>
      </c>
      <c r="C192" t="str">
        <f>Single.Stream!E118</f>
        <v>Removed</v>
      </c>
    </row>
    <row r="193" spans="1:3" x14ac:dyDescent="0.35">
      <c r="A193" t="str">
        <f>Single.Stream!A119</f>
        <v>Air Knife</v>
      </c>
      <c r="B193" t="str">
        <f>Single.Stream!C119</f>
        <v>Yes</v>
      </c>
      <c r="C193" t="str">
        <f>Single.Stream!E119</f>
        <v>Total Throughput</v>
      </c>
    </row>
    <row r="194" spans="1:3" x14ac:dyDescent="0.35">
      <c r="A194" t="str">
        <f>Single.Stream!A120</f>
        <v>Optical Glass</v>
      </c>
      <c r="B194" t="str">
        <f>Single.Stream!C120</f>
        <v>Yes</v>
      </c>
      <c r="C194" t="str">
        <f>Single.Stream!E120</f>
        <v>Total Throughput</v>
      </c>
    </row>
    <row r="195" spans="1:3" x14ac:dyDescent="0.35">
      <c r="A195" t="str">
        <f>Single.Stream!A121</f>
        <v>Manual Sort 3-G (Negative)</v>
      </c>
      <c r="B195" t="str">
        <f>Single.Stream!C121</f>
        <v>Yes</v>
      </c>
      <c r="C195" t="str">
        <f>Single.Stream!E121</f>
        <v>Total Throughput</v>
      </c>
    </row>
    <row r="196" spans="1:3" x14ac:dyDescent="0.35">
      <c r="A196" t="str">
        <f>Single.Stream!A122</f>
        <v>Optical PET</v>
      </c>
      <c r="B196" t="str">
        <f>Single.Stream!C122</f>
        <v>Yes</v>
      </c>
      <c r="C196" t="str">
        <f>Single.Stream!E122</f>
        <v>Removed</v>
      </c>
    </row>
    <row r="197" spans="1:3" x14ac:dyDescent="0.35">
      <c r="A197" t="str">
        <f>Single.Stream!A123</f>
        <v>Manual Sort 4-PET (Negative)</v>
      </c>
      <c r="B197" t="str">
        <f>Single.Stream!C123</f>
        <v>Yes</v>
      </c>
      <c r="C197" t="str">
        <f>Single.Stream!E123</f>
        <v>Total Throughput</v>
      </c>
    </row>
    <row r="198" spans="1:3" x14ac:dyDescent="0.35">
      <c r="A198" t="str">
        <f>Single.Stream!A124</f>
        <v>Optical HDPE</v>
      </c>
      <c r="B198" t="str">
        <f>Single.Stream!C124</f>
        <v>Yes</v>
      </c>
      <c r="C198" t="str">
        <f>Single.Stream!E124</f>
        <v>Removed</v>
      </c>
    </row>
    <row r="199" spans="1:3" x14ac:dyDescent="0.35">
      <c r="A199" t="str">
        <f>Single.Stream!A125</f>
        <v>Manual Sort 4-HDPE (Negative)</v>
      </c>
      <c r="B199" t="str">
        <f>Single.Stream!C125</f>
        <v>Yes</v>
      </c>
      <c r="C199" t="str">
        <f>Single.Stream!E125</f>
        <v>Total Throughput</v>
      </c>
    </row>
    <row r="200" spans="1:3" x14ac:dyDescent="0.35">
      <c r="A200" t="str">
        <f>Single.Stream!A126</f>
        <v>Magnet</v>
      </c>
      <c r="B200" t="str">
        <f>Single.Stream!C126</f>
        <v>Yes</v>
      </c>
      <c r="C200" t="str">
        <f>Single.Stream!E126</f>
        <v>Removed</v>
      </c>
    </row>
    <row r="201" spans="1:3" x14ac:dyDescent="0.35">
      <c r="A201" t="str">
        <f>Single.Stream!A127</f>
        <v>Manual Sort 4-Fe (Negative)</v>
      </c>
      <c r="B201" t="str">
        <f>Single.Stream!C127</f>
        <v>Yes</v>
      </c>
      <c r="C201" t="str">
        <f>Single.Stream!E127</f>
        <v>Total Throughput</v>
      </c>
    </row>
    <row r="202" spans="1:3" x14ac:dyDescent="0.35">
      <c r="A202" t="str">
        <f>Single.Stream!A128</f>
        <v>Eddy Current Separator</v>
      </c>
      <c r="B202" t="str">
        <f>Single.Stream!C128</f>
        <v>Yes</v>
      </c>
      <c r="C202" t="str">
        <f>Single.Stream!E128</f>
        <v>Removed</v>
      </c>
    </row>
    <row r="203" spans="1:3" x14ac:dyDescent="0.35">
      <c r="A203" t="str">
        <f>Single.Stream!A129</f>
        <v>Manual Sort 4-Al (Negative)</v>
      </c>
      <c r="B203" t="str">
        <f>Single.Stream!C129</f>
        <v>Yes</v>
      </c>
      <c r="C203" t="str">
        <f>Single.Stream!E129</f>
        <v>Total Throughput</v>
      </c>
    </row>
    <row r="204" spans="1:3" x14ac:dyDescent="0.35">
      <c r="A204" t="str">
        <f>Single.Stream!A130</f>
        <v>Manual Sort 5 (Positive)</v>
      </c>
      <c r="B204" t="str">
        <f>Single.Stream!C130</f>
        <v>Yes</v>
      </c>
      <c r="C204" t="str">
        <f>Single.Stream!E130</f>
        <v>Total Throughput</v>
      </c>
    </row>
    <row r="205" spans="1:3" x14ac:dyDescent="0.35">
      <c r="A205" t="str">
        <f>Single.Stream!A131</f>
        <v>2-Way Baler</v>
      </c>
      <c r="B205" t="str">
        <f>Single.Stream!C131</f>
        <v>Yes</v>
      </c>
      <c r="C205" t="str">
        <f>Single.Stream!E131</f>
        <v>Total Throughput</v>
      </c>
    </row>
    <row r="206" spans="1:3" x14ac:dyDescent="0.35">
      <c r="A206" t="str">
        <f>Single.Stream!A132</f>
        <v>Rolling Stock</v>
      </c>
      <c r="B206" t="str">
        <f>Single.Stream!C132</f>
        <v>Yes</v>
      </c>
      <c r="C206" t="str">
        <f>Single.Stream!E132</f>
        <v>Total Throughput</v>
      </c>
    </row>
    <row r="209" spans="1:4" x14ac:dyDescent="0.35">
      <c r="A209" t="str">
        <f>Single.Stream!A188</f>
        <v>Baler Data</v>
      </c>
    </row>
    <row r="210" spans="1:4" x14ac:dyDescent="0.35">
      <c r="A210" t="str">
        <f>Single.Stream!A189</f>
        <v>Wire Length Per Unit Mass</v>
      </c>
      <c r="B210" t="str">
        <f>Single.Stream!B189</f>
        <v>m/kg</v>
      </c>
      <c r="C210" s="32">
        <f>Single.Stream!C189</f>
        <v>13.441024078024991</v>
      </c>
    </row>
    <row r="211" spans="1:4" x14ac:dyDescent="0.35">
      <c r="A211" t="str">
        <f>Single.Stream!A190</f>
        <v xml:space="preserve">Cost of Baling Wire </v>
      </c>
      <c r="B211" t="str">
        <f>Single.Stream!B190</f>
        <v>$/kg</v>
      </c>
      <c r="C211" s="32">
        <f>Single.Stream!C190</f>
        <v>2.105</v>
      </c>
    </row>
    <row r="212" spans="1:4" x14ac:dyDescent="0.35">
      <c r="C212" t="str">
        <f>Single.Stream!C192</f>
        <v>Dual-Ram</v>
      </c>
      <c r="D212" t="str">
        <f>Single.Stream!D192</f>
        <v>Single-Ram</v>
      </c>
    </row>
    <row r="213" spans="1:4" x14ac:dyDescent="0.35">
      <c r="A213" t="str">
        <f>Single.Stream!A193</f>
        <v>Bale Width</v>
      </c>
      <c r="B213" t="str">
        <f>Single.Stream!B193</f>
        <v>m</v>
      </c>
      <c r="C213" s="54">
        <f>Single.Stream!C193</f>
        <v>1.1429442243218531</v>
      </c>
      <c r="D213" s="54">
        <f>Single.Stream!D193</f>
        <v>1</v>
      </c>
    </row>
    <row r="214" spans="1:4" x14ac:dyDescent="0.35">
      <c r="A214" t="str">
        <f>Single.Stream!A194</f>
        <v xml:space="preserve">Bale Length </v>
      </c>
      <c r="B214" t="str">
        <f>Single.Stream!B194</f>
        <v>m</v>
      </c>
      <c r="C214" s="54">
        <f>Single.Stream!C194</f>
        <v>1.6255206745910797</v>
      </c>
      <c r="D214" s="54">
        <f>Single.Stream!D194</f>
        <v>2</v>
      </c>
    </row>
    <row r="215" spans="1:4" x14ac:dyDescent="0.35">
      <c r="A215" t="str">
        <f>Single.Stream!A195</f>
        <v>Bale Height</v>
      </c>
      <c r="B215" t="str">
        <f>Single.Stream!B195</f>
        <v>m</v>
      </c>
      <c r="C215" s="54">
        <f>Single.Stream!C195</f>
        <v>0.78736157675505436</v>
      </c>
      <c r="D215" s="54">
        <f>Single.Stream!D195</f>
        <v>1</v>
      </c>
    </row>
    <row r="216" spans="1:4" x14ac:dyDescent="0.35">
      <c r="A216" t="str">
        <f>Single.Stream!A196</f>
        <v>Straps Per Bale</v>
      </c>
      <c r="B216" t="str">
        <f>Single.Stream!B196</f>
        <v>N/A</v>
      </c>
      <c r="C216" s="54">
        <f>Single.Stream!C196</f>
        <v>6</v>
      </c>
      <c r="D216" s="54">
        <f>Single.Stream!D196</f>
        <v>5</v>
      </c>
    </row>
    <row r="218" spans="1:4" s="12" customFormat="1" x14ac:dyDescent="0.35">
      <c r="A218" s="14" t="str">
        <f>Common!A9</f>
        <v>Labor</v>
      </c>
      <c r="B218" s="13"/>
      <c r="C218" s="13"/>
    </row>
    <row r="219" spans="1:4" s="12" customFormat="1" x14ac:dyDescent="0.35">
      <c r="A219" s="316" t="str">
        <f>Common!A10</f>
        <v>Paid Hours in Shift</v>
      </c>
      <c r="B219" s="13" t="str">
        <f>Common!B10</f>
        <v>hrs/shift</v>
      </c>
      <c r="C219" s="317">
        <f>Common!C10</f>
        <v>9</v>
      </c>
    </row>
    <row r="220" spans="1:4" s="12" customFormat="1" x14ac:dyDescent="0.35">
      <c r="A220" s="316" t="str">
        <f>Common!A11</f>
        <v>Number of Shifts Per Workday</v>
      </c>
      <c r="B220" s="13" t="str">
        <f>Common!B11</f>
        <v>shift/day</v>
      </c>
      <c r="C220" s="317">
        <f>Common!C11</f>
        <v>2</v>
      </c>
    </row>
    <row r="221" spans="1:4" s="12" customFormat="1" x14ac:dyDescent="0.35">
      <c r="A221" s="316" t="str">
        <f>Common!A12</f>
        <v>Days Operating Per Year</v>
      </c>
      <c r="B221" s="13" t="str">
        <f>Common!B12</f>
        <v>days/year</v>
      </c>
      <c r="C221" s="317">
        <f>Common!C12</f>
        <v>260</v>
      </c>
    </row>
    <row r="222" spans="1:4" s="12" customFormat="1" x14ac:dyDescent="0.35">
      <c r="A222" s="12" t="str">
        <f>Common!A13</f>
        <v>Fringe Rate</v>
      </c>
      <c r="B222" s="12" t="str">
        <f>Common!B13</f>
        <v>% of Pay Rate</v>
      </c>
      <c r="C222" s="318">
        <f>Common!C13</f>
        <v>0.33333333333333337</v>
      </c>
    </row>
    <row r="223" spans="1:4" s="12" customFormat="1" x14ac:dyDescent="0.35">
      <c r="A223" s="12" t="str">
        <f>Common!A14</f>
        <v>Labor Management Rate</v>
      </c>
      <c r="B223" s="12" t="str">
        <f>Common!B14</f>
        <v>% of Labor</v>
      </c>
      <c r="C223" s="319">
        <f>Common!C14</f>
        <v>0.5</v>
      </c>
    </row>
    <row r="224" spans="1:4" s="12" customFormat="1" hidden="1" x14ac:dyDescent="0.35">
      <c r="C224" s="212" t="str">
        <f>Common!C15</f>
        <v>Actual Pay Rate</v>
      </c>
    </row>
    <row r="225" spans="1:3" s="12" customFormat="1" x14ac:dyDescent="0.35">
      <c r="A225" s="12" t="str">
        <f>Common!A16</f>
        <v>Labor Pay Rate</v>
      </c>
      <c r="B225" s="12" t="str">
        <f>Common!B16</f>
        <v>$/Sorter-hr</v>
      </c>
      <c r="C225" s="320">
        <f>Common!C16</f>
        <v>10</v>
      </c>
    </row>
    <row r="226" spans="1:3" s="12" customFormat="1" x14ac:dyDescent="0.35">
      <c r="A226" s="12" t="str">
        <f>Common!A17</f>
        <v>Driver Pay Rate</v>
      </c>
      <c r="B226" s="12" t="str">
        <f>Common!B17</f>
        <v>$/Driver-hr</v>
      </c>
      <c r="C226" s="320">
        <f>Common!C17</f>
        <v>12</v>
      </c>
    </row>
    <row r="227" spans="1:3" s="12" customFormat="1" x14ac:dyDescent="0.35"/>
    <row r="228" spans="1:3" s="12" customFormat="1" x14ac:dyDescent="0.35">
      <c r="A228" s="321" t="str">
        <f>Common!A19</f>
        <v>Electricity</v>
      </c>
    </row>
    <row r="229" spans="1:3" s="12" customFormat="1" x14ac:dyDescent="0.35">
      <c r="A229" s="13" t="str">
        <f>Common!A20</f>
        <v>Indoor Floor Area Rate</v>
      </c>
      <c r="B229" s="13" t="str">
        <f>Common!B20</f>
        <v>m2/tpd</v>
      </c>
      <c r="C229" s="322">
        <f>Common!C20</f>
        <v>24.376000000000001</v>
      </c>
    </row>
    <row r="230" spans="1:3" s="12" customFormat="1" x14ac:dyDescent="0.35">
      <c r="A230" s="13" t="str">
        <f>Common!A21</f>
        <v>Percent Office Floor Area</v>
      </c>
      <c r="B230" s="13" t="str">
        <f>Common!B21</f>
        <v>% of total m2</v>
      </c>
      <c r="C230" s="323">
        <f>Common!C21</f>
        <v>0.04</v>
      </c>
    </row>
    <row r="231" spans="1:3" s="12" customFormat="1" x14ac:dyDescent="0.35">
      <c r="A231" s="13" t="str">
        <f>Common!A22</f>
        <v>Electricity Consumed in Offices</v>
      </c>
      <c r="B231" s="13" t="str">
        <f>Common!B22</f>
        <v>kWh/m2/day</v>
      </c>
      <c r="C231" s="211">
        <f>Common!C22</f>
        <v>0.51019655838506572</v>
      </c>
    </row>
    <row r="232" spans="1:3" s="12" customFormat="1" x14ac:dyDescent="0.35">
      <c r="A232" s="13" t="str">
        <f>Common!A23</f>
        <v>Electricity Consumed on floor</v>
      </c>
      <c r="B232" s="13" t="str">
        <f>Common!B23</f>
        <v>kWh/m2/day</v>
      </c>
      <c r="C232" s="211">
        <f>Common!C23</f>
        <v>2.0242712004364689E-2</v>
      </c>
    </row>
    <row r="233" spans="1:3" s="12" customFormat="1" x14ac:dyDescent="0.35"/>
    <row r="234" spans="1:3" s="12" customFormat="1" x14ac:dyDescent="0.35">
      <c r="A234" s="321" t="str">
        <f>Common!A34</f>
        <v>Building Cost</v>
      </c>
    </row>
    <row r="235" spans="1:3" s="12" customFormat="1" x14ac:dyDescent="0.35">
      <c r="A235" s="12" t="str">
        <f>Common!A35</f>
        <v>Annual Interest Rate</v>
      </c>
      <c r="B235" s="12" t="str">
        <f>Common!B35</f>
        <v>%</v>
      </c>
      <c r="C235" s="318">
        <f>Common!C35</f>
        <v>0.05</v>
      </c>
    </row>
    <row r="236" spans="1:3" s="12" customFormat="1" x14ac:dyDescent="0.35">
      <c r="A236" s="12" t="str">
        <f>Common!A36</f>
        <v>Life of MRF Structure</v>
      </c>
      <c r="B236" s="12" t="str">
        <f>Common!B36</f>
        <v>yrs</v>
      </c>
      <c r="C236" s="324">
        <f>Common!C36</f>
        <v>20</v>
      </c>
    </row>
    <row r="237" spans="1:3" s="12" customFormat="1" x14ac:dyDescent="0.35">
      <c r="A237" s="12" t="str">
        <f>Common!A37</f>
        <v>Construction Cost Rate</v>
      </c>
      <c r="B237" s="12" t="str">
        <f>Common!B37</f>
        <v>$/ft2</v>
      </c>
      <c r="C237" s="12">
        <f>Common!C37</f>
        <v>97.7</v>
      </c>
    </row>
    <row r="238" spans="1:3" s="12" customFormat="1" x14ac:dyDescent="0.35">
      <c r="B238" s="12" t="str">
        <f>Common!B38</f>
        <v>$/m2</v>
      </c>
      <c r="C238" s="137">
        <f>Common!C38</f>
        <v>1051.6345005005221</v>
      </c>
    </row>
    <row r="239" spans="1:3" s="12" customFormat="1" x14ac:dyDescent="0.35">
      <c r="A239" s="12" t="str">
        <f>Common!A39</f>
        <v>Engineering Rate</v>
      </c>
      <c r="B239" s="12" t="str">
        <f>Common!B39</f>
        <v>% of const cost</v>
      </c>
      <c r="C239" s="318">
        <f>Common!C39</f>
        <v>0.32</v>
      </c>
    </row>
    <row r="240" spans="1:3" s="12" customFormat="1" x14ac:dyDescent="0.35">
      <c r="A240" s="12" t="str">
        <f>Common!A43</f>
        <v>Land Cost</v>
      </c>
      <c r="B240" s="12" t="str">
        <f>Common!B43</f>
        <v>$/acre</v>
      </c>
      <c r="C240" s="12">
        <f>Common!C43</f>
        <v>10000</v>
      </c>
    </row>
    <row r="241" spans="1:18" s="12" customFormat="1" x14ac:dyDescent="0.35">
      <c r="B241" s="12" t="str">
        <f>Common!B44</f>
        <v>$/m2</v>
      </c>
      <c r="C241" s="129">
        <f>Common!C44</f>
        <v>2.4715768660405337</v>
      </c>
    </row>
    <row r="242" spans="1:18" s="12" customFormat="1" x14ac:dyDescent="0.35">
      <c r="A242" s="12" t="str">
        <f>Common!A45</f>
        <v>Land Requirement Factor</v>
      </c>
      <c r="C242" s="12">
        <f>Common!C45</f>
        <v>3</v>
      </c>
    </row>
    <row r="243" spans="1:18" s="12" customFormat="1" x14ac:dyDescent="0.35"/>
    <row r="244" spans="1:18" s="12" customFormat="1" x14ac:dyDescent="0.35">
      <c r="A244" s="12" t="s">
        <v>480</v>
      </c>
    </row>
    <row r="245" spans="1:18" s="12" customFormat="1" x14ac:dyDescent="0.35"/>
    <row r="248" spans="1:18" x14ac:dyDescent="0.35">
      <c r="A248" t="s">
        <v>517</v>
      </c>
      <c r="C248" t="s">
        <v>518</v>
      </c>
      <c r="E248" t="s">
        <v>519</v>
      </c>
    </row>
    <row r="249" spans="1:18" x14ac:dyDescent="0.35">
      <c r="A249" t="e">
        <f>#REF!</f>
        <v>#REF!</v>
      </c>
      <c r="B249" t="e">
        <f>#REF!*SUM(#REF!,#REF!,#REF!)/#REF!</f>
        <v>#REF!</v>
      </c>
      <c r="C249" t="e">
        <f>#REF!</f>
        <v>#REF!</v>
      </c>
      <c r="D249" t="e">
        <f>#REF!*SUM(#REF!,#REF!,#REF!,#REF!)/(#REF!+#REF!)</f>
        <v>#REF!</v>
      </c>
      <c r="E249" t="e">
        <f>#REF!</f>
        <v>#REF!</v>
      </c>
      <c r="F249" t="e">
        <f t="array" ref="F249">#REF!*SUM(#REF!,#REF!,#REF!)/SUM(#REF!,#REF!,#REF!)</f>
        <v>#REF!</v>
      </c>
    </row>
    <row r="250" spans="1:18" x14ac:dyDescent="0.35">
      <c r="A250" t="e">
        <f>#REF!</f>
        <v>#REF!</v>
      </c>
      <c r="B250" t="e">
        <f t="array" ref="B250:B274">#REF!*TRANSPOSE(#REF!)/#REF!</f>
        <v>#REF!</v>
      </c>
      <c r="C250" t="e">
        <f>#REF!</f>
        <v>#REF!</v>
      </c>
      <c r="D250" t="e">
        <f t="array" ref="D250:D258">#REF!*TRANSPOSE(#REF!)/(#REF!+#REF!)</f>
        <v>#REF!</v>
      </c>
      <c r="E250" t="e">
        <f>#REF!</f>
        <v>#REF!</v>
      </c>
      <c r="F250" t="e">
        <f t="array" ref="F250:F253">#REF!*TRANSPOSE(#REF!)/SUM(#REF!,#REF!,#REF!)</f>
        <v>#REF!</v>
      </c>
    </row>
    <row r="251" spans="1:18" x14ac:dyDescent="0.35">
      <c r="A251" t="e">
        <f>#REF!</f>
        <v>#REF!</v>
      </c>
      <c r="B251" t="e">
        <v>#REF!</v>
      </c>
      <c r="C251" t="e">
        <f>#REF!</f>
        <v>#REF!</v>
      </c>
      <c r="D251" t="e">
        <v>#REF!</v>
      </c>
      <c r="E251" t="e">
        <f>#REF!</f>
        <v>#REF!</v>
      </c>
      <c r="F251" t="e">
        <v>#REF!</v>
      </c>
    </row>
    <row r="252" spans="1:18" x14ac:dyDescent="0.35">
      <c r="A252" t="e">
        <f>#REF!</f>
        <v>#REF!</v>
      </c>
      <c r="B252" t="e">
        <v>#REF!</v>
      </c>
      <c r="C252" t="e">
        <f>#REF!</f>
        <v>#REF!</v>
      </c>
      <c r="D252" t="e">
        <v>#REF!</v>
      </c>
      <c r="E252" t="e">
        <f>#REF!</f>
        <v>#REF!</v>
      </c>
      <c r="F252" t="e">
        <v>#REF!</v>
      </c>
      <c r="K252" s="26" t="s">
        <v>521</v>
      </c>
      <c r="L252" s="26"/>
      <c r="M252" s="26"/>
      <c r="N252" s="26"/>
      <c r="O252" s="26"/>
    </row>
    <row r="253" spans="1:18" x14ac:dyDescent="0.35">
      <c r="A253" t="e">
        <f>#REF!</f>
        <v>#REF!</v>
      </c>
      <c r="B253" t="e">
        <v>#REF!</v>
      </c>
      <c r="C253" t="e">
        <f>#REF!</f>
        <v>#REF!</v>
      </c>
      <c r="D253" t="e">
        <v>#REF!</v>
      </c>
      <c r="E253" t="e">
        <f>#REF!</f>
        <v>#REF!</v>
      </c>
      <c r="F253" t="e">
        <v>#REF!</v>
      </c>
    </row>
    <row r="254" spans="1:18" x14ac:dyDescent="0.35">
      <c r="A254" t="e">
        <f>#REF!</f>
        <v>#REF!</v>
      </c>
      <c r="B254" t="e">
        <v>#REF!</v>
      </c>
      <c r="C254" t="e">
        <f>#REF!</f>
        <v>#REF!</v>
      </c>
      <c r="D254" t="e">
        <v>#REF!</v>
      </c>
      <c r="E254" t="e">
        <f>#REF!</f>
        <v>#REF!</v>
      </c>
      <c r="F254" t="e">
        <f t="array" ref="F254:F255">#REF!*#REF!/SUM(#REF!,#REF!,#REF!)</f>
        <v>#REF!</v>
      </c>
      <c r="K254" s="338" t="s">
        <v>12</v>
      </c>
      <c r="L254" s="339" t="s">
        <v>523</v>
      </c>
      <c r="M254" s="339" t="s">
        <v>463</v>
      </c>
      <c r="N254" s="339" t="s">
        <v>524</v>
      </c>
      <c r="O254" s="339" t="s">
        <v>445</v>
      </c>
      <c r="P254" s="339" t="s">
        <v>522</v>
      </c>
      <c r="Q254" s="339" t="s">
        <v>518</v>
      </c>
      <c r="R254" s="339" t="s">
        <v>519</v>
      </c>
    </row>
    <row r="255" spans="1:18" x14ac:dyDescent="0.35">
      <c r="A255" t="e">
        <f>#REF!</f>
        <v>#REF!</v>
      </c>
      <c r="B255" t="e">
        <v>#REF!</v>
      </c>
      <c r="C255" t="e">
        <f>#REF!</f>
        <v>#REF!</v>
      </c>
      <c r="D255" t="e">
        <v>#REF!</v>
      </c>
      <c r="E255" t="e">
        <f>#REF!</f>
        <v>#REF!</v>
      </c>
      <c r="F255" t="e">
        <v>#REF!</v>
      </c>
      <c r="K255" t="s">
        <v>30</v>
      </c>
      <c r="L255" s="337">
        <v>0.73479250120171735</v>
      </c>
      <c r="M255" s="337">
        <v>0.80098848531664479</v>
      </c>
      <c r="N255" s="337">
        <v>0.8569352324710775</v>
      </c>
      <c r="O255" s="337">
        <v>0.71504157843697236</v>
      </c>
      <c r="P255" s="337" t="e">
        <f>B249</f>
        <v>#REF!</v>
      </c>
      <c r="Q255" s="337" t="e">
        <f>D249</f>
        <v>#REF!</v>
      </c>
      <c r="R255" s="337" t="e">
        <f>F249</f>
        <v>#REF!</v>
      </c>
    </row>
    <row r="256" spans="1:18" x14ac:dyDescent="0.35">
      <c r="A256" t="e">
        <f>#REF!</f>
        <v>#REF!</v>
      </c>
      <c r="B256" t="e">
        <v>#REF!</v>
      </c>
      <c r="C256" t="e">
        <f>#REF!</f>
        <v>#REF!</v>
      </c>
      <c r="D256" t="e">
        <v>#REF!</v>
      </c>
      <c r="E256" t="e">
        <f>#REF!</f>
        <v>#REF!</v>
      </c>
      <c r="F256" t="e">
        <f t="array" ref="F256:F257">#REF!*#REF!/SUM(#REF!,#REF!,#REF!)</f>
        <v>#REF!</v>
      </c>
      <c r="K256" t="s">
        <v>56</v>
      </c>
      <c r="L256" s="337">
        <v>0.25</v>
      </c>
      <c r="M256" s="337">
        <v>0.25</v>
      </c>
      <c r="N256" s="337">
        <v>0.25</v>
      </c>
      <c r="O256" s="337">
        <v>0.25</v>
      </c>
      <c r="P256" s="337" t="e">
        <f>B250</f>
        <v>#REF!</v>
      </c>
      <c r="Q256" s="337" t="e">
        <f t="shared" ref="Q256:Q264" si="17">D250</f>
        <v>#REF!</v>
      </c>
      <c r="R256" s="337"/>
    </row>
    <row r="257" spans="1:18" x14ac:dyDescent="0.35">
      <c r="A257" t="e">
        <f>#REF!</f>
        <v>#REF!</v>
      </c>
      <c r="B257" t="e">
        <v>#REF!</v>
      </c>
      <c r="C257" t="e">
        <f>#REF!</f>
        <v>#REF!</v>
      </c>
      <c r="D257" t="e">
        <v>#REF!</v>
      </c>
      <c r="E257" t="e">
        <f>#REF!</f>
        <v>#REF!</v>
      </c>
      <c r="F257" t="e">
        <v>#REF!</v>
      </c>
      <c r="K257" t="s">
        <v>81</v>
      </c>
      <c r="L257" s="337">
        <v>5.8823529411764712E-2</v>
      </c>
      <c r="M257" s="337">
        <v>5.8823529411764698E-2</v>
      </c>
      <c r="N257" s="337">
        <v>5.8823529411764705E-2</v>
      </c>
      <c r="O257" s="337">
        <v>5.8823529411764705E-2</v>
      </c>
      <c r="P257" s="337" t="e">
        <f>B252</f>
        <v>#REF!</v>
      </c>
      <c r="Q257" s="337" t="e">
        <f t="shared" si="17"/>
        <v>#REF!</v>
      </c>
      <c r="R257" s="337" t="e">
        <f>F256</f>
        <v>#REF!</v>
      </c>
    </row>
    <row r="258" spans="1:18" x14ac:dyDescent="0.35">
      <c r="A258" t="e">
        <f>#REF!</f>
        <v>#REF!</v>
      </c>
      <c r="B258" t="e">
        <v>#REF!</v>
      </c>
      <c r="C258" t="e">
        <f>#REF!</f>
        <v>#REF!</v>
      </c>
      <c r="D258" t="e">
        <v>#REF!</v>
      </c>
      <c r="E258" t="e">
        <f>#REF!</f>
        <v>#REF!</v>
      </c>
      <c r="F258" t="e">
        <f>#REF!</f>
        <v>#REF!</v>
      </c>
      <c r="K258" t="s">
        <v>78</v>
      </c>
      <c r="L258" s="337">
        <v>1.0592469421919675E-3</v>
      </c>
      <c r="M258" s="337">
        <v>1.591417827403067E-3</v>
      </c>
      <c r="N258" s="337">
        <v>2.6444136694241619E-9</v>
      </c>
      <c r="O258" s="337">
        <v>1.4294114073530314E-2</v>
      </c>
      <c r="P258" s="337" t="e">
        <f t="shared" ref="P258:P280" si="18">B253</f>
        <v>#REF!</v>
      </c>
      <c r="Q258" s="337" t="e">
        <f t="shared" si="17"/>
        <v>#REF!</v>
      </c>
      <c r="R258" s="337"/>
    </row>
    <row r="259" spans="1:18" x14ac:dyDescent="0.35">
      <c r="A259" t="e">
        <f>#REF!</f>
        <v>#REF!</v>
      </c>
      <c r="B259" t="e">
        <v>#REF!</v>
      </c>
      <c r="C259" t="e">
        <f>#REF!</f>
        <v>#REF!</v>
      </c>
      <c r="D259" t="e">
        <f t="array" ref="D259:D276">#REF!*TRANSPOSE(#REF!)/(#REF!+#REF!)</f>
        <v>#REF!</v>
      </c>
      <c r="E259" t="s">
        <v>520</v>
      </c>
      <c r="F259" t="e">
        <f>#REF!+#REF!</f>
        <v>#REF!</v>
      </c>
      <c r="K259" t="s">
        <v>57</v>
      </c>
      <c r="L259" s="337">
        <v>0.11071095115517192</v>
      </c>
      <c r="M259" s="337">
        <v>0.11050990882075884</v>
      </c>
      <c r="N259" s="337">
        <v>0.11111111011211039</v>
      </c>
      <c r="O259" s="337">
        <v>0.10571111246111077</v>
      </c>
      <c r="P259" s="337" t="e">
        <f t="shared" si="18"/>
        <v>#REF!</v>
      </c>
      <c r="Q259" s="337" t="e">
        <f t="shared" si="17"/>
        <v>#REF!</v>
      </c>
      <c r="R259" s="337"/>
    </row>
    <row r="260" spans="1:18" x14ac:dyDescent="0.35">
      <c r="A260" t="e">
        <f>#REF!</f>
        <v>#REF!</v>
      </c>
      <c r="B260" t="e">
        <v>#REF!</v>
      </c>
      <c r="C260" t="e">
        <f>#REF!</f>
        <v>#REF!</v>
      </c>
      <c r="D260" t="e">
        <v>#REF!</v>
      </c>
      <c r="K260" t="s">
        <v>58</v>
      </c>
      <c r="L260" s="337">
        <v>0.13372044044701004</v>
      </c>
      <c r="M260" s="337">
        <v>0.13399348097096775</v>
      </c>
      <c r="N260" s="337">
        <v>0.15255332806064897</v>
      </c>
      <c r="O260" s="337">
        <v>0.10365267366666353</v>
      </c>
      <c r="P260" s="337" t="e">
        <f t="shared" si="18"/>
        <v>#REF!</v>
      </c>
      <c r="Q260" s="337" t="e">
        <f t="shared" si="17"/>
        <v>#REF!</v>
      </c>
      <c r="R260" s="337"/>
    </row>
    <row r="261" spans="1:18" x14ac:dyDescent="0.35">
      <c r="A261" t="e">
        <f>#REF!</f>
        <v>#REF!</v>
      </c>
      <c r="B261" t="e">
        <v>#REF!</v>
      </c>
      <c r="C261" t="e">
        <f>#REF!</f>
        <v>#REF!</v>
      </c>
      <c r="D261" t="e">
        <v>#REF!</v>
      </c>
      <c r="K261" t="s">
        <v>59</v>
      </c>
      <c r="L261" s="337">
        <v>0.22731206303078738</v>
      </c>
      <c r="M261" s="337">
        <v>0.33622714334470877</v>
      </c>
      <c r="N261" s="337">
        <v>0.41809459967837181</v>
      </c>
      <c r="O261" s="337">
        <v>0.27437827132139864</v>
      </c>
      <c r="P261" s="337" t="e">
        <f t="shared" si="18"/>
        <v>#REF!</v>
      </c>
      <c r="Q261" s="337" t="e">
        <f t="shared" si="17"/>
        <v>#REF!</v>
      </c>
      <c r="R261" s="337"/>
    </row>
    <row r="262" spans="1:18" x14ac:dyDescent="0.35">
      <c r="A262" t="e">
        <f>#REF!</f>
        <v>#REF!</v>
      </c>
      <c r="B262" t="e">
        <v>#REF!</v>
      </c>
      <c r="C262" t="e">
        <f>#REF!</f>
        <v>#REF!</v>
      </c>
      <c r="D262" t="e">
        <v>#REF!</v>
      </c>
      <c r="K262" t="s">
        <v>82</v>
      </c>
      <c r="L262" s="337">
        <v>3.5145051031248715E-2</v>
      </c>
      <c r="M262" s="337">
        <v>2.7625247245694425E-2</v>
      </c>
      <c r="N262" s="337">
        <v>2.8981012372943607E-2</v>
      </c>
      <c r="O262" s="337">
        <v>2.0369996407500913E-2</v>
      </c>
      <c r="P262" s="337" t="e">
        <f t="shared" si="18"/>
        <v>#REF!</v>
      </c>
      <c r="Q262" s="337" t="e">
        <f t="shared" si="17"/>
        <v>#REF!</v>
      </c>
      <c r="R262" s="337"/>
    </row>
    <row r="263" spans="1:18" x14ac:dyDescent="0.35">
      <c r="A263" t="e">
        <f>#REF!</f>
        <v>#REF!</v>
      </c>
      <c r="B263" t="e">
        <v>#REF!</v>
      </c>
      <c r="C263" t="e">
        <f>#REF!</f>
        <v>#REF!</v>
      </c>
      <c r="D263" t="e">
        <v>#REF!</v>
      </c>
      <c r="K263" t="s">
        <v>83</v>
      </c>
      <c r="L263" s="337">
        <v>5.6438817244299465E-3</v>
      </c>
      <c r="M263" s="337">
        <v>4.4362897047497546E-3</v>
      </c>
      <c r="N263" s="337">
        <v>4.6540096340080056E-3</v>
      </c>
      <c r="O263" s="337">
        <v>3.2711817760280866E-3</v>
      </c>
      <c r="P263" s="337" t="e">
        <f t="shared" si="18"/>
        <v>#REF!</v>
      </c>
      <c r="Q263" s="337" t="e">
        <f t="shared" si="17"/>
        <v>#REF!</v>
      </c>
      <c r="R263" s="337"/>
    </row>
    <row r="264" spans="1:18" x14ac:dyDescent="0.35">
      <c r="A264" t="e">
        <f>#REF!</f>
        <v>#REF!</v>
      </c>
      <c r="B264" t="e">
        <v>#REF!</v>
      </c>
      <c r="C264" t="e">
        <f>#REF!</f>
        <v>#REF!</v>
      </c>
      <c r="D264" t="e">
        <v>#REF!</v>
      </c>
      <c r="K264" t="s">
        <v>60</v>
      </c>
      <c r="L264" s="337">
        <v>0.50760903202381202</v>
      </c>
      <c r="M264" s="337">
        <v>0.41375917292749476</v>
      </c>
      <c r="N264" s="337">
        <v>0.35921462366374185</v>
      </c>
      <c r="O264" s="337">
        <v>0.42030879849618297</v>
      </c>
      <c r="P264" s="337" t="e">
        <f t="shared" si="18"/>
        <v>#REF!</v>
      </c>
      <c r="Q264" s="337" t="e">
        <f t="shared" si="17"/>
        <v>#REF!</v>
      </c>
      <c r="R264" s="337" t="e">
        <f>F257</f>
        <v>#REF!</v>
      </c>
    </row>
    <row r="265" spans="1:18" x14ac:dyDescent="0.35">
      <c r="A265" t="e">
        <f>#REF!</f>
        <v>#REF!</v>
      </c>
      <c r="B265" t="e">
        <v>#REF!</v>
      </c>
      <c r="C265" t="e">
        <f>#REF!</f>
        <v>#REF!</v>
      </c>
      <c r="D265" t="e">
        <v>#REF!</v>
      </c>
      <c r="K265" t="s">
        <v>61</v>
      </c>
      <c r="L265" s="337">
        <v>0.34226542292417217</v>
      </c>
      <c r="M265" s="337">
        <v>0.63665367764599545</v>
      </c>
      <c r="N265" s="337">
        <v>0.82042041144926736</v>
      </c>
      <c r="O265" s="337">
        <v>0.53117657388232753</v>
      </c>
      <c r="P265" s="337" t="e">
        <f t="shared" si="18"/>
        <v>#REF!</v>
      </c>
      <c r="Q265" s="337" t="e">
        <f>D262</f>
        <v>#REF!</v>
      </c>
      <c r="R265" s="337" t="e">
        <f>F251</f>
        <v>#REF!</v>
      </c>
    </row>
    <row r="266" spans="1:18" x14ac:dyDescent="0.35">
      <c r="A266" t="e">
        <f>#REF!</f>
        <v>#REF!</v>
      </c>
      <c r="B266" t="e">
        <v>#REF!</v>
      </c>
      <c r="C266" t="e">
        <f>#REF!</f>
        <v>#REF!</v>
      </c>
      <c r="D266" t="e">
        <v>#REF!</v>
      </c>
      <c r="K266" t="s">
        <v>62</v>
      </c>
      <c r="L266" s="337">
        <v>3.5929191566594583E-2</v>
      </c>
      <c r="M266" s="337">
        <v>0.46156846741885521</v>
      </c>
      <c r="N266" s="337">
        <v>0.55638201098440576</v>
      </c>
      <c r="O266" s="337">
        <v>0.33312206027307989</v>
      </c>
      <c r="P266" s="337" t="e">
        <f t="shared" si="18"/>
        <v>#REF!</v>
      </c>
      <c r="Q266" s="337" t="e">
        <f t="shared" ref="Q266:Q280" si="19">D263</f>
        <v>#REF!</v>
      </c>
      <c r="R266" s="337" t="e">
        <f>F252</f>
        <v>#REF!</v>
      </c>
    </row>
    <row r="267" spans="1:18" x14ac:dyDescent="0.35">
      <c r="A267" t="e">
        <f>#REF!</f>
        <v>#REF!</v>
      </c>
      <c r="B267" t="e">
        <v>#REF!</v>
      </c>
      <c r="C267" t="e">
        <f>#REF!</f>
        <v>#REF!</v>
      </c>
      <c r="D267" t="e">
        <v>#REF!</v>
      </c>
      <c r="K267" t="s">
        <v>71</v>
      </c>
      <c r="L267" s="337">
        <v>9.7263792645307809E-2</v>
      </c>
      <c r="M267" s="337">
        <v>1.2495104328587359</v>
      </c>
      <c r="N267" s="337">
        <v>1.5061798551092693</v>
      </c>
      <c r="O267" s="337">
        <v>0.90179359966739014</v>
      </c>
      <c r="P267" s="337" t="e">
        <f t="shared" si="18"/>
        <v>#REF!</v>
      </c>
      <c r="Q267" s="337" t="e">
        <f t="shared" si="19"/>
        <v>#REF!</v>
      </c>
      <c r="R267" s="337" t="e">
        <f>F253</f>
        <v>#REF!</v>
      </c>
    </row>
    <row r="268" spans="1:18" x14ac:dyDescent="0.35">
      <c r="A268" t="e">
        <f>#REF!</f>
        <v>#REF!</v>
      </c>
      <c r="B268" t="e">
        <v>#REF!</v>
      </c>
      <c r="C268" t="e">
        <f>#REF!</f>
        <v>#REF!</v>
      </c>
      <c r="D268" t="e">
        <v>#REF!</v>
      </c>
      <c r="K268" t="s">
        <v>84</v>
      </c>
      <c r="L268" s="337">
        <v>1.6782002387461405E-9</v>
      </c>
      <c r="M268" s="337">
        <v>9.7491670700336226E-3</v>
      </c>
      <c r="N268" s="337">
        <v>1.195441870464636E-2</v>
      </c>
      <c r="O268" s="337">
        <v>7.1574570341651558E-3</v>
      </c>
      <c r="P268" s="337" t="e">
        <f t="shared" si="18"/>
        <v>#REF!</v>
      </c>
      <c r="Q268" s="337" t="e">
        <f t="shared" si="19"/>
        <v>#REF!</v>
      </c>
      <c r="R268" s="337"/>
    </row>
    <row r="269" spans="1:18" x14ac:dyDescent="0.35">
      <c r="A269" t="e">
        <f>#REF!</f>
        <v>#REF!</v>
      </c>
      <c r="B269" t="e">
        <v>#REF!</v>
      </c>
      <c r="C269" t="e">
        <f>#REF!</f>
        <v>#REF!</v>
      </c>
      <c r="D269" t="e">
        <v>#REF!</v>
      </c>
      <c r="K269" t="s">
        <v>63</v>
      </c>
      <c r="L269" s="337">
        <v>0.1232430389031761</v>
      </c>
      <c r="M269" s="337">
        <v>0.11673948802613782</v>
      </c>
      <c r="N269" s="337">
        <v>0.16138492201168081</v>
      </c>
      <c r="O269" s="337">
        <v>0.11221299036234068</v>
      </c>
      <c r="P269" s="337" t="e">
        <f t="shared" si="18"/>
        <v>#REF!</v>
      </c>
      <c r="Q269" s="337" t="e">
        <f t="shared" si="19"/>
        <v>#REF!</v>
      </c>
      <c r="R269" s="337"/>
    </row>
    <row r="270" spans="1:18" x14ac:dyDescent="0.35">
      <c r="A270" t="e">
        <f>#REF!</f>
        <v>#REF!</v>
      </c>
      <c r="B270" t="e">
        <v>#REF!</v>
      </c>
      <c r="C270" t="e">
        <f>#REF!</f>
        <v>#REF!</v>
      </c>
      <c r="D270" t="e">
        <v>#REF!</v>
      </c>
      <c r="K270" t="s">
        <v>86</v>
      </c>
      <c r="L270" s="337">
        <v>1.3494806043525662E-3</v>
      </c>
      <c r="M270" s="337">
        <v>1.2130140328872263E-3</v>
      </c>
      <c r="N270" s="337">
        <v>2.8794726622618652E-3</v>
      </c>
      <c r="O270" s="337">
        <v>2.1329406432354283E-3</v>
      </c>
      <c r="P270" s="337" t="e">
        <f t="shared" si="18"/>
        <v>#REF!</v>
      </c>
      <c r="Q270" s="337" t="e">
        <f t="shared" si="19"/>
        <v>#REF!</v>
      </c>
      <c r="R270" s="337"/>
    </row>
    <row r="271" spans="1:18" x14ac:dyDescent="0.35">
      <c r="A271" t="e">
        <f>#REF!</f>
        <v>#REF!</v>
      </c>
      <c r="B271" t="e">
        <v>#REF!</v>
      </c>
      <c r="C271" t="e">
        <f>#REF!</f>
        <v>#REF!</v>
      </c>
      <c r="D271" t="e">
        <v>#REF!</v>
      </c>
      <c r="K271" t="s">
        <v>64</v>
      </c>
      <c r="L271" s="337">
        <v>0.32523012629720843</v>
      </c>
      <c r="M271" s="337">
        <v>0.31067786338031966</v>
      </c>
      <c r="N271" s="337">
        <v>0.38139008431469712</v>
      </c>
      <c r="O271" s="337">
        <v>0.25995311384701575</v>
      </c>
      <c r="P271" s="337" t="e">
        <f t="shared" si="18"/>
        <v>#REF!</v>
      </c>
      <c r="Q271" s="337" t="e">
        <f t="shared" si="19"/>
        <v>#REF!</v>
      </c>
      <c r="R271" s="337"/>
    </row>
    <row r="272" spans="1:18" x14ac:dyDescent="0.35">
      <c r="A272" t="e">
        <f>#REF!</f>
        <v>#REF!</v>
      </c>
      <c r="B272" t="e">
        <v>#REF!</v>
      </c>
      <c r="C272" t="e">
        <f>#REF!</f>
        <v>#REF!</v>
      </c>
      <c r="D272" t="e">
        <v>#REF!</v>
      </c>
      <c r="K272" t="s">
        <v>87</v>
      </c>
      <c r="L272" s="337">
        <v>1.349481181053679E-3</v>
      </c>
      <c r="M272" s="337">
        <v>6.3538888056665819E-4</v>
      </c>
      <c r="N272" s="337">
        <v>3.973672849815907E-3</v>
      </c>
      <c r="O272" s="337">
        <v>1.7870583767648186E-3</v>
      </c>
      <c r="P272" s="337" t="e">
        <f t="shared" si="18"/>
        <v>#REF!</v>
      </c>
      <c r="Q272" s="337" t="e">
        <f t="shared" si="19"/>
        <v>#REF!</v>
      </c>
      <c r="R272" s="337"/>
    </row>
    <row r="273" spans="1:18" x14ac:dyDescent="0.35">
      <c r="A273" t="e">
        <f>#REF!</f>
        <v>#REF!</v>
      </c>
      <c r="B273" t="e">
        <v>#REF!</v>
      </c>
      <c r="C273" t="e">
        <f>#REF!</f>
        <v>#REF!</v>
      </c>
      <c r="D273" t="e">
        <v>#REF!</v>
      </c>
      <c r="K273" t="s">
        <v>65</v>
      </c>
      <c r="L273" s="337">
        <v>0.13562543952753059</v>
      </c>
      <c r="M273" s="337">
        <v>0.14263115407882668</v>
      </c>
      <c r="N273" s="337">
        <v>0.11122158516103044</v>
      </c>
      <c r="O273" s="337">
        <v>9.4235389388211535E-2</v>
      </c>
      <c r="P273" s="337" t="e">
        <f t="shared" si="18"/>
        <v>#REF!</v>
      </c>
      <c r="Q273" s="337" t="e">
        <f t="shared" si="19"/>
        <v>#REF!</v>
      </c>
      <c r="R273" s="337"/>
    </row>
    <row r="274" spans="1:18" x14ac:dyDescent="0.35">
      <c r="A274" t="e">
        <f>#REF!</f>
        <v>#REF!</v>
      </c>
      <c r="B274" t="e">
        <v>#REF!</v>
      </c>
      <c r="C274" t="e">
        <f>#REF!</f>
        <v>#REF!</v>
      </c>
      <c r="D274" t="e">
        <v>#REF!</v>
      </c>
      <c r="K274" t="s">
        <v>88</v>
      </c>
      <c r="L274" s="337">
        <v>1.1880054461228611E-3</v>
      </c>
      <c r="M274" s="337">
        <v>1.1552514598925966E-3</v>
      </c>
      <c r="N274" s="337">
        <v>3.2250105335223538E-3</v>
      </c>
      <c r="O274" s="337">
        <v>2.1905882641176412E-3</v>
      </c>
      <c r="P274" s="337" t="e">
        <f t="shared" si="18"/>
        <v>#REF!</v>
      </c>
      <c r="Q274" s="337" t="e">
        <f t="shared" si="19"/>
        <v>#REF!</v>
      </c>
      <c r="R274" s="337"/>
    </row>
    <row r="275" spans="1:18" x14ac:dyDescent="0.35">
      <c r="A275" t="s">
        <v>520</v>
      </c>
      <c r="B275" t="e">
        <f>#REF!+#REF!</f>
        <v>#REF!</v>
      </c>
      <c r="C275" t="e">
        <f>#REF!</f>
        <v>#REF!</v>
      </c>
      <c r="D275" t="e">
        <v>#REF!</v>
      </c>
      <c r="K275" t="s">
        <v>11</v>
      </c>
      <c r="L275" s="337">
        <v>4.1949498976902519E-2</v>
      </c>
      <c r="M275" s="337">
        <v>4.4822296830365538E-2</v>
      </c>
      <c r="N275" s="337">
        <v>1.7520515433968778E-2</v>
      </c>
      <c r="O275" s="337">
        <v>1.8908859039697024E-2</v>
      </c>
      <c r="P275" s="337" t="e">
        <f t="shared" si="18"/>
        <v>#REF!</v>
      </c>
      <c r="Q275" s="337" t="e">
        <f t="shared" si="19"/>
        <v>#REF!</v>
      </c>
      <c r="R275" s="337"/>
    </row>
    <row r="276" spans="1:18" x14ac:dyDescent="0.35">
      <c r="C276" t="e">
        <f>#REF!</f>
        <v>#REF!</v>
      </c>
      <c r="D276" t="e">
        <v>#REF!</v>
      </c>
      <c r="K276" t="s">
        <v>85</v>
      </c>
      <c r="L276" s="337">
        <v>1.3699599493846855E-3</v>
      </c>
      <c r="M276" s="337">
        <v>5.145595743235046E-4</v>
      </c>
      <c r="N276" s="337">
        <v>1.2540408668252623E-3</v>
      </c>
      <c r="O276" s="337">
        <v>1.4835301820586315E-3</v>
      </c>
      <c r="P276" s="337" t="e">
        <f t="shared" si="18"/>
        <v>#REF!</v>
      </c>
      <c r="Q276" s="337" t="e">
        <f t="shared" si="19"/>
        <v>#REF!</v>
      </c>
      <c r="R276" s="337"/>
    </row>
    <row r="277" spans="1:18" x14ac:dyDescent="0.35">
      <c r="C277" t="s">
        <v>520</v>
      </c>
      <c r="D277" t="e">
        <f>#REF!+#REF!</f>
        <v>#REF!</v>
      </c>
      <c r="K277" t="s">
        <v>89</v>
      </c>
      <c r="L277" s="337">
        <v>4.2233065808689836E-3</v>
      </c>
      <c r="M277" s="337">
        <v>5.4617466697252327E-3</v>
      </c>
      <c r="N277" s="337">
        <v>1.0820278577039078E-3</v>
      </c>
      <c r="O277" s="337">
        <v>1.0376510232343041E-3</v>
      </c>
      <c r="P277" s="337" t="e">
        <f t="shared" si="18"/>
        <v>#REF!</v>
      </c>
      <c r="Q277" s="337" t="e">
        <f t="shared" si="19"/>
        <v>#REF!</v>
      </c>
      <c r="R277" s="337"/>
    </row>
    <row r="278" spans="1:18" x14ac:dyDescent="0.35">
      <c r="K278" t="s">
        <v>66</v>
      </c>
      <c r="L278" s="337">
        <v>9.1419714984337347E-2</v>
      </c>
      <c r="M278" s="337">
        <v>6.4133450094834191E-2</v>
      </c>
      <c r="N278" s="337">
        <v>0.18943656722720073</v>
      </c>
      <c r="O278" s="337">
        <v>0.17473831836208711</v>
      </c>
      <c r="P278" s="337" t="e">
        <f t="shared" si="18"/>
        <v>#REF!</v>
      </c>
      <c r="Q278" s="337" t="e">
        <f t="shared" si="19"/>
        <v>#REF!</v>
      </c>
      <c r="R278" s="337" t="e">
        <f>F255</f>
        <v>#REF!</v>
      </c>
    </row>
    <row r="279" spans="1:18" x14ac:dyDescent="0.35">
      <c r="B279" t="e">
        <f t="array" ref="B279">SUM(B249:B277)</f>
        <v>#REF!</v>
      </c>
      <c r="D279" t="e">
        <f t="array" ref="D279">SUM(D249:D277)</f>
        <v>#REF!</v>
      </c>
      <c r="F279" t="e">
        <f t="array" ref="F279">SUM(F249:F277)</f>
        <v>#REF!</v>
      </c>
      <c r="K279" t="s">
        <v>70</v>
      </c>
      <c r="L279" s="337">
        <v>0</v>
      </c>
      <c r="M279" s="337">
        <v>0</v>
      </c>
      <c r="N279" s="337">
        <v>0</v>
      </c>
      <c r="O279" s="337">
        <v>0</v>
      </c>
      <c r="P279" s="337" t="e">
        <f t="shared" si="18"/>
        <v>#REF!</v>
      </c>
      <c r="Q279" s="337" t="e">
        <f t="shared" si="19"/>
        <v>#REF!</v>
      </c>
      <c r="R279" s="337" t="e">
        <f>F258</f>
        <v>#REF!</v>
      </c>
    </row>
    <row r="280" spans="1:18" x14ac:dyDescent="0.35">
      <c r="K280" t="s">
        <v>387</v>
      </c>
      <c r="L280" s="337">
        <v>0.97116094619343241</v>
      </c>
      <c r="M280" s="337">
        <v>0.97116094619343241</v>
      </c>
      <c r="N280" s="337">
        <v>0.97116094619343241</v>
      </c>
      <c r="O280" s="337">
        <v>0.97116094619343241</v>
      </c>
      <c r="P280" s="337" t="e">
        <f t="shared" si="18"/>
        <v>#REF!</v>
      </c>
      <c r="Q280" s="337" t="e">
        <f t="shared" si="19"/>
        <v>#REF!</v>
      </c>
      <c r="R280" s="337" t="e">
        <f>F259</f>
        <v>#REF!</v>
      </c>
    </row>
    <row r="281" spans="1:18" x14ac:dyDescent="0.35">
      <c r="J281" t="s">
        <v>522</v>
      </c>
      <c r="K281" t="s">
        <v>90</v>
      </c>
      <c r="L281" s="337"/>
      <c r="M281" s="337"/>
      <c r="N281" s="337"/>
      <c r="O281" s="337"/>
      <c r="P281" s="337" t="e">
        <f>B251</f>
        <v>#REF!</v>
      </c>
      <c r="Q281" s="337"/>
      <c r="R281" s="337"/>
    </row>
    <row r="282" spans="1:18" x14ac:dyDescent="0.35">
      <c r="J282" t="s">
        <v>518</v>
      </c>
      <c r="K282" t="s">
        <v>143</v>
      </c>
      <c r="L282" s="337"/>
      <c r="M282" s="337"/>
      <c r="N282" s="337"/>
      <c r="O282" s="337"/>
      <c r="P282" s="337"/>
      <c r="Q282" s="337" t="e">
        <f>D259</f>
        <v>#REF!</v>
      </c>
      <c r="R282" s="337" t="e">
        <f>F254</f>
        <v>#REF!</v>
      </c>
    </row>
    <row r="283" spans="1:18" x14ac:dyDescent="0.35">
      <c r="K283" t="s">
        <v>91</v>
      </c>
      <c r="L283" s="337"/>
      <c r="M283" s="337"/>
      <c r="N283" s="337"/>
      <c r="O283" s="337"/>
      <c r="P283" s="337"/>
      <c r="Q283" s="337" t="e">
        <f t="shared" ref="Q283:Q284" si="20">D260</f>
        <v>#REF!</v>
      </c>
      <c r="R283" s="337"/>
    </row>
    <row r="284" spans="1:18" x14ac:dyDescent="0.35">
      <c r="K284" t="s">
        <v>78</v>
      </c>
      <c r="L284" s="337"/>
      <c r="M284" s="337"/>
      <c r="N284" s="337"/>
      <c r="O284" s="337"/>
      <c r="P284" s="337"/>
      <c r="Q284" s="337" t="e">
        <f t="shared" si="20"/>
        <v>#REF!</v>
      </c>
      <c r="R284" s="337"/>
    </row>
    <row r="285" spans="1:18" x14ac:dyDescent="0.35">
      <c r="J285" t="s">
        <v>525</v>
      </c>
      <c r="K285" t="e">
        <f>E250</f>
        <v>#REF!</v>
      </c>
      <c r="L285" s="337"/>
      <c r="M285" s="337"/>
      <c r="N285" s="337"/>
      <c r="O285" s="337"/>
      <c r="P285" s="337"/>
      <c r="Q285" s="337"/>
      <c r="R285" s="337" t="e">
        <f>F250</f>
        <v>#REF!</v>
      </c>
    </row>
    <row r="286" spans="1:18" x14ac:dyDescent="0.35">
      <c r="K286" s="340" t="s">
        <v>93</v>
      </c>
      <c r="L286" s="341">
        <f t="shared" ref="L286:R286" si="21">SUM(L255:L285)</f>
        <v>4.23838410442678</v>
      </c>
      <c r="M286" s="341">
        <f t="shared" si="21"/>
        <v>6.1545815797851198</v>
      </c>
      <c r="N286" s="341">
        <f t="shared" si="21"/>
        <v>6.9798329894088091</v>
      </c>
      <c r="O286" s="341">
        <f t="shared" si="21"/>
        <v>5.3789423325903103</v>
      </c>
      <c r="P286" s="341" t="e">
        <f t="shared" si="21"/>
        <v>#REF!</v>
      </c>
      <c r="Q286" s="341" t="e">
        <f t="shared" si="21"/>
        <v>#REF!</v>
      </c>
      <c r="R286" s="341" t="e">
        <f t="shared" si="21"/>
        <v>#REF!</v>
      </c>
    </row>
  </sheetData>
  <sortState xmlns:xlrd2="http://schemas.microsoft.com/office/spreadsheetml/2017/richdata2" ref="A125:D134">
    <sortCondition descending="1" ref="D125"/>
  </sortState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32"/>
  <sheetViews>
    <sheetView workbookViewId="0">
      <selection activeCell="E22" sqref="E22"/>
    </sheetView>
  </sheetViews>
  <sheetFormatPr defaultRowHeight="14.5" x14ac:dyDescent="0.35"/>
  <cols>
    <col min="1" max="1" width="28.1796875" bestFit="1" customWidth="1"/>
    <col min="14" max="15" width="10" bestFit="1" customWidth="1"/>
  </cols>
  <sheetData>
    <row r="1" spans="1:22" x14ac:dyDescent="0.35">
      <c r="B1" s="296" t="s">
        <v>453</v>
      </c>
      <c r="C1" s="297"/>
      <c r="D1" s="277"/>
      <c r="E1" s="296" t="s">
        <v>420</v>
      </c>
      <c r="F1" s="277"/>
      <c r="G1" t="s">
        <v>452</v>
      </c>
      <c r="I1" t="s">
        <v>454</v>
      </c>
    </row>
    <row r="2" spans="1:22" ht="15" thickBot="1" x14ac:dyDescent="0.4">
      <c r="A2" t="s">
        <v>388</v>
      </c>
      <c r="B2" s="185">
        <f>0.000001</f>
        <v>9.9999999999999995E-7</v>
      </c>
      <c r="C2" s="9"/>
      <c r="D2" s="186"/>
      <c r="E2" s="185">
        <v>9.9999999999999995E-7</v>
      </c>
      <c r="F2" s="186"/>
      <c r="G2" s="185">
        <f t="shared" ref="G2:G5" si="0">0.000001</f>
        <v>9.9999999999999995E-7</v>
      </c>
      <c r="I2" s="185">
        <f>0.000001</f>
        <v>9.9999999999999995E-7</v>
      </c>
      <c r="P2" s="311"/>
      <c r="Q2" s="311"/>
      <c r="R2" s="311"/>
      <c r="S2" s="311"/>
      <c r="U2" s="32">
        <f t="shared" ref="U2:U42" si="1">B2/$B$43*100</f>
        <v>1.0020038172537828E-6</v>
      </c>
      <c r="V2" s="54">
        <f>ROUND(U2,1)</f>
        <v>0</v>
      </c>
    </row>
    <row r="3" spans="1:22" ht="15" thickBot="1" x14ac:dyDescent="0.4">
      <c r="A3" t="s">
        <v>389</v>
      </c>
      <c r="B3" s="185">
        <f t="shared" ref="B3:B10" si="2">0.000001</f>
        <v>9.9999999999999995E-7</v>
      </c>
      <c r="C3" s="9"/>
      <c r="D3" s="186"/>
      <c r="E3" s="185">
        <v>9.9999999999999995E-7</v>
      </c>
      <c r="F3" s="186"/>
      <c r="G3" s="185">
        <f t="shared" si="0"/>
        <v>9.9999999999999995E-7</v>
      </c>
      <c r="I3" s="185">
        <f t="shared" ref="I3:I10" si="3">0.000001</f>
        <v>9.9999999999999995E-7</v>
      </c>
      <c r="P3" s="311"/>
      <c r="Q3" s="311"/>
      <c r="R3" s="311"/>
      <c r="S3" s="311"/>
      <c r="U3" s="32">
        <f t="shared" si="1"/>
        <v>1.0020038172537828E-6</v>
      </c>
      <c r="V3" s="54">
        <f t="shared" ref="V3:V42" si="4">ROUND(U3,1)</f>
        <v>0</v>
      </c>
    </row>
    <row r="4" spans="1:22" ht="15" thickBot="1" x14ac:dyDescent="0.4">
      <c r="A4" t="s">
        <v>390</v>
      </c>
      <c r="B4" s="185">
        <f t="shared" si="2"/>
        <v>9.9999999999999995E-7</v>
      </c>
      <c r="C4" s="9"/>
      <c r="D4" s="186"/>
      <c r="E4" s="185">
        <v>9.9999999999999995E-7</v>
      </c>
      <c r="F4" s="186"/>
      <c r="G4" s="185">
        <f t="shared" si="0"/>
        <v>9.9999999999999995E-7</v>
      </c>
      <c r="I4" s="185">
        <f t="shared" si="3"/>
        <v>9.9999999999999995E-7</v>
      </c>
      <c r="P4" s="311"/>
      <c r="Q4" s="311"/>
      <c r="R4" s="311"/>
      <c r="S4" s="311"/>
      <c r="U4" s="32">
        <f t="shared" si="1"/>
        <v>1.0020038172537828E-6</v>
      </c>
      <c r="V4" s="54">
        <f t="shared" si="4"/>
        <v>0</v>
      </c>
    </row>
    <row r="5" spans="1:22" ht="15" thickBot="1" x14ac:dyDescent="0.4">
      <c r="A5" t="s">
        <v>391</v>
      </c>
      <c r="B5" s="185">
        <f t="shared" si="2"/>
        <v>9.9999999999999995E-7</v>
      </c>
      <c r="C5" s="9"/>
      <c r="D5" s="186"/>
      <c r="E5" s="185">
        <v>9.9999999999999995E-7</v>
      </c>
      <c r="F5" s="186"/>
      <c r="G5" s="185">
        <f t="shared" si="0"/>
        <v>9.9999999999999995E-7</v>
      </c>
      <c r="I5" s="185">
        <f t="shared" si="3"/>
        <v>9.9999999999999995E-7</v>
      </c>
      <c r="P5" s="311"/>
      <c r="Q5" s="311"/>
      <c r="R5" s="311"/>
      <c r="S5" s="311"/>
      <c r="U5" s="32">
        <f t="shared" si="1"/>
        <v>1.0020038172537828E-6</v>
      </c>
      <c r="V5" s="54">
        <f t="shared" si="4"/>
        <v>0</v>
      </c>
    </row>
    <row r="6" spans="1:22" x14ac:dyDescent="0.35">
      <c r="A6" t="s">
        <v>392</v>
      </c>
      <c r="B6" s="185">
        <f t="shared" si="2"/>
        <v>9.9999999999999995E-7</v>
      </c>
      <c r="C6" s="9"/>
      <c r="D6" s="186"/>
      <c r="E6" s="185">
        <v>9.9999999999999995E-7</v>
      </c>
      <c r="F6" s="186"/>
      <c r="G6" s="185">
        <f t="shared" ref="G6" si="5">0.000001</f>
        <v>9.9999999999999995E-7</v>
      </c>
      <c r="I6" s="185">
        <f t="shared" si="3"/>
        <v>9.9999999999999995E-7</v>
      </c>
      <c r="P6" s="312"/>
      <c r="Q6" s="312"/>
      <c r="R6" s="312"/>
      <c r="S6" s="312"/>
      <c r="U6" s="32">
        <f t="shared" si="1"/>
        <v>1.0020038172537828E-6</v>
      </c>
      <c r="V6" s="54">
        <f t="shared" si="4"/>
        <v>0</v>
      </c>
    </row>
    <row r="7" spans="1:22" x14ac:dyDescent="0.35">
      <c r="A7" t="s">
        <v>393</v>
      </c>
      <c r="B7" s="185">
        <f t="shared" si="2"/>
        <v>9.9999999999999995E-7</v>
      </c>
      <c r="C7" s="9"/>
      <c r="D7" s="186"/>
      <c r="E7" s="185">
        <v>9.9999999999999995E-7</v>
      </c>
      <c r="F7" s="186"/>
      <c r="G7" s="185">
        <f t="shared" ref="G7" si="6">0.000001</f>
        <v>9.9999999999999995E-7</v>
      </c>
      <c r="I7" s="185">
        <f t="shared" si="3"/>
        <v>9.9999999999999995E-7</v>
      </c>
      <c r="O7" s="9"/>
      <c r="P7" s="313"/>
      <c r="Q7" s="313"/>
      <c r="R7" s="313"/>
      <c r="S7" s="313"/>
      <c r="T7" s="9"/>
      <c r="U7" s="32">
        <f t="shared" si="1"/>
        <v>1.0020038172537828E-6</v>
      </c>
      <c r="V7" s="54">
        <f t="shared" si="4"/>
        <v>0</v>
      </c>
    </row>
    <row r="8" spans="1:22" x14ac:dyDescent="0.35">
      <c r="A8" t="s">
        <v>394</v>
      </c>
      <c r="B8" s="185">
        <f t="shared" si="2"/>
        <v>9.9999999999999995E-7</v>
      </c>
      <c r="C8" s="9"/>
      <c r="D8" s="186"/>
      <c r="E8" s="185">
        <v>9.9999999999999995E-7</v>
      </c>
      <c r="F8" s="186"/>
      <c r="G8" s="185">
        <f t="shared" ref="G8" si="7">0.000001</f>
        <v>9.9999999999999995E-7</v>
      </c>
      <c r="I8" s="185">
        <f t="shared" si="3"/>
        <v>9.9999999999999995E-7</v>
      </c>
      <c r="O8" s="9"/>
      <c r="P8" s="313"/>
      <c r="Q8" s="313"/>
      <c r="R8" s="313"/>
      <c r="S8" s="313"/>
      <c r="T8" s="9"/>
      <c r="U8" s="32">
        <f t="shared" si="1"/>
        <v>1.0020038172537828E-6</v>
      </c>
      <c r="V8" s="54">
        <f t="shared" si="4"/>
        <v>0</v>
      </c>
    </row>
    <row r="9" spans="1:22" x14ac:dyDescent="0.35">
      <c r="A9" t="s">
        <v>395</v>
      </c>
      <c r="B9" s="185">
        <v>0.9</v>
      </c>
      <c r="C9" s="9"/>
      <c r="D9" s="186"/>
      <c r="E9" s="185">
        <v>9.9999999999999995E-7</v>
      </c>
      <c r="F9" s="186"/>
      <c r="G9" s="185">
        <f t="shared" ref="G9" si="8">0.000001</f>
        <v>9.9999999999999995E-7</v>
      </c>
      <c r="I9" s="185">
        <f t="shared" si="3"/>
        <v>9.9999999999999995E-7</v>
      </c>
      <c r="O9" s="9"/>
      <c r="P9" s="313"/>
      <c r="Q9" s="313"/>
      <c r="R9" s="313"/>
      <c r="S9" s="313"/>
      <c r="T9" s="9"/>
      <c r="U9" s="32">
        <f t="shared" si="1"/>
        <v>0.90180343552840447</v>
      </c>
      <c r="V9" s="54">
        <f t="shared" si="4"/>
        <v>0.9</v>
      </c>
    </row>
    <row r="10" spans="1:22" x14ac:dyDescent="0.35">
      <c r="A10" t="s">
        <v>396</v>
      </c>
      <c r="B10" s="185">
        <f t="shared" si="2"/>
        <v>9.9999999999999995E-7</v>
      </c>
      <c r="C10" s="9"/>
      <c r="D10" s="186"/>
      <c r="E10" s="185">
        <v>9.9999999999999995E-7</v>
      </c>
      <c r="F10" s="186"/>
      <c r="G10" s="185">
        <f t="shared" ref="G10" si="9">0.000001</f>
        <v>9.9999999999999995E-7</v>
      </c>
      <c r="I10" s="185">
        <f t="shared" si="3"/>
        <v>9.9999999999999995E-7</v>
      </c>
      <c r="O10" s="9"/>
      <c r="P10" s="313"/>
      <c r="Q10" s="313"/>
      <c r="R10" s="313"/>
      <c r="S10" s="313"/>
      <c r="T10" s="9"/>
      <c r="U10" s="32">
        <f t="shared" si="1"/>
        <v>1.0020038172537828E-6</v>
      </c>
      <c r="V10" s="54">
        <f t="shared" si="4"/>
        <v>0</v>
      </c>
    </row>
    <row r="11" spans="1:22" x14ac:dyDescent="0.35">
      <c r="A11" t="s">
        <v>217</v>
      </c>
      <c r="B11" s="185">
        <v>19.5</v>
      </c>
      <c r="C11" s="9"/>
      <c r="D11" s="186"/>
      <c r="E11" s="185">
        <v>13.5</v>
      </c>
      <c r="F11" s="186"/>
      <c r="G11">
        <v>53.16</v>
      </c>
      <c r="I11">
        <v>45.7</v>
      </c>
      <c r="O11" s="9"/>
      <c r="P11" s="313" t="s">
        <v>474</v>
      </c>
      <c r="Q11" s="313">
        <v>7070</v>
      </c>
      <c r="R11" s="315">
        <f>Q11/$Q$20</f>
        <v>0.137015503875969</v>
      </c>
      <c r="S11" s="313"/>
      <c r="T11" s="9"/>
      <c r="U11" s="32">
        <f t="shared" si="1"/>
        <v>19.539074436448765</v>
      </c>
      <c r="V11" s="54">
        <f t="shared" si="4"/>
        <v>19.5</v>
      </c>
    </row>
    <row r="12" spans="1:22" x14ac:dyDescent="0.35">
      <c r="A12" t="s">
        <v>397</v>
      </c>
      <c r="B12" s="185">
        <v>17.8</v>
      </c>
      <c r="C12" s="9"/>
      <c r="D12" s="186"/>
      <c r="E12" s="185">
        <v>39.799999999999997</v>
      </c>
      <c r="F12" s="186"/>
      <c r="G12">
        <v>18.34</v>
      </c>
      <c r="I12">
        <v>1.4</v>
      </c>
      <c r="O12" s="9"/>
      <c r="P12" s="313" t="s">
        <v>475</v>
      </c>
      <c r="Q12" s="313">
        <v>10650</v>
      </c>
      <c r="R12" s="315">
        <f t="shared" ref="R12:R20" si="10">Q12/$Q$20</f>
        <v>0.20639534883720931</v>
      </c>
      <c r="S12" s="313"/>
      <c r="T12" s="9"/>
      <c r="U12" s="32">
        <f t="shared" si="1"/>
        <v>17.835667947117333</v>
      </c>
      <c r="V12" s="54">
        <v>17.899999999999999</v>
      </c>
    </row>
    <row r="13" spans="1:22" x14ac:dyDescent="0.35">
      <c r="A13" t="s">
        <v>218</v>
      </c>
      <c r="B13" s="185">
        <f t="shared" ref="B13" si="11">0.000001</f>
        <v>9.9999999999999995E-7</v>
      </c>
      <c r="C13" s="9"/>
      <c r="D13" s="186"/>
      <c r="E13" s="185">
        <v>7.2</v>
      </c>
      <c r="F13" s="186"/>
      <c r="G13" s="185">
        <f t="shared" ref="G13" si="12">0.000001</f>
        <v>9.9999999999999995E-7</v>
      </c>
      <c r="I13">
        <v>0.5</v>
      </c>
      <c r="O13" s="9"/>
      <c r="P13" s="313" t="s">
        <v>146</v>
      </c>
      <c r="Q13" s="313">
        <v>24690</v>
      </c>
      <c r="R13" s="315">
        <f t="shared" si="10"/>
        <v>0.47848837209302325</v>
      </c>
      <c r="S13" s="313"/>
      <c r="T13" s="9"/>
      <c r="U13" s="32">
        <f t="shared" si="1"/>
        <v>1.0020038172537828E-6</v>
      </c>
      <c r="V13" s="54">
        <f t="shared" si="4"/>
        <v>0</v>
      </c>
    </row>
    <row r="14" spans="1:22" x14ac:dyDescent="0.35">
      <c r="A14" t="s">
        <v>219</v>
      </c>
      <c r="B14" s="185">
        <v>0.6</v>
      </c>
      <c r="C14" s="9"/>
      <c r="D14" s="186" t="s">
        <v>379</v>
      </c>
      <c r="E14" s="185">
        <v>2.2000000000000002</v>
      </c>
      <c r="F14" s="186"/>
      <c r="G14" s="185">
        <f t="shared" ref="G14" si="13">0.000001</f>
        <v>9.9999999999999995E-7</v>
      </c>
      <c r="I14">
        <v>1.8</v>
      </c>
      <c r="O14" s="9"/>
      <c r="P14" s="313" t="s">
        <v>476</v>
      </c>
      <c r="Q14" s="313">
        <v>2160</v>
      </c>
      <c r="R14" s="315">
        <f t="shared" si="10"/>
        <v>4.1860465116279069E-2</v>
      </c>
      <c r="S14" s="313"/>
      <c r="T14" s="9"/>
      <c r="U14" s="32">
        <f t="shared" si="1"/>
        <v>0.60120229035226969</v>
      </c>
      <c r="V14" s="54">
        <f t="shared" si="4"/>
        <v>0.6</v>
      </c>
    </row>
    <row r="15" spans="1:22" x14ac:dyDescent="0.35">
      <c r="A15" t="s">
        <v>220</v>
      </c>
      <c r="B15" s="185">
        <f t="shared" ref="B15:B17" si="14">0.000001</f>
        <v>9.9999999999999995E-7</v>
      </c>
      <c r="C15" s="9"/>
      <c r="D15" s="186"/>
      <c r="E15" s="185">
        <v>5.9</v>
      </c>
      <c r="F15" s="186"/>
      <c r="G15" s="185">
        <f t="shared" ref="G15" si="15">0.000001</f>
        <v>9.9999999999999995E-7</v>
      </c>
      <c r="I15" s="185">
        <f t="shared" ref="I15:I27" si="16">0.000001</f>
        <v>9.9999999999999995E-7</v>
      </c>
      <c r="O15" s="9"/>
      <c r="P15" s="313" t="s">
        <v>477</v>
      </c>
      <c r="Q15" s="313">
        <v>3130</v>
      </c>
      <c r="R15" s="315">
        <f t="shared" si="10"/>
        <v>6.0658914728682171E-2</v>
      </c>
      <c r="S15" s="313"/>
      <c r="T15" s="9"/>
      <c r="U15" s="32">
        <f t="shared" si="1"/>
        <v>1.0020038172537828E-6</v>
      </c>
      <c r="V15" s="54">
        <f t="shared" si="4"/>
        <v>0</v>
      </c>
    </row>
    <row r="16" spans="1:22" x14ac:dyDescent="0.35">
      <c r="A16" t="s">
        <v>398</v>
      </c>
      <c r="B16" s="185">
        <f t="shared" si="14"/>
        <v>9.9999999999999995E-7</v>
      </c>
      <c r="C16" s="9"/>
      <c r="D16" s="186"/>
      <c r="E16" s="185">
        <v>9.9999999999999995E-7</v>
      </c>
      <c r="F16" s="186"/>
      <c r="G16" s="185">
        <f t="shared" ref="G16" si="17">0.000001</f>
        <v>9.9999999999999995E-7</v>
      </c>
      <c r="I16" s="185">
        <f t="shared" si="16"/>
        <v>9.9999999999999995E-7</v>
      </c>
      <c r="O16" s="9"/>
      <c r="P16" s="313" t="s">
        <v>478</v>
      </c>
      <c r="Q16" s="314">
        <v>1890</v>
      </c>
      <c r="R16" s="315">
        <f t="shared" si="10"/>
        <v>3.6627906976744187E-2</v>
      </c>
      <c r="S16" s="313"/>
      <c r="T16" s="9"/>
      <c r="U16" s="32">
        <f t="shared" si="1"/>
        <v>1.0020038172537828E-6</v>
      </c>
      <c r="V16" s="54">
        <f t="shared" si="4"/>
        <v>0</v>
      </c>
    </row>
    <row r="17" spans="1:22" x14ac:dyDescent="0.35">
      <c r="A17" t="s">
        <v>399</v>
      </c>
      <c r="B17" s="185">
        <f t="shared" si="14"/>
        <v>9.9999999999999995E-7</v>
      </c>
      <c r="C17" s="9"/>
      <c r="D17" s="186"/>
      <c r="E17" s="185">
        <v>9.9999999999999995E-7</v>
      </c>
      <c r="F17" s="186"/>
      <c r="G17" s="185">
        <f t="shared" ref="G17" si="18">0.000001</f>
        <v>9.9999999999999995E-7</v>
      </c>
      <c r="I17" s="185">
        <f t="shared" si="16"/>
        <v>9.9999999999999995E-7</v>
      </c>
      <c r="O17" s="9"/>
      <c r="P17" s="313" t="s">
        <v>479</v>
      </c>
      <c r="Q17" s="314">
        <v>680</v>
      </c>
      <c r="R17" s="315">
        <f t="shared" si="10"/>
        <v>1.3178294573643411E-2</v>
      </c>
      <c r="S17" s="313"/>
      <c r="T17" s="9"/>
      <c r="U17" s="32">
        <f t="shared" si="1"/>
        <v>1.0020038172537828E-6</v>
      </c>
      <c r="V17" s="54">
        <f t="shared" si="4"/>
        <v>0</v>
      </c>
    </row>
    <row r="18" spans="1:22" x14ac:dyDescent="0.35">
      <c r="A18" t="s">
        <v>400</v>
      </c>
      <c r="B18" s="185">
        <v>29.7</v>
      </c>
      <c r="C18" s="9"/>
      <c r="D18" s="186"/>
      <c r="E18" s="185">
        <v>9.9999999999999995E-7</v>
      </c>
      <c r="F18" s="186"/>
      <c r="G18">
        <f>3.45+7.69+0.46</f>
        <v>11.600000000000001</v>
      </c>
      <c r="H18" t="s">
        <v>456</v>
      </c>
      <c r="I18">
        <v>9.6</v>
      </c>
      <c r="J18" t="s">
        <v>455</v>
      </c>
      <c r="O18" s="9"/>
      <c r="P18" s="313" t="s">
        <v>75</v>
      </c>
      <c r="Q18" s="313">
        <v>160</v>
      </c>
      <c r="R18" s="315">
        <f t="shared" si="10"/>
        <v>3.1007751937984496E-3</v>
      </c>
      <c r="S18" s="313"/>
      <c r="T18" s="9"/>
      <c r="U18" s="32">
        <f t="shared" si="1"/>
        <v>29.759513372437347</v>
      </c>
      <c r="V18" s="54">
        <f t="shared" si="4"/>
        <v>29.8</v>
      </c>
    </row>
    <row r="19" spans="1:22" x14ac:dyDescent="0.35">
      <c r="A19" t="s">
        <v>401</v>
      </c>
      <c r="B19" s="185">
        <v>2.7</v>
      </c>
      <c r="C19" s="9"/>
      <c r="D19" s="186" t="s">
        <v>380</v>
      </c>
      <c r="E19" s="185">
        <v>9.9999999999999995E-7</v>
      </c>
      <c r="F19" s="186"/>
      <c r="G19">
        <v>1.7</v>
      </c>
      <c r="I19" s="185">
        <f t="shared" si="16"/>
        <v>9.9999999999999995E-7</v>
      </c>
      <c r="O19" s="9"/>
      <c r="P19" s="313" t="s">
        <v>76</v>
      </c>
      <c r="Q19" s="313">
        <v>1170</v>
      </c>
      <c r="R19" s="315">
        <f t="shared" si="10"/>
        <v>2.2674418604651164E-2</v>
      </c>
      <c r="S19" s="313"/>
      <c r="T19" s="9"/>
      <c r="U19" s="32">
        <f t="shared" si="1"/>
        <v>2.7054103065852138</v>
      </c>
      <c r="V19" s="54">
        <f t="shared" si="4"/>
        <v>2.7</v>
      </c>
    </row>
    <row r="20" spans="1:22" x14ac:dyDescent="0.35">
      <c r="A20" t="s">
        <v>226</v>
      </c>
      <c r="B20" s="185">
        <v>1.1000000000000001</v>
      </c>
      <c r="C20" s="9"/>
      <c r="D20" s="186"/>
      <c r="E20" s="185">
        <v>1.1000000000000001</v>
      </c>
      <c r="F20" s="186"/>
      <c r="G20">
        <f>4.68*H20</f>
        <v>2.34</v>
      </c>
      <c r="H20">
        <v>0.5</v>
      </c>
      <c r="I20">
        <v>6.9</v>
      </c>
      <c r="O20" s="9"/>
      <c r="P20" s="313"/>
      <c r="Q20" s="313">
        <f>SUM(Q11:Q19)</f>
        <v>51600</v>
      </c>
      <c r="R20" s="315">
        <f t="shared" si="10"/>
        <v>1</v>
      </c>
      <c r="S20" s="313"/>
      <c r="T20" s="9"/>
      <c r="U20" s="32">
        <f t="shared" si="1"/>
        <v>1.1022041989791611</v>
      </c>
      <c r="V20" s="54">
        <f t="shared" si="4"/>
        <v>1.1000000000000001</v>
      </c>
    </row>
    <row r="21" spans="1:22" x14ac:dyDescent="0.35">
      <c r="A21" t="s">
        <v>227</v>
      </c>
      <c r="B21" s="185">
        <f t="shared" ref="B21" si="19">0.000001</f>
        <v>9.9999999999999995E-7</v>
      </c>
      <c r="C21" s="9"/>
      <c r="D21" s="186"/>
      <c r="E21" s="185">
        <v>2</v>
      </c>
      <c r="F21" s="186"/>
      <c r="G21" s="185">
        <f t="shared" ref="G21" si="20">0.000001</f>
        <v>9.9999999999999995E-7</v>
      </c>
      <c r="I21" s="185">
        <f t="shared" si="16"/>
        <v>9.9999999999999995E-7</v>
      </c>
      <c r="O21" s="9"/>
      <c r="P21" s="313"/>
      <c r="Q21" s="313"/>
      <c r="R21" s="313"/>
      <c r="S21" s="313"/>
      <c r="T21" s="9"/>
      <c r="U21" s="32">
        <f t="shared" si="1"/>
        <v>1.0020038172537828E-6</v>
      </c>
      <c r="V21" s="54">
        <f t="shared" si="4"/>
        <v>0</v>
      </c>
    </row>
    <row r="22" spans="1:22" x14ac:dyDescent="0.35">
      <c r="A22" t="s">
        <v>402</v>
      </c>
      <c r="B22" s="185">
        <v>2.1</v>
      </c>
      <c r="C22" s="9"/>
      <c r="D22" s="186"/>
      <c r="E22" s="185">
        <v>3.7</v>
      </c>
      <c r="F22" s="186"/>
      <c r="G22">
        <f>4.68*H22</f>
        <v>2.34</v>
      </c>
      <c r="H22">
        <v>0.5</v>
      </c>
      <c r="I22">
        <v>5</v>
      </c>
      <c r="O22" s="9"/>
      <c r="P22" s="313"/>
      <c r="Q22" s="313"/>
      <c r="R22" s="313"/>
      <c r="S22" s="313"/>
      <c r="T22" s="9"/>
      <c r="U22" s="32">
        <f t="shared" si="1"/>
        <v>2.1042080162329437</v>
      </c>
      <c r="V22" s="54">
        <f t="shared" si="4"/>
        <v>2.1</v>
      </c>
    </row>
    <row r="23" spans="1:22" x14ac:dyDescent="0.35">
      <c r="A23" t="s">
        <v>403</v>
      </c>
      <c r="B23" s="185">
        <v>0.6</v>
      </c>
      <c r="C23" s="9"/>
      <c r="D23" s="309" t="s">
        <v>381</v>
      </c>
      <c r="E23" s="185">
        <v>9.9999999999999995E-7</v>
      </c>
      <c r="F23" s="186"/>
      <c r="G23" s="185">
        <f t="shared" ref="G23" si="21">0.000001</f>
        <v>9.9999999999999995E-7</v>
      </c>
      <c r="I23" s="185">
        <f t="shared" si="16"/>
        <v>9.9999999999999995E-7</v>
      </c>
      <c r="O23" s="9"/>
      <c r="P23" s="313"/>
      <c r="Q23" s="313"/>
      <c r="R23" s="313"/>
      <c r="S23" s="313"/>
      <c r="T23" s="9"/>
      <c r="U23" s="32">
        <f t="shared" si="1"/>
        <v>0.60120229035226969</v>
      </c>
      <c r="V23" s="54">
        <f t="shared" si="4"/>
        <v>0.6</v>
      </c>
    </row>
    <row r="24" spans="1:22" x14ac:dyDescent="0.35">
      <c r="A24" t="s">
        <v>404</v>
      </c>
      <c r="B24" s="185">
        <f t="shared" ref="B24:B25" si="22">0.000001</f>
        <v>9.9999999999999995E-7</v>
      </c>
      <c r="C24" s="9"/>
      <c r="D24" s="186"/>
      <c r="E24" s="185">
        <v>9.9999999999999995E-7</v>
      </c>
      <c r="F24" s="186"/>
      <c r="G24" s="185">
        <f t="shared" ref="G24" si="23">0.000001</f>
        <v>9.9999999999999995E-7</v>
      </c>
      <c r="I24" s="185">
        <f t="shared" si="16"/>
        <v>9.9999999999999995E-7</v>
      </c>
      <c r="O24" s="9"/>
      <c r="P24" s="313"/>
      <c r="Q24" s="313"/>
      <c r="R24" s="313"/>
      <c r="S24" s="313"/>
      <c r="T24" s="9"/>
      <c r="U24" s="32">
        <f t="shared" si="1"/>
        <v>1.0020038172537828E-6</v>
      </c>
      <c r="V24" s="54">
        <f t="shared" si="4"/>
        <v>0</v>
      </c>
    </row>
    <row r="25" spans="1:22" x14ac:dyDescent="0.35">
      <c r="A25" t="s">
        <v>405</v>
      </c>
      <c r="B25" s="185">
        <f t="shared" si="22"/>
        <v>9.9999999999999995E-7</v>
      </c>
      <c r="C25" s="9"/>
      <c r="D25" s="186"/>
      <c r="E25" s="185">
        <v>9.9999999999999995E-7</v>
      </c>
      <c r="F25" s="186"/>
      <c r="G25" s="185">
        <f t="shared" ref="G25" si="24">0.000001</f>
        <v>9.9999999999999995E-7</v>
      </c>
      <c r="I25" s="185">
        <f t="shared" si="16"/>
        <v>9.9999999999999995E-7</v>
      </c>
      <c r="O25" s="9"/>
      <c r="P25" s="313"/>
      <c r="Q25" s="313"/>
      <c r="R25" s="313"/>
      <c r="S25" s="313"/>
      <c r="T25" s="9"/>
      <c r="U25" s="32">
        <f t="shared" si="1"/>
        <v>1.0020038172537828E-6</v>
      </c>
      <c r="V25" s="54">
        <f t="shared" si="4"/>
        <v>0</v>
      </c>
    </row>
    <row r="26" spans="1:22" x14ac:dyDescent="0.35">
      <c r="A26" t="s">
        <v>406</v>
      </c>
      <c r="B26" s="185">
        <v>0.6</v>
      </c>
      <c r="C26" s="9"/>
      <c r="D26" s="186"/>
      <c r="E26" s="185">
        <v>5.4</v>
      </c>
      <c r="F26" s="186"/>
      <c r="G26" s="185">
        <v>0.4</v>
      </c>
      <c r="I26" s="185">
        <f t="shared" si="16"/>
        <v>9.9999999999999995E-7</v>
      </c>
      <c r="O26" s="9"/>
      <c r="P26" s="313"/>
      <c r="Q26" s="313"/>
      <c r="R26" s="313"/>
      <c r="S26" s="313"/>
      <c r="T26" s="9"/>
      <c r="U26" s="32">
        <f t="shared" si="1"/>
        <v>0.60120229035226969</v>
      </c>
      <c r="V26" s="54">
        <f t="shared" si="4"/>
        <v>0.6</v>
      </c>
    </row>
    <row r="27" spans="1:22" x14ac:dyDescent="0.35">
      <c r="A27" t="s">
        <v>407</v>
      </c>
      <c r="B27" s="185">
        <v>1.5</v>
      </c>
      <c r="C27" s="9"/>
      <c r="D27" s="186"/>
      <c r="E27" s="185">
        <v>9.9999999999999995E-7</v>
      </c>
      <c r="F27" s="186"/>
      <c r="G27">
        <f>1.62</f>
        <v>1.62</v>
      </c>
      <c r="I27" s="185">
        <f t="shared" si="16"/>
        <v>9.9999999999999995E-7</v>
      </c>
      <c r="O27" s="9"/>
      <c r="P27" s="313"/>
      <c r="Q27" s="313"/>
      <c r="R27" s="313"/>
      <c r="S27" s="313"/>
      <c r="T27" s="9"/>
      <c r="U27" s="32">
        <f t="shared" si="1"/>
        <v>1.5030057258806742</v>
      </c>
      <c r="V27" s="54">
        <f t="shared" si="4"/>
        <v>1.5</v>
      </c>
    </row>
    <row r="28" spans="1:22" x14ac:dyDescent="0.35">
      <c r="A28" t="s">
        <v>408</v>
      </c>
      <c r="B28" s="185">
        <v>1.2</v>
      </c>
      <c r="C28" s="9"/>
      <c r="D28" s="186" t="s">
        <v>382</v>
      </c>
      <c r="E28" s="185">
        <v>3.2</v>
      </c>
      <c r="F28" s="186"/>
      <c r="G28">
        <v>2.06</v>
      </c>
      <c r="I28">
        <v>5.6</v>
      </c>
      <c r="O28" s="9"/>
      <c r="P28" s="313"/>
      <c r="Q28" s="313"/>
      <c r="R28" s="313"/>
      <c r="S28" s="313"/>
      <c r="T28" s="9"/>
      <c r="U28" s="32">
        <f t="shared" si="1"/>
        <v>1.2024045807045394</v>
      </c>
      <c r="V28" s="54">
        <f t="shared" si="4"/>
        <v>1.2</v>
      </c>
    </row>
    <row r="29" spans="1:22" x14ac:dyDescent="0.35">
      <c r="A29" t="s">
        <v>409</v>
      </c>
      <c r="B29" s="185">
        <v>0.4</v>
      </c>
      <c r="C29" s="9"/>
      <c r="D29" s="186"/>
      <c r="E29" s="185">
        <v>0.6</v>
      </c>
      <c r="F29" s="186"/>
      <c r="G29" s="185">
        <f t="shared" ref="G29" si="25">0.000001</f>
        <v>9.9999999999999995E-7</v>
      </c>
      <c r="I29" s="185">
        <f t="shared" ref="I29" si="26">0.000001</f>
        <v>9.9999999999999995E-7</v>
      </c>
      <c r="O29" s="9"/>
      <c r="P29" s="313"/>
      <c r="Q29" s="313"/>
      <c r="R29" s="313"/>
      <c r="S29" s="313"/>
      <c r="T29" s="9"/>
      <c r="U29" s="32">
        <f t="shared" si="1"/>
        <v>0.40080152690151316</v>
      </c>
      <c r="V29" s="54">
        <f t="shared" si="4"/>
        <v>0.4</v>
      </c>
    </row>
    <row r="30" spans="1:22" x14ac:dyDescent="0.35">
      <c r="A30" t="s">
        <v>410</v>
      </c>
      <c r="B30" s="185">
        <v>0.7</v>
      </c>
      <c r="C30" s="9"/>
      <c r="D30" s="186"/>
      <c r="E30" s="185">
        <v>2</v>
      </c>
      <c r="F30" s="186"/>
      <c r="G30">
        <v>0.31</v>
      </c>
      <c r="I30">
        <v>2</v>
      </c>
      <c r="O30" s="9"/>
      <c r="P30" s="313"/>
      <c r="Q30" s="313"/>
      <c r="R30" s="313"/>
      <c r="S30" s="313"/>
      <c r="T30" s="9"/>
      <c r="U30" s="32">
        <f t="shared" si="1"/>
        <v>0.70140267207764784</v>
      </c>
      <c r="V30" s="54">
        <f t="shared" si="4"/>
        <v>0.7</v>
      </c>
    </row>
    <row r="31" spans="1:22" x14ac:dyDescent="0.35">
      <c r="A31" t="s">
        <v>411</v>
      </c>
      <c r="B31" s="185">
        <v>0.2</v>
      </c>
      <c r="C31" s="9"/>
      <c r="D31" s="186"/>
      <c r="E31" s="185">
        <v>0.6</v>
      </c>
      <c r="F31" s="186"/>
      <c r="G31">
        <v>0.14000000000000001</v>
      </c>
      <c r="I31" s="185">
        <f t="shared" ref="I31" si="27">0.000001</f>
        <v>9.9999999999999995E-7</v>
      </c>
      <c r="O31" s="9"/>
      <c r="P31" s="313"/>
      <c r="Q31" s="313"/>
      <c r="R31" s="313"/>
      <c r="S31" s="313"/>
      <c r="T31" s="9"/>
      <c r="U31" s="32">
        <f t="shared" si="1"/>
        <v>0.20040076345075658</v>
      </c>
      <c r="V31" s="54">
        <f t="shared" si="4"/>
        <v>0.2</v>
      </c>
    </row>
    <row r="32" spans="1:22" x14ac:dyDescent="0.35">
      <c r="A32" t="s">
        <v>412</v>
      </c>
      <c r="B32" s="185">
        <f t="shared" ref="B32" si="28">0.000001</f>
        <v>9.9999999999999995E-7</v>
      </c>
      <c r="C32" s="9"/>
      <c r="D32" s="186"/>
      <c r="E32" s="185">
        <v>9.9999999999999995E-7</v>
      </c>
      <c r="F32" s="186"/>
      <c r="G32">
        <v>1.95</v>
      </c>
      <c r="H32" t="s">
        <v>457</v>
      </c>
      <c r="I32">
        <v>0.2</v>
      </c>
      <c r="O32" s="9"/>
      <c r="P32" s="313"/>
      <c r="Q32" s="313"/>
      <c r="R32" s="313"/>
      <c r="S32" s="313"/>
      <c r="T32" s="9"/>
      <c r="U32" s="32">
        <f t="shared" si="1"/>
        <v>1.0020038172537828E-6</v>
      </c>
      <c r="V32" s="54">
        <f t="shared" si="4"/>
        <v>0</v>
      </c>
    </row>
    <row r="33" spans="1:22" x14ac:dyDescent="0.35">
      <c r="A33" t="s">
        <v>413</v>
      </c>
      <c r="B33" s="185">
        <v>0.4</v>
      </c>
      <c r="C33" s="9"/>
      <c r="D33" s="186" t="s">
        <v>383</v>
      </c>
      <c r="E33" s="185">
        <v>9.9999999999999995E-7</v>
      </c>
      <c r="F33" s="186"/>
      <c r="G33" s="185">
        <f t="shared" ref="G33:I42" si="29">0.000001</f>
        <v>9.9999999999999995E-7</v>
      </c>
      <c r="I33" s="185">
        <f t="shared" ref="I33:I34" si="30">0.000001</f>
        <v>9.9999999999999995E-7</v>
      </c>
      <c r="O33" s="9"/>
      <c r="P33" s="313"/>
      <c r="Q33" s="313"/>
      <c r="R33" s="313"/>
      <c r="S33" s="313"/>
      <c r="T33" s="9"/>
      <c r="U33" s="32">
        <f t="shared" si="1"/>
        <v>0.40080152690151316</v>
      </c>
      <c r="V33" s="54">
        <f t="shared" si="4"/>
        <v>0.4</v>
      </c>
    </row>
    <row r="34" spans="1:22" x14ac:dyDescent="0.35">
      <c r="A34" t="s">
        <v>414</v>
      </c>
      <c r="B34" s="185">
        <f t="shared" ref="B34" si="31">0.000001</f>
        <v>9.9999999999999995E-7</v>
      </c>
      <c r="C34" s="9"/>
      <c r="D34" s="186"/>
      <c r="E34" s="185">
        <v>9.9999999999999995E-7</v>
      </c>
      <c r="F34" s="186"/>
      <c r="G34" s="185">
        <f t="shared" si="29"/>
        <v>9.9999999999999995E-7</v>
      </c>
      <c r="I34" s="185">
        <f t="shared" si="30"/>
        <v>9.9999999999999995E-7</v>
      </c>
      <c r="O34" s="9"/>
      <c r="P34" s="313"/>
      <c r="Q34" s="313"/>
      <c r="R34" s="313"/>
      <c r="S34" s="313"/>
      <c r="T34" s="9"/>
      <c r="U34" s="32">
        <f t="shared" si="1"/>
        <v>1.0020038172537828E-6</v>
      </c>
      <c r="V34" s="54">
        <f t="shared" si="4"/>
        <v>0</v>
      </c>
    </row>
    <row r="35" spans="1:22" x14ac:dyDescent="0.35">
      <c r="A35" t="s">
        <v>223</v>
      </c>
      <c r="B35" s="185">
        <f>C35*(1+$C$38/(SUM($C$35:$C$37)))</f>
        <v>5.0135593220338981</v>
      </c>
      <c r="C35" s="9">
        <v>3.4</v>
      </c>
      <c r="D35" s="186"/>
      <c r="E35" s="185">
        <v>7.5</v>
      </c>
      <c r="F35" s="186"/>
      <c r="G35" s="185">
        <f t="shared" si="29"/>
        <v>9.9999999999999995E-7</v>
      </c>
      <c r="I35" s="185">
        <f>J35*(1+$J$38/(SUM($J$35:$J$37)))</f>
        <v>5.5760563380281694</v>
      </c>
      <c r="J35">
        <v>3.7</v>
      </c>
      <c r="M35">
        <f>SUM(B35:B38)</f>
        <v>17.400001000000003</v>
      </c>
      <c r="O35" s="9"/>
      <c r="P35" s="9"/>
      <c r="Q35" s="9"/>
      <c r="R35" s="9"/>
      <c r="S35" s="9"/>
      <c r="T35" s="9"/>
      <c r="U35" s="32">
        <f t="shared" si="1"/>
        <v>5.0236055787062535</v>
      </c>
      <c r="V35" s="54">
        <f t="shared" si="4"/>
        <v>5</v>
      </c>
    </row>
    <row r="36" spans="1:22" x14ac:dyDescent="0.35">
      <c r="A36" t="s">
        <v>224</v>
      </c>
      <c r="B36" s="185">
        <f t="shared" ref="B36:B37" si="32">C36*(1+$C$38/(SUM($C$35:$C$37)))</f>
        <v>7.0779661016949156</v>
      </c>
      <c r="C36" s="9">
        <v>4.8</v>
      </c>
      <c r="D36" s="186"/>
      <c r="E36" s="185">
        <v>3.2</v>
      </c>
      <c r="F36" s="186"/>
      <c r="G36" s="185">
        <f t="shared" si="29"/>
        <v>9.9999999999999995E-7</v>
      </c>
      <c r="I36" s="185">
        <f t="shared" ref="I36:I37" si="33">J36*(1+$J$38/(SUM($J$35:$J$37)))</f>
        <v>5.274647887323944</v>
      </c>
      <c r="J36">
        <v>3.5</v>
      </c>
      <c r="M36">
        <f>SUM(J35:J38)</f>
        <v>21.4</v>
      </c>
      <c r="U36" s="32">
        <f t="shared" si="1"/>
        <v>7.0921490522911812</v>
      </c>
      <c r="V36" s="54">
        <f t="shared" si="4"/>
        <v>7.1</v>
      </c>
    </row>
    <row r="37" spans="1:22" x14ac:dyDescent="0.35">
      <c r="A37" t="s">
        <v>225</v>
      </c>
      <c r="B37" s="185">
        <f t="shared" si="32"/>
        <v>5.3084745762711867</v>
      </c>
      <c r="C37" s="9">
        <v>3.6</v>
      </c>
      <c r="D37" s="186"/>
      <c r="E37" s="185">
        <v>2.1</v>
      </c>
      <c r="F37" s="186"/>
      <c r="G37" s="185">
        <f t="shared" si="29"/>
        <v>9.9999999999999995E-7</v>
      </c>
      <c r="I37" s="185">
        <f t="shared" si="33"/>
        <v>10.549295774647888</v>
      </c>
      <c r="J37">
        <v>7</v>
      </c>
      <c r="M37">
        <f>SUM(E35:E37)</f>
        <v>12.799999999999999</v>
      </c>
      <c r="U37" s="32">
        <f t="shared" si="1"/>
        <v>5.3191117892183861</v>
      </c>
      <c r="V37" s="54">
        <f t="shared" si="4"/>
        <v>5.3</v>
      </c>
    </row>
    <row r="38" spans="1:22" x14ac:dyDescent="0.35">
      <c r="A38" t="s">
        <v>415</v>
      </c>
      <c r="B38" s="185">
        <f t="shared" ref="B38" si="34">0.000001</f>
        <v>9.9999999999999995E-7</v>
      </c>
      <c r="C38" s="9">
        <v>5.6</v>
      </c>
      <c r="D38" s="186" t="s">
        <v>425</v>
      </c>
      <c r="E38" s="185">
        <v>9.9999999999999995E-7</v>
      </c>
      <c r="F38" s="186"/>
      <c r="G38" s="185">
        <f t="shared" si="29"/>
        <v>9.9999999999999995E-7</v>
      </c>
      <c r="I38" s="185">
        <f t="shared" si="29"/>
        <v>9.9999999999999995E-7</v>
      </c>
      <c r="J38">
        <v>7.2</v>
      </c>
      <c r="K38" s="186" t="s">
        <v>425</v>
      </c>
      <c r="U38" s="32">
        <f t="shared" si="1"/>
        <v>1.0020038172537828E-6</v>
      </c>
      <c r="V38" s="54">
        <f t="shared" si="4"/>
        <v>0</v>
      </c>
    </row>
    <row r="39" spans="1:22" x14ac:dyDescent="0.35">
      <c r="A39" t="s">
        <v>416</v>
      </c>
      <c r="B39" s="185">
        <v>0.3</v>
      </c>
      <c r="C39" s="9"/>
      <c r="D39" s="186" t="s">
        <v>384</v>
      </c>
      <c r="E39" s="185">
        <v>9.9999999999999995E-7</v>
      </c>
      <c r="F39" s="186"/>
      <c r="G39">
        <v>1.38</v>
      </c>
      <c r="I39" s="185">
        <f t="shared" si="29"/>
        <v>9.9999999999999995E-7</v>
      </c>
      <c r="U39" s="32">
        <f t="shared" si="1"/>
        <v>0.30060114517613484</v>
      </c>
      <c r="V39" s="54">
        <f t="shared" si="4"/>
        <v>0.3</v>
      </c>
    </row>
    <row r="40" spans="1:22" x14ac:dyDescent="0.35">
      <c r="A40" t="s">
        <v>417</v>
      </c>
      <c r="B40" s="185">
        <v>0.6</v>
      </c>
      <c r="C40" s="9"/>
      <c r="D40" s="186" t="s">
        <v>385</v>
      </c>
      <c r="E40" s="185">
        <v>9.9999999999999995E-7</v>
      </c>
      <c r="F40" s="186"/>
      <c r="G40" s="185">
        <f t="shared" si="29"/>
        <v>9.9999999999999995E-7</v>
      </c>
      <c r="I40" s="185">
        <f t="shared" si="29"/>
        <v>9.9999999999999995E-7</v>
      </c>
      <c r="U40" s="32">
        <f t="shared" si="1"/>
        <v>0.60120229035226969</v>
      </c>
      <c r="V40" s="54">
        <f t="shared" si="4"/>
        <v>0.6</v>
      </c>
    </row>
    <row r="41" spans="1:22" x14ac:dyDescent="0.35">
      <c r="A41" t="s">
        <v>418</v>
      </c>
      <c r="B41" s="185">
        <v>1.5</v>
      </c>
      <c r="C41" s="9"/>
      <c r="D41" s="186" t="s">
        <v>386</v>
      </c>
      <c r="E41" s="185">
        <v>9.9999999999999995E-7</v>
      </c>
      <c r="F41" s="186"/>
      <c r="G41">
        <v>2.62</v>
      </c>
      <c r="I41" s="185">
        <f t="shared" si="29"/>
        <v>9.9999999999999995E-7</v>
      </c>
      <c r="U41" s="32">
        <f t="shared" si="1"/>
        <v>1.5030057258806742</v>
      </c>
      <c r="V41" s="54">
        <f t="shared" si="4"/>
        <v>1.5</v>
      </c>
    </row>
    <row r="42" spans="1:22" x14ac:dyDescent="0.35">
      <c r="A42" t="s">
        <v>419</v>
      </c>
      <c r="B42" s="185">
        <f t="shared" ref="B42" si="35">0.000001</f>
        <v>9.9999999999999995E-7</v>
      </c>
      <c r="C42" s="9"/>
      <c r="D42" s="186"/>
      <c r="E42" s="185">
        <v>9.9999999999999995E-7</v>
      </c>
      <c r="F42" s="186"/>
      <c r="G42" s="185">
        <f t="shared" si="29"/>
        <v>9.9999999999999995E-7</v>
      </c>
      <c r="I42" s="185">
        <f t="shared" si="29"/>
        <v>9.9999999999999995E-7</v>
      </c>
      <c r="U42" s="32">
        <f t="shared" si="1"/>
        <v>1.0020038172537828E-6</v>
      </c>
      <c r="V42" s="54">
        <f t="shared" si="4"/>
        <v>0</v>
      </c>
    </row>
    <row r="43" spans="1:22" ht="15" thickBot="1" x14ac:dyDescent="0.4">
      <c r="B43" s="301">
        <f>SUM(B2:B42)</f>
        <v>99.800018999999949</v>
      </c>
      <c r="C43" s="302"/>
      <c r="D43" s="270"/>
      <c r="E43" s="301">
        <f>SUM(E2:E42)</f>
        <v>100.00002499999995</v>
      </c>
      <c r="F43" s="270"/>
      <c r="G43" s="301">
        <f>SUM(G2:G42)</f>
        <v>99.960026999999982</v>
      </c>
      <c r="I43" s="301">
        <f>SUM(I2:I42)</f>
        <v>100.10002799999994</v>
      </c>
      <c r="L43">
        <f>45.7+7.6+1.8+1.4+0.5+0.7+1.3</f>
        <v>59</v>
      </c>
      <c r="U43" s="301">
        <f>SUM(U2:U42)</f>
        <v>100.00000000000004</v>
      </c>
      <c r="V43" s="301">
        <f>SUM(V2:V42)</f>
        <v>99.999999999999986</v>
      </c>
    </row>
    <row r="44" spans="1:22" x14ac:dyDescent="0.35">
      <c r="A44" t="s">
        <v>465</v>
      </c>
      <c r="L44">
        <f>5+6.7+7+3.5+3.7+7.2+5.6+2+0.2</f>
        <v>40.900000000000006</v>
      </c>
    </row>
    <row r="45" spans="1:22" x14ac:dyDescent="0.35">
      <c r="A45" t="s">
        <v>512</v>
      </c>
      <c r="B45" s="283">
        <v>0.25</v>
      </c>
    </row>
    <row r="46" spans="1:22" ht="43.5" x14ac:dyDescent="0.35">
      <c r="A46" s="125" t="s">
        <v>11</v>
      </c>
      <c r="B46" s="125" t="s">
        <v>65</v>
      </c>
      <c r="C46" s="125" t="s">
        <v>57</v>
      </c>
      <c r="D46" s="127" t="s">
        <v>58</v>
      </c>
      <c r="E46" s="125" t="s">
        <v>59</v>
      </c>
      <c r="F46" s="125" t="s">
        <v>64</v>
      </c>
      <c r="G46" s="125" t="s">
        <v>63</v>
      </c>
      <c r="H46" s="158" t="s">
        <v>61</v>
      </c>
      <c r="I46" s="125" t="s">
        <v>71</v>
      </c>
    </row>
    <row r="47" spans="1:22" x14ac:dyDescent="0.35">
      <c r="A47" s="68">
        <f>IF(Single.Stream!U136=0,0,Single.Stream!U136-$B$45)</f>
        <v>0</v>
      </c>
      <c r="B47" s="68">
        <f>IF(Single.Stream!S136=0,0,Single.Stream!S136-$B$45)</f>
        <v>0</v>
      </c>
      <c r="C47" s="68">
        <f>IF(Single.Stream!E136=0,0,Single.Stream!E136-$B$45)</f>
        <v>0</v>
      </c>
      <c r="D47" s="68">
        <f>IF(Single.Stream!F136=0,0,Single.Stream!F136-$B$45)</f>
        <v>0</v>
      </c>
      <c r="E47" s="68">
        <f>IF(Single.Stream!G136=0,0,Single.Stream!G136-$B$45)</f>
        <v>0</v>
      </c>
      <c r="F47" s="68">
        <f>IF(Single.Stream!Q136=0,0,Single.Stream!Q136-$B$45)</f>
        <v>0</v>
      </c>
      <c r="G47" s="68">
        <f>IF(Single.Stream!O136=0,0,Single.Stream!O136-$B$45)</f>
        <v>0</v>
      </c>
      <c r="H47" s="68">
        <f>IF(Single.Stream!K136=0,0,Single.Stream!K136-$B$45)</f>
        <v>0</v>
      </c>
      <c r="I47" s="68">
        <f>IF(Single.Stream!M136=0,0,Single.Stream!M136-$B$45)</f>
        <v>0</v>
      </c>
    </row>
    <row r="48" spans="1:22" x14ac:dyDescent="0.35">
      <c r="A48" s="49">
        <f>IF(Single.Stream!U137=0,0,Single.Stream!U137-$B$45)</f>
        <v>0</v>
      </c>
      <c r="B48" s="49">
        <f>IF(Single.Stream!S137=0,0,Single.Stream!S137-$B$45)</f>
        <v>0</v>
      </c>
      <c r="C48" s="49">
        <f>IF(Single.Stream!E137=0,0,Single.Stream!E137-$B$45)</f>
        <v>0</v>
      </c>
      <c r="D48" s="49">
        <f>IF(Single.Stream!F137=0,0,Single.Stream!F137-$B$45)</f>
        <v>0</v>
      </c>
      <c r="E48" s="49">
        <f>IF(Single.Stream!G137=0,0,Single.Stream!G137-$B$45)</f>
        <v>0</v>
      </c>
      <c r="F48" s="49">
        <f>IF(Single.Stream!Q137=0,0,Single.Stream!Q137-$B$45)</f>
        <v>0</v>
      </c>
      <c r="G48" s="49">
        <f>IF(Single.Stream!O137=0,0,Single.Stream!O137-$B$45)</f>
        <v>0</v>
      </c>
      <c r="H48" s="49">
        <f>IF(Single.Stream!K137=0,0,Single.Stream!K137-$B$45)</f>
        <v>0</v>
      </c>
      <c r="I48" s="49">
        <f>IF(Single.Stream!M137=0,0,Single.Stream!M137-$B$45)</f>
        <v>0</v>
      </c>
    </row>
    <row r="49" spans="1:9" x14ac:dyDescent="0.35">
      <c r="A49" s="49">
        <f>IF(Single.Stream!U138=0,0,Single.Stream!U138-$B$45)</f>
        <v>0</v>
      </c>
      <c r="B49" s="49">
        <f>IF(Single.Stream!S138=0,0,Single.Stream!S138-$B$45)</f>
        <v>0</v>
      </c>
      <c r="C49" s="49">
        <f>IF(Single.Stream!E138=0,0,Single.Stream!E138-$B$45)</f>
        <v>0</v>
      </c>
      <c r="D49" s="49">
        <f>IF(Single.Stream!F138=0,0,Single.Stream!F138-$B$45)</f>
        <v>0</v>
      </c>
      <c r="E49" s="49">
        <f>IF(Single.Stream!G138=0,0,Single.Stream!G138-$B$45)</f>
        <v>0</v>
      </c>
      <c r="F49" s="49">
        <f>IF(Single.Stream!Q138=0,0,Single.Stream!Q138-$B$45)</f>
        <v>0</v>
      </c>
      <c r="G49" s="49">
        <f>IF(Single.Stream!O138=0,0,Single.Stream!O138-$B$45)</f>
        <v>0</v>
      </c>
      <c r="H49" s="49">
        <f>IF(Single.Stream!K138=0,0,Single.Stream!K138-$B$45)</f>
        <v>0</v>
      </c>
      <c r="I49" s="49">
        <f>IF(Single.Stream!M138=0,0,Single.Stream!M138-$B$45)</f>
        <v>0</v>
      </c>
    </row>
    <row r="50" spans="1:9" x14ac:dyDescent="0.35">
      <c r="A50" s="49">
        <f>IF(Single.Stream!U139=0,0,Single.Stream!U139-$B$45)</f>
        <v>0</v>
      </c>
      <c r="B50" s="49">
        <f>IF(Single.Stream!S139=0,0,Single.Stream!S139-$B$45)</f>
        <v>0</v>
      </c>
      <c r="C50" s="49">
        <f>IF(Single.Stream!E139=0,0,Single.Stream!E139-$B$45)</f>
        <v>0</v>
      </c>
      <c r="D50" s="49">
        <f>IF(Single.Stream!F139=0,0,Single.Stream!F139-$B$45)</f>
        <v>0</v>
      </c>
      <c r="E50" s="49">
        <f>IF(Single.Stream!G139=0,0,Single.Stream!G139-$B$45)</f>
        <v>0</v>
      </c>
      <c r="F50" s="49">
        <f>IF(Single.Stream!Q139=0,0,Single.Stream!Q139-$B$45)</f>
        <v>0</v>
      </c>
      <c r="G50" s="49">
        <f>IF(Single.Stream!O139=0,0,Single.Stream!O139-$B$45)</f>
        <v>0</v>
      </c>
      <c r="H50" s="49">
        <f>IF(Single.Stream!K139=0,0,Single.Stream!K139-$B$45)</f>
        <v>0</v>
      </c>
      <c r="I50" s="49">
        <f>IF(Single.Stream!M139=0,0,Single.Stream!M139-$B$45)</f>
        <v>0</v>
      </c>
    </row>
    <row r="51" spans="1:9" x14ac:dyDescent="0.35">
      <c r="A51" s="49">
        <f>IF(Single.Stream!U140=0,0,Single.Stream!U140-$B$45)</f>
        <v>0</v>
      </c>
      <c r="B51" s="49">
        <f>IF(Single.Stream!S140=0,0,Single.Stream!S140-$B$45)</f>
        <v>0</v>
      </c>
      <c r="C51" s="49">
        <f>IF(Single.Stream!E140=0,0,Single.Stream!E140-$B$45)</f>
        <v>0</v>
      </c>
      <c r="D51" s="49">
        <f>IF(Single.Stream!F140=0,0,Single.Stream!F140-$B$45)</f>
        <v>0</v>
      </c>
      <c r="E51" s="49">
        <f>IF(Single.Stream!G140=0,0,Single.Stream!G140-$B$45)</f>
        <v>0</v>
      </c>
      <c r="F51" s="49">
        <f>IF(Single.Stream!Q140=0,0,Single.Stream!Q140-$B$45)</f>
        <v>0</v>
      </c>
      <c r="G51" s="49">
        <f>IF(Single.Stream!O140=0,0,Single.Stream!O140-$B$45)</f>
        <v>0</v>
      </c>
      <c r="H51" s="49">
        <f>IF(Single.Stream!K140=0,0,Single.Stream!K140-$B$45)</f>
        <v>0</v>
      </c>
      <c r="I51" s="49">
        <f>IF(Single.Stream!M140=0,0,Single.Stream!M140-$B$45)</f>
        <v>0</v>
      </c>
    </row>
    <row r="52" spans="1:9" x14ac:dyDescent="0.35">
      <c r="A52" s="49">
        <f>IF(Single.Stream!U141=0,0,Single.Stream!U141-$B$45)</f>
        <v>0</v>
      </c>
      <c r="B52" s="49">
        <f>IF(Single.Stream!S141=0,0,Single.Stream!S141-$B$45)</f>
        <v>0</v>
      </c>
      <c r="C52" s="49">
        <f>IF(Single.Stream!E141=0,0,Single.Stream!E141-$B$45)</f>
        <v>0</v>
      </c>
      <c r="D52" s="49">
        <f>IF(Single.Stream!F141=0,0,Single.Stream!F141-$B$45)</f>
        <v>0</v>
      </c>
      <c r="E52" s="49">
        <f>IF(Single.Stream!G141=0,0,Single.Stream!G141-$B$45)</f>
        <v>0</v>
      </c>
      <c r="F52" s="49">
        <f>IF(Single.Stream!Q141=0,0,Single.Stream!Q141-$B$45)</f>
        <v>0</v>
      </c>
      <c r="G52" s="49">
        <f>IF(Single.Stream!O141=0,0,Single.Stream!O141-$B$45)</f>
        <v>0</v>
      </c>
      <c r="H52" s="49">
        <f>IF(Single.Stream!K141=0,0,Single.Stream!K141-$B$45)</f>
        <v>0</v>
      </c>
      <c r="I52" s="49">
        <f>IF(Single.Stream!M141=0,0,Single.Stream!M141-$B$45)</f>
        <v>0</v>
      </c>
    </row>
    <row r="53" spans="1:9" x14ac:dyDescent="0.35">
      <c r="A53" s="49">
        <f>IF(Single.Stream!U142=0,0,Single.Stream!U142-$B$45)</f>
        <v>0</v>
      </c>
      <c r="B53" s="49">
        <f>IF(Single.Stream!S142=0,0,Single.Stream!S142-$B$45)</f>
        <v>0</v>
      </c>
      <c r="C53" s="49">
        <f>IF(Single.Stream!E142=0,0,Single.Stream!E142-$B$45)</f>
        <v>0</v>
      </c>
      <c r="D53" s="49">
        <f>IF(Single.Stream!F142=0,0,Single.Stream!F142-$B$45)</f>
        <v>0</v>
      </c>
      <c r="E53" s="49">
        <f>IF(Single.Stream!G142=0,0,Single.Stream!G142-$B$45)</f>
        <v>0</v>
      </c>
      <c r="F53" s="49">
        <f>IF(Single.Stream!Q142=0,0,Single.Stream!Q142-$B$45)</f>
        <v>0</v>
      </c>
      <c r="G53" s="49">
        <f>IF(Single.Stream!O142=0,0,Single.Stream!O142-$B$45)</f>
        <v>0</v>
      </c>
      <c r="H53" s="49">
        <f>IF(Single.Stream!K142=0,0,Single.Stream!K142-$B$45)</f>
        <v>0</v>
      </c>
      <c r="I53" s="49">
        <f>IF(Single.Stream!M142=0,0,Single.Stream!M142-$B$45)</f>
        <v>0</v>
      </c>
    </row>
    <row r="54" spans="1:9" x14ac:dyDescent="0.35">
      <c r="A54" s="49">
        <f>IF(Single.Stream!U143=0,0,Single.Stream!U143-$B$45)</f>
        <v>0</v>
      </c>
      <c r="B54" s="49">
        <f>IF(Single.Stream!S143=0,0,Single.Stream!S143-$B$45)</f>
        <v>0</v>
      </c>
      <c r="C54" s="49">
        <f>IF(Single.Stream!E143=0,0,Single.Stream!E143-$B$45)</f>
        <v>0</v>
      </c>
      <c r="D54" s="49">
        <f>IF(Single.Stream!F143=0,0,Single.Stream!F143-$B$45)</f>
        <v>0</v>
      </c>
      <c r="E54" s="49">
        <f>IF(Single.Stream!G143=0,0,Single.Stream!G143-$B$45)</f>
        <v>0</v>
      </c>
      <c r="F54" s="49">
        <f>IF(Single.Stream!Q143=0,0,Single.Stream!Q143-$B$45)</f>
        <v>0</v>
      </c>
      <c r="G54" s="49">
        <f>IF(Single.Stream!O143=0,0,Single.Stream!O143-$B$45)</f>
        <v>0</v>
      </c>
      <c r="H54" s="49">
        <f>IF(Single.Stream!K143=0,0,Single.Stream!K143-$B$45)</f>
        <v>0</v>
      </c>
      <c r="I54" s="49">
        <f>IF(Single.Stream!M143=0,0,Single.Stream!M143-$B$45)</f>
        <v>0</v>
      </c>
    </row>
    <row r="55" spans="1:9" x14ac:dyDescent="0.35">
      <c r="A55" s="49">
        <f>IF(Single.Stream!U144=0,0,Single.Stream!U144-$B$45)</f>
        <v>0</v>
      </c>
      <c r="B55" s="49">
        <f>IF(Single.Stream!S144=0,0,Single.Stream!S144-$B$45)</f>
        <v>0</v>
      </c>
      <c r="C55" s="49">
        <f>IF(Single.Stream!E144=0,0,Single.Stream!E144-$B$45)</f>
        <v>0</v>
      </c>
      <c r="D55" s="49">
        <f>IF(Single.Stream!F144=0,0,Single.Stream!F144-$B$45)</f>
        <v>0</v>
      </c>
      <c r="E55" s="49">
        <f>IF(Single.Stream!G144=0,0,Single.Stream!G144-$B$45)</f>
        <v>0</v>
      </c>
      <c r="F55" s="49">
        <f>IF(Single.Stream!Q144=0,0,Single.Stream!Q144-$B$45)</f>
        <v>0</v>
      </c>
      <c r="G55" s="49">
        <f>IF(Single.Stream!O144=0,0,Single.Stream!O144-$B$45)</f>
        <v>0</v>
      </c>
      <c r="H55" s="49">
        <f>IF(Single.Stream!K144=0,0,Single.Stream!K144-$B$45)</f>
        <v>0</v>
      </c>
      <c r="I55" s="49">
        <f>IF(Single.Stream!M144=0,0,Single.Stream!M144-$B$45)</f>
        <v>0</v>
      </c>
    </row>
    <row r="56" spans="1:9" x14ac:dyDescent="0.35">
      <c r="A56" s="49">
        <f>IF(Single.Stream!U145=0,0,Single.Stream!U145-$B$45)</f>
        <v>0</v>
      </c>
      <c r="B56" s="49">
        <f>IF(Single.Stream!S145=0,0,Single.Stream!S145-$B$45)</f>
        <v>0</v>
      </c>
      <c r="C56" s="49">
        <f>IF(Single.Stream!E145=0,0,Single.Stream!E145-$B$45)</f>
        <v>0</v>
      </c>
      <c r="D56" s="49">
        <f>IF(Single.Stream!F145=0,0,Single.Stream!F145-$B$45)</f>
        <v>0.6</v>
      </c>
      <c r="E56" s="49">
        <f>IF(Single.Stream!G145=0,0,Single.Stream!G145-$B$45)</f>
        <v>0.66</v>
      </c>
      <c r="F56" s="49">
        <f>IF(Single.Stream!Q145=0,0,Single.Stream!Q145-$B$45)</f>
        <v>0</v>
      </c>
      <c r="G56" s="49">
        <f>IF(Single.Stream!O145=0,0,Single.Stream!O145-$B$45)</f>
        <v>0</v>
      </c>
      <c r="H56" s="49">
        <f>IF(Single.Stream!K145=0,0,Single.Stream!K145-$B$45)</f>
        <v>0</v>
      </c>
      <c r="I56" s="49">
        <f>IF(Single.Stream!M145=0,0,Single.Stream!M145-$B$45)</f>
        <v>0</v>
      </c>
    </row>
    <row r="57" spans="1:9" x14ac:dyDescent="0.35">
      <c r="A57" s="49">
        <f>IF(Single.Stream!U146=0,0,Single.Stream!U146-$B$45)</f>
        <v>0</v>
      </c>
      <c r="B57" s="49">
        <f>IF(Single.Stream!S146=0,0,Single.Stream!S146-$B$45)</f>
        <v>0</v>
      </c>
      <c r="C57" s="49">
        <f>IF(Single.Stream!E146=0,0,Single.Stream!E146-$B$45)</f>
        <v>0.44999999999999996</v>
      </c>
      <c r="D57" s="49">
        <f>IF(Single.Stream!F146=0,0,Single.Stream!F146-$B$45)</f>
        <v>0.6</v>
      </c>
      <c r="E57" s="49">
        <f>IF(Single.Stream!G146=0,0,Single.Stream!G146-$B$45)</f>
        <v>0.66</v>
      </c>
      <c r="F57" s="49">
        <f>IF(Single.Stream!Q146=0,0,Single.Stream!Q146-$B$45)</f>
        <v>0</v>
      </c>
      <c r="G57" s="49">
        <f>IF(Single.Stream!O146=0,0,Single.Stream!O146-$B$45)</f>
        <v>0</v>
      </c>
      <c r="H57" s="49">
        <f>IF(Single.Stream!K146=0,0,Single.Stream!K146-$B$45)</f>
        <v>0</v>
      </c>
      <c r="I57" s="49">
        <f>IF(Single.Stream!M146=0,0,Single.Stream!M146-$B$45)</f>
        <v>0</v>
      </c>
    </row>
    <row r="58" spans="1:9" x14ac:dyDescent="0.35">
      <c r="A58" s="49">
        <f>IF(Single.Stream!U147=0,0,Single.Stream!U147-$B$45)</f>
        <v>0</v>
      </c>
      <c r="B58" s="49">
        <f>IF(Single.Stream!S147=0,0,Single.Stream!S147-$B$45)</f>
        <v>0</v>
      </c>
      <c r="C58" s="49">
        <f>IF(Single.Stream!E147=0,0,Single.Stream!E147-$B$45)</f>
        <v>0</v>
      </c>
      <c r="D58" s="49">
        <f>IF(Single.Stream!F147=0,0,Single.Stream!F147-$B$45)</f>
        <v>0.6</v>
      </c>
      <c r="E58" s="49">
        <f>IF(Single.Stream!G147=0,0,Single.Stream!G147-$B$45)</f>
        <v>0.66</v>
      </c>
      <c r="F58" s="49">
        <f>IF(Single.Stream!Q147=0,0,Single.Stream!Q147-$B$45)</f>
        <v>0</v>
      </c>
      <c r="G58" s="49">
        <f>IF(Single.Stream!O147=0,0,Single.Stream!O147-$B$45)</f>
        <v>0</v>
      </c>
      <c r="H58" s="49">
        <f>IF(Single.Stream!K147=0,0,Single.Stream!K147-$B$45)</f>
        <v>0</v>
      </c>
      <c r="I58" s="49">
        <f>IF(Single.Stream!M147=0,0,Single.Stream!M147-$B$45)</f>
        <v>0</v>
      </c>
    </row>
    <row r="59" spans="1:9" x14ac:dyDescent="0.35">
      <c r="A59" s="49">
        <f>IF(Single.Stream!U148=0,0,Single.Stream!U148-$B$45)</f>
        <v>0</v>
      </c>
      <c r="B59" s="49">
        <f>IF(Single.Stream!S148=0,0,Single.Stream!S148-$B$45)</f>
        <v>0</v>
      </c>
      <c r="C59" s="49">
        <f>IF(Single.Stream!E148=0,0,Single.Stream!E148-$B$45)</f>
        <v>0</v>
      </c>
      <c r="D59" s="49">
        <f>IF(Single.Stream!F148=0,0,Single.Stream!F148-$B$45)</f>
        <v>0.6</v>
      </c>
      <c r="E59" s="49">
        <f>IF(Single.Stream!G148=0,0,Single.Stream!G148-$B$45)</f>
        <v>0.66</v>
      </c>
      <c r="F59" s="49">
        <f>IF(Single.Stream!Q148=0,0,Single.Stream!Q148-$B$45)</f>
        <v>0</v>
      </c>
      <c r="G59" s="49">
        <f>IF(Single.Stream!O148=0,0,Single.Stream!O148-$B$45)</f>
        <v>0</v>
      </c>
      <c r="H59" s="49">
        <f>IF(Single.Stream!K148=0,0,Single.Stream!K148-$B$45)</f>
        <v>0</v>
      </c>
      <c r="I59" s="49">
        <f>IF(Single.Stream!M148=0,0,Single.Stream!M148-$B$45)</f>
        <v>0</v>
      </c>
    </row>
    <row r="60" spans="1:9" x14ac:dyDescent="0.35">
      <c r="A60" s="49">
        <f>IF(Single.Stream!U149=0,0,Single.Stream!U149-$B$45)</f>
        <v>0</v>
      </c>
      <c r="B60" s="49">
        <f>IF(Single.Stream!S149=0,0,Single.Stream!S149-$B$45)</f>
        <v>0</v>
      </c>
      <c r="C60" s="49">
        <f>IF(Single.Stream!E149=0,0,Single.Stream!E149-$B$45)</f>
        <v>0</v>
      </c>
      <c r="D60" s="49">
        <f>IF(Single.Stream!F149=0,0,Single.Stream!F149-$B$45)</f>
        <v>0.6</v>
      </c>
      <c r="E60" s="49">
        <f>IF(Single.Stream!G149=0,0,Single.Stream!G149-$B$45)</f>
        <v>0.66</v>
      </c>
      <c r="F60" s="49">
        <f>IF(Single.Stream!Q149=0,0,Single.Stream!Q149-$B$45)</f>
        <v>0</v>
      </c>
      <c r="G60" s="49">
        <f>IF(Single.Stream!O149=0,0,Single.Stream!O149-$B$45)</f>
        <v>0</v>
      </c>
      <c r="H60" s="49">
        <f>IF(Single.Stream!K149=0,0,Single.Stream!K149-$B$45)</f>
        <v>0</v>
      </c>
      <c r="I60" s="49">
        <f>IF(Single.Stream!M149=0,0,Single.Stream!M149-$B$45)</f>
        <v>0</v>
      </c>
    </row>
    <row r="61" spans="1:9" x14ac:dyDescent="0.35">
      <c r="A61" s="49">
        <f>IF(Single.Stream!U150=0,0,Single.Stream!U150-$B$45)</f>
        <v>0</v>
      </c>
      <c r="B61" s="49">
        <f>IF(Single.Stream!S150=0,0,Single.Stream!S150-$B$45)</f>
        <v>0</v>
      </c>
      <c r="C61" s="49">
        <f>IF(Single.Stream!E150=0,0,Single.Stream!E150-$B$45)</f>
        <v>0</v>
      </c>
      <c r="D61" s="49">
        <f>IF(Single.Stream!F150=0,0,Single.Stream!F150-$B$45)</f>
        <v>0.6</v>
      </c>
      <c r="E61" s="49">
        <f>IF(Single.Stream!G150=0,0,Single.Stream!G150-$B$45)</f>
        <v>0.66</v>
      </c>
      <c r="F61" s="49">
        <f>IF(Single.Stream!Q150=0,0,Single.Stream!Q150-$B$45)</f>
        <v>0</v>
      </c>
      <c r="G61" s="49">
        <f>IF(Single.Stream!O150=0,0,Single.Stream!O150-$B$45)</f>
        <v>0</v>
      </c>
      <c r="H61" s="49">
        <f>IF(Single.Stream!K150=0,0,Single.Stream!K150-$B$45)</f>
        <v>0</v>
      </c>
      <c r="I61" s="49">
        <f>IF(Single.Stream!M150=0,0,Single.Stream!M150-$B$45)</f>
        <v>0</v>
      </c>
    </row>
    <row r="62" spans="1:9" x14ac:dyDescent="0.35">
      <c r="A62" s="49">
        <f>IF(Single.Stream!U151=0,0,Single.Stream!U151-$B$45)</f>
        <v>0</v>
      </c>
      <c r="B62" s="49">
        <f>IF(Single.Stream!S151=0,0,Single.Stream!S151-$B$45)</f>
        <v>0</v>
      </c>
      <c r="C62" s="49">
        <f>IF(Single.Stream!E151=0,0,Single.Stream!E151-$B$45)</f>
        <v>0</v>
      </c>
      <c r="D62" s="49">
        <f>IF(Single.Stream!F151=0,0,Single.Stream!F151-$B$45)</f>
        <v>0.6</v>
      </c>
      <c r="E62" s="49">
        <f>IF(Single.Stream!G151=0,0,Single.Stream!G151-$B$45)</f>
        <v>0.66</v>
      </c>
      <c r="F62" s="49">
        <f>IF(Single.Stream!Q151=0,0,Single.Stream!Q151-$B$45)</f>
        <v>0</v>
      </c>
      <c r="G62" s="49">
        <f>IF(Single.Stream!O151=0,0,Single.Stream!O151-$B$45)</f>
        <v>0</v>
      </c>
      <c r="H62" s="49">
        <f>IF(Single.Stream!K151=0,0,Single.Stream!K151-$B$45)</f>
        <v>0</v>
      </c>
      <c r="I62" s="49">
        <f>IF(Single.Stream!M151=0,0,Single.Stream!M151-$B$45)</f>
        <v>0</v>
      </c>
    </row>
    <row r="63" spans="1:9" x14ac:dyDescent="0.35">
      <c r="A63" s="49">
        <f>IF(Single.Stream!U152=0,0,Single.Stream!U152-$B$45)</f>
        <v>0</v>
      </c>
      <c r="B63" s="49">
        <f>IF(Single.Stream!S152=0,0,Single.Stream!S152-$B$45)</f>
        <v>0</v>
      </c>
      <c r="C63" s="49">
        <f>IF(Single.Stream!E152=0,0,Single.Stream!E152-$B$45)</f>
        <v>0</v>
      </c>
      <c r="D63" s="49">
        <f>IF(Single.Stream!F152=0,0,Single.Stream!F152-$B$45)</f>
        <v>0.6</v>
      </c>
      <c r="E63" s="49">
        <f>IF(Single.Stream!G152=0,0,Single.Stream!G152-$B$45)</f>
        <v>0.66</v>
      </c>
      <c r="F63" s="49">
        <f>IF(Single.Stream!Q152=0,0,Single.Stream!Q152-$B$45)</f>
        <v>0</v>
      </c>
      <c r="G63" s="49">
        <f>IF(Single.Stream!O152=0,0,Single.Stream!O152-$B$45)</f>
        <v>0</v>
      </c>
      <c r="H63" s="49">
        <f>IF(Single.Stream!K152=0,0,Single.Stream!K152-$B$45)</f>
        <v>0</v>
      </c>
      <c r="I63" s="49">
        <f>IF(Single.Stream!M152=0,0,Single.Stream!M152-$B$45)</f>
        <v>0</v>
      </c>
    </row>
    <row r="64" spans="1:9" x14ac:dyDescent="0.35">
      <c r="A64" s="49">
        <f>IF(Single.Stream!U153=0,0,Single.Stream!U153-$B$45)</f>
        <v>0</v>
      </c>
      <c r="B64" s="49">
        <f>IF(Single.Stream!S153=0,0,Single.Stream!S153-$B$45)</f>
        <v>0</v>
      </c>
      <c r="C64" s="49">
        <f>IF(Single.Stream!E153=0,0,Single.Stream!E153-$B$45)</f>
        <v>0</v>
      </c>
      <c r="D64" s="49">
        <f>IF(Single.Stream!F153=0,0,Single.Stream!F153-$B$45)</f>
        <v>0</v>
      </c>
      <c r="E64" s="49">
        <f>IF(Single.Stream!G153=0,0,Single.Stream!G153-$B$45)</f>
        <v>0</v>
      </c>
      <c r="F64" s="49">
        <f>IF(Single.Stream!Q153=0,0,Single.Stream!Q153-$B$45)</f>
        <v>0</v>
      </c>
      <c r="G64" s="49">
        <f>IF(Single.Stream!O153=0,0,Single.Stream!O153-$B$45)</f>
        <v>0</v>
      </c>
      <c r="H64" s="49">
        <f>IF(Single.Stream!K153=0,0,Single.Stream!K153-$B$45)</f>
        <v>0</v>
      </c>
      <c r="I64" s="49">
        <f>IF(Single.Stream!M153=0,0,Single.Stream!M153-$B$45)</f>
        <v>0</v>
      </c>
    </row>
    <row r="65" spans="1:9" x14ac:dyDescent="0.35">
      <c r="A65" s="49">
        <f>IF(Single.Stream!U154=0,0,Single.Stream!U154-$B$45)</f>
        <v>0</v>
      </c>
      <c r="B65" s="49">
        <f>IF(Single.Stream!S154=0,0,Single.Stream!S154-$B$45)</f>
        <v>0</v>
      </c>
      <c r="C65" s="49">
        <f>IF(Single.Stream!E154=0,0,Single.Stream!E154-$B$45)</f>
        <v>0</v>
      </c>
      <c r="D65" s="49">
        <f>IF(Single.Stream!F154=0,0,Single.Stream!F154-$B$45)</f>
        <v>0</v>
      </c>
      <c r="E65" s="49">
        <f>IF(Single.Stream!G154=0,0,Single.Stream!G154-$B$45)</f>
        <v>0</v>
      </c>
      <c r="F65" s="49">
        <f>IF(Single.Stream!Q154=0,0,Single.Stream!Q154-$B$45)</f>
        <v>0.73</v>
      </c>
      <c r="G65" s="49">
        <f>IF(Single.Stream!O154=0,0,Single.Stream!O154-$B$45)</f>
        <v>0</v>
      </c>
      <c r="H65" s="49">
        <f>IF(Single.Stream!K154=0,0,Single.Stream!K154-$B$45)</f>
        <v>-0.2</v>
      </c>
      <c r="I65" s="49">
        <f>IF(Single.Stream!M154=0,0,Single.Stream!M154-$B$45)</f>
        <v>0</v>
      </c>
    </row>
    <row r="66" spans="1:9" x14ac:dyDescent="0.35">
      <c r="A66" s="49">
        <f>IF(Single.Stream!U155=0,0,Single.Stream!U155-$B$45)</f>
        <v>0</v>
      </c>
      <c r="B66" s="49">
        <f>IF(Single.Stream!S155=0,0,Single.Stream!S155-$B$45)</f>
        <v>0</v>
      </c>
      <c r="C66" s="49">
        <f>IF(Single.Stream!E155=0,0,Single.Stream!E155-$B$45)</f>
        <v>0</v>
      </c>
      <c r="D66" s="49">
        <f>IF(Single.Stream!F155=0,0,Single.Stream!F155-$B$45)</f>
        <v>0</v>
      </c>
      <c r="E66" s="49">
        <f>IF(Single.Stream!G155=0,0,Single.Stream!G155-$B$45)</f>
        <v>0</v>
      </c>
      <c r="F66" s="49">
        <f>IF(Single.Stream!Q155=0,0,Single.Stream!Q155-$B$45)</f>
        <v>0.73</v>
      </c>
      <c r="G66" s="49">
        <f>IF(Single.Stream!O155=0,0,Single.Stream!O155-$B$45)</f>
        <v>0</v>
      </c>
      <c r="H66" s="49">
        <f>IF(Single.Stream!K155=0,0,Single.Stream!K155-$B$45)</f>
        <v>-0.2</v>
      </c>
      <c r="I66" s="49">
        <f>IF(Single.Stream!M155=0,0,Single.Stream!M155-$B$45)</f>
        <v>0</v>
      </c>
    </row>
    <row r="67" spans="1:9" x14ac:dyDescent="0.35">
      <c r="A67" s="49">
        <f>IF(Single.Stream!U156=0,0,Single.Stream!U156-$B$45)</f>
        <v>0</v>
      </c>
      <c r="B67" s="49">
        <f>IF(Single.Stream!S156=0,0,Single.Stream!S156-$B$45)</f>
        <v>0</v>
      </c>
      <c r="C67" s="49">
        <f>IF(Single.Stream!E156=0,0,Single.Stream!E156-$B$45)</f>
        <v>0</v>
      </c>
      <c r="D67" s="49">
        <f>IF(Single.Stream!F156=0,0,Single.Stream!F156-$B$45)</f>
        <v>0</v>
      </c>
      <c r="E67" s="49">
        <f>IF(Single.Stream!G156=0,0,Single.Stream!G156-$B$45)</f>
        <v>0</v>
      </c>
      <c r="F67" s="49">
        <f>IF(Single.Stream!Q156=0,0,Single.Stream!Q156-$B$45)</f>
        <v>0</v>
      </c>
      <c r="G67" s="49">
        <f>IF(Single.Stream!O156=0,0,Single.Stream!O156-$B$45)</f>
        <v>0.73</v>
      </c>
      <c r="H67" s="49">
        <f>IF(Single.Stream!K156=0,0,Single.Stream!K156-$B$45)</f>
        <v>-0.2</v>
      </c>
      <c r="I67" s="49">
        <f>IF(Single.Stream!M156=0,0,Single.Stream!M156-$B$45)</f>
        <v>0</v>
      </c>
    </row>
    <row r="68" spans="1:9" x14ac:dyDescent="0.35">
      <c r="A68" s="49">
        <f>IF(Single.Stream!U157=0,0,Single.Stream!U157-$B$45)</f>
        <v>0</v>
      </c>
      <c r="B68" s="49">
        <f>IF(Single.Stream!S157=0,0,Single.Stream!S157-$B$45)</f>
        <v>0</v>
      </c>
      <c r="C68" s="49">
        <f>IF(Single.Stream!E157=0,0,Single.Stream!E157-$B$45)</f>
        <v>0</v>
      </c>
      <c r="D68" s="49">
        <f>IF(Single.Stream!F157=0,0,Single.Stream!F157-$B$45)</f>
        <v>0</v>
      </c>
      <c r="E68" s="49">
        <f>IF(Single.Stream!G157=0,0,Single.Stream!G157-$B$45)</f>
        <v>0</v>
      </c>
      <c r="F68" s="49">
        <f>IF(Single.Stream!Q157=0,0,Single.Stream!Q157-$B$45)</f>
        <v>0</v>
      </c>
      <c r="G68" s="49">
        <f>IF(Single.Stream!O157=0,0,Single.Stream!O157-$B$45)</f>
        <v>0</v>
      </c>
      <c r="H68" s="49">
        <f>IF(Single.Stream!K157=0,0,Single.Stream!K157-$B$45)</f>
        <v>-0.2</v>
      </c>
      <c r="I68" s="49">
        <f>IF(Single.Stream!M157=0,0,Single.Stream!M157-$B$45)</f>
        <v>0</v>
      </c>
    </row>
    <row r="69" spans="1:9" x14ac:dyDescent="0.35">
      <c r="A69" s="49">
        <f>IF(Single.Stream!U158=0,0,Single.Stream!U158-$B$45)</f>
        <v>0</v>
      </c>
      <c r="B69" s="49">
        <f>IF(Single.Stream!S158=0,0,Single.Stream!S158-$B$45)</f>
        <v>0</v>
      </c>
      <c r="C69" s="49">
        <f>IF(Single.Stream!E158=0,0,Single.Stream!E158-$B$45)</f>
        <v>0</v>
      </c>
      <c r="D69" s="49">
        <f>IF(Single.Stream!F158=0,0,Single.Stream!F158-$B$45)</f>
        <v>0</v>
      </c>
      <c r="E69" s="49">
        <f>IF(Single.Stream!G158=0,0,Single.Stream!G158-$B$45)</f>
        <v>0</v>
      </c>
      <c r="F69" s="49">
        <f>IF(Single.Stream!Q158=0,0,Single.Stream!Q158-$B$45)</f>
        <v>0</v>
      </c>
      <c r="G69" s="49">
        <f>IF(Single.Stream!O158=0,0,Single.Stream!O158-$B$45)</f>
        <v>0</v>
      </c>
      <c r="H69" s="49">
        <f>IF(Single.Stream!K158=0,0,Single.Stream!K158-$B$45)</f>
        <v>-0.2</v>
      </c>
      <c r="I69" s="49">
        <f>IF(Single.Stream!M158=0,0,Single.Stream!M158-$B$45)</f>
        <v>0</v>
      </c>
    </row>
    <row r="70" spans="1:9" x14ac:dyDescent="0.35">
      <c r="A70" s="49">
        <f>IF(Single.Stream!U159=0,0,Single.Stream!U159-$B$45)</f>
        <v>0</v>
      </c>
      <c r="B70" s="49">
        <f>IF(Single.Stream!S159=0,0,Single.Stream!S159-$B$45)</f>
        <v>0</v>
      </c>
      <c r="C70" s="49">
        <f>IF(Single.Stream!E159=0,0,Single.Stream!E159-$B$45)</f>
        <v>0</v>
      </c>
      <c r="D70" s="49">
        <f>IF(Single.Stream!F159=0,0,Single.Stream!F159-$B$45)</f>
        <v>0</v>
      </c>
      <c r="E70" s="49">
        <f>IF(Single.Stream!G159=0,0,Single.Stream!G159-$B$45)</f>
        <v>0</v>
      </c>
      <c r="F70" s="49">
        <f>IF(Single.Stream!Q159=0,0,Single.Stream!Q159-$B$45)</f>
        <v>0</v>
      </c>
      <c r="G70" s="49">
        <f>IF(Single.Stream!O159=0,0,Single.Stream!O159-$B$45)</f>
        <v>0</v>
      </c>
      <c r="H70" s="49">
        <f>IF(Single.Stream!K159=0,0,Single.Stream!K159-$B$45)</f>
        <v>-0.2</v>
      </c>
      <c r="I70" s="49">
        <f>IF(Single.Stream!M159=0,0,Single.Stream!M159-$B$45)</f>
        <v>0</v>
      </c>
    </row>
    <row r="71" spans="1:9" x14ac:dyDescent="0.35">
      <c r="A71" s="49">
        <f>IF(Single.Stream!U160=0,0,Single.Stream!U160-$B$45)</f>
        <v>0</v>
      </c>
      <c r="B71" s="49">
        <f>IF(Single.Stream!S160=0,0,Single.Stream!S160-$B$45)</f>
        <v>0</v>
      </c>
      <c r="C71" s="49">
        <f>IF(Single.Stream!E160=0,0,Single.Stream!E160-$B$45)</f>
        <v>0</v>
      </c>
      <c r="D71" s="49">
        <f>IF(Single.Stream!F160=0,0,Single.Stream!F160-$B$45)</f>
        <v>0</v>
      </c>
      <c r="E71" s="49">
        <f>IF(Single.Stream!G160=0,0,Single.Stream!G160-$B$45)</f>
        <v>0</v>
      </c>
      <c r="F71" s="49">
        <f>IF(Single.Stream!Q160=0,0,Single.Stream!Q160-$B$45)</f>
        <v>0</v>
      </c>
      <c r="G71" s="49">
        <f>IF(Single.Stream!O160=0,0,Single.Stream!O160-$B$45)</f>
        <v>0</v>
      </c>
      <c r="H71" s="49">
        <f>IF(Single.Stream!K160=0,0,Single.Stream!K160-$B$45)</f>
        <v>0</v>
      </c>
      <c r="I71" s="49">
        <f>IF(Single.Stream!M160=0,0,Single.Stream!M160-$B$45)</f>
        <v>0</v>
      </c>
    </row>
    <row r="72" spans="1:9" x14ac:dyDescent="0.35">
      <c r="A72" s="49">
        <f>IF(Single.Stream!U161=0,0,Single.Stream!U161-$B$45)</f>
        <v>0</v>
      </c>
      <c r="B72" s="49">
        <f>IF(Single.Stream!S161=0,0,Single.Stream!S161-$B$45)</f>
        <v>0</v>
      </c>
      <c r="C72" s="49">
        <f>IF(Single.Stream!E161=0,0,Single.Stream!E161-$B$45)</f>
        <v>0</v>
      </c>
      <c r="D72" s="49">
        <f>IF(Single.Stream!F161=0,0,Single.Stream!F161-$B$45)</f>
        <v>0</v>
      </c>
      <c r="E72" s="49">
        <f>IF(Single.Stream!G161=0,0,Single.Stream!G161-$B$45)</f>
        <v>0</v>
      </c>
      <c r="F72" s="49">
        <f>IF(Single.Stream!Q161=0,0,Single.Stream!Q161-$B$45)</f>
        <v>0</v>
      </c>
      <c r="G72" s="49">
        <f>IF(Single.Stream!O161=0,0,Single.Stream!O161-$B$45)</f>
        <v>0</v>
      </c>
      <c r="H72" s="49">
        <f>IF(Single.Stream!K161=0,0,Single.Stream!K161-$B$45)</f>
        <v>0</v>
      </c>
      <c r="I72" s="49">
        <f>IF(Single.Stream!M161=0,0,Single.Stream!M161-$B$45)</f>
        <v>0</v>
      </c>
    </row>
    <row r="73" spans="1:9" x14ac:dyDescent="0.35">
      <c r="A73" s="49">
        <f>IF(Single.Stream!U162=0,0,Single.Stream!U162-$B$45)</f>
        <v>0</v>
      </c>
      <c r="B73" s="49">
        <f>IF(Single.Stream!S162=0,0,Single.Stream!S162-$B$45)</f>
        <v>0.73</v>
      </c>
      <c r="C73" s="49">
        <f>IF(Single.Stream!E162=0,0,Single.Stream!E162-$B$45)</f>
        <v>0</v>
      </c>
      <c r="D73" s="49">
        <f>IF(Single.Stream!F162=0,0,Single.Stream!F162-$B$45)</f>
        <v>0</v>
      </c>
      <c r="E73" s="49">
        <f>IF(Single.Stream!G162=0,0,Single.Stream!G162-$B$45)</f>
        <v>0</v>
      </c>
      <c r="F73" s="49">
        <f>IF(Single.Stream!Q162=0,0,Single.Stream!Q162-$B$45)</f>
        <v>0</v>
      </c>
      <c r="G73" s="49">
        <f>IF(Single.Stream!O162=0,0,Single.Stream!O162-$B$45)</f>
        <v>0</v>
      </c>
      <c r="H73" s="49">
        <f>IF(Single.Stream!K162=0,0,Single.Stream!K162-$B$45)</f>
        <v>0</v>
      </c>
      <c r="I73" s="49">
        <f>IF(Single.Stream!M162=0,0,Single.Stream!M162-$B$45)</f>
        <v>0</v>
      </c>
    </row>
    <row r="74" spans="1:9" x14ac:dyDescent="0.35">
      <c r="A74" s="49">
        <f>IF(Single.Stream!U163=0,0,Single.Stream!U163-$B$45)</f>
        <v>0</v>
      </c>
      <c r="B74" s="49">
        <f>IF(Single.Stream!S163=0,0,Single.Stream!S163-$B$45)</f>
        <v>0.73</v>
      </c>
      <c r="C74" s="49">
        <f>IF(Single.Stream!E163=0,0,Single.Stream!E163-$B$45)</f>
        <v>0</v>
      </c>
      <c r="D74" s="49">
        <f>IF(Single.Stream!F163=0,0,Single.Stream!F163-$B$45)</f>
        <v>0</v>
      </c>
      <c r="E74" s="49">
        <f>IF(Single.Stream!G163=0,0,Single.Stream!G163-$B$45)</f>
        <v>0</v>
      </c>
      <c r="F74" s="49">
        <f>IF(Single.Stream!Q163=0,0,Single.Stream!Q163-$B$45)</f>
        <v>0</v>
      </c>
      <c r="G74" s="49">
        <f>IF(Single.Stream!O163=0,0,Single.Stream!O163-$B$45)</f>
        <v>0</v>
      </c>
      <c r="H74" s="49">
        <f>IF(Single.Stream!K163=0,0,Single.Stream!K163-$B$45)</f>
        <v>0</v>
      </c>
      <c r="I74" s="49">
        <f>IF(Single.Stream!M163=0,0,Single.Stream!M163-$B$45)</f>
        <v>0</v>
      </c>
    </row>
    <row r="75" spans="1:9" x14ac:dyDescent="0.35">
      <c r="A75" s="49">
        <f>IF(Single.Stream!U164=0,0,Single.Stream!U164-$B$45)</f>
        <v>0.72</v>
      </c>
      <c r="B75" s="49">
        <f>IF(Single.Stream!S164=0,0,Single.Stream!S164-$B$45)</f>
        <v>0</v>
      </c>
      <c r="C75" s="49">
        <f>IF(Single.Stream!E164=0,0,Single.Stream!E164-$B$45)</f>
        <v>0</v>
      </c>
      <c r="D75" s="49">
        <f>IF(Single.Stream!F164=0,0,Single.Stream!F164-$B$45)</f>
        <v>0</v>
      </c>
      <c r="E75" s="49">
        <f>IF(Single.Stream!G164=0,0,Single.Stream!G164-$B$45)</f>
        <v>0</v>
      </c>
      <c r="F75" s="49">
        <f>IF(Single.Stream!Q164=0,0,Single.Stream!Q164-$B$45)</f>
        <v>0</v>
      </c>
      <c r="G75" s="49">
        <f>IF(Single.Stream!O164=0,0,Single.Stream!O164-$B$45)</f>
        <v>0</v>
      </c>
      <c r="H75" s="49">
        <f>IF(Single.Stream!K164=0,0,Single.Stream!K164-$B$45)</f>
        <v>0</v>
      </c>
      <c r="I75" s="49">
        <f>IF(Single.Stream!M164=0,0,Single.Stream!M164-$B$45)</f>
        <v>0</v>
      </c>
    </row>
    <row r="76" spans="1:9" x14ac:dyDescent="0.35">
      <c r="A76" s="49">
        <f>IF(Single.Stream!U165=0,0,Single.Stream!U165-$B$45)</f>
        <v>0.72</v>
      </c>
      <c r="B76" s="49">
        <f>IF(Single.Stream!S165=0,0,Single.Stream!S165-$B$45)</f>
        <v>0</v>
      </c>
      <c r="C76" s="49">
        <f>IF(Single.Stream!E165=0,0,Single.Stream!E165-$B$45)</f>
        <v>0</v>
      </c>
      <c r="D76" s="49">
        <f>IF(Single.Stream!F165=0,0,Single.Stream!F165-$B$45)</f>
        <v>0</v>
      </c>
      <c r="E76" s="49">
        <f>IF(Single.Stream!G165=0,0,Single.Stream!G165-$B$45)</f>
        <v>0</v>
      </c>
      <c r="F76" s="49">
        <f>IF(Single.Stream!Q165=0,0,Single.Stream!Q165-$B$45)</f>
        <v>0</v>
      </c>
      <c r="G76" s="49">
        <f>IF(Single.Stream!O165=0,0,Single.Stream!O165-$B$45)</f>
        <v>0</v>
      </c>
      <c r="H76" s="49">
        <f>IF(Single.Stream!K165=0,0,Single.Stream!K165-$B$45)</f>
        <v>0</v>
      </c>
      <c r="I76" s="49">
        <f>IF(Single.Stream!M165=0,0,Single.Stream!M165-$B$45)</f>
        <v>0</v>
      </c>
    </row>
    <row r="77" spans="1:9" x14ac:dyDescent="0.35">
      <c r="A77" s="49">
        <f>IF(Single.Stream!U166=0,0,Single.Stream!U166-$B$45)</f>
        <v>0.72</v>
      </c>
      <c r="B77" s="49">
        <f>IF(Single.Stream!S166=0,0,Single.Stream!S166-$B$45)</f>
        <v>0</v>
      </c>
      <c r="C77" s="49">
        <f>IF(Single.Stream!E166=0,0,Single.Stream!E166-$B$45)</f>
        <v>0</v>
      </c>
      <c r="D77" s="49">
        <f>IF(Single.Stream!F166=0,0,Single.Stream!F166-$B$45)</f>
        <v>0</v>
      </c>
      <c r="E77" s="49">
        <f>IF(Single.Stream!G166=0,0,Single.Stream!G166-$B$45)</f>
        <v>0</v>
      </c>
      <c r="F77" s="49">
        <f>IF(Single.Stream!Q166=0,0,Single.Stream!Q166-$B$45)</f>
        <v>0</v>
      </c>
      <c r="G77" s="49">
        <f>IF(Single.Stream!O166=0,0,Single.Stream!O166-$B$45)</f>
        <v>0</v>
      </c>
      <c r="H77" s="49">
        <f>IF(Single.Stream!K166=0,0,Single.Stream!K166-$B$45)</f>
        <v>0</v>
      </c>
      <c r="I77" s="49">
        <f>IF(Single.Stream!M166=0,0,Single.Stream!M166-$B$45)</f>
        <v>0</v>
      </c>
    </row>
    <row r="78" spans="1:9" x14ac:dyDescent="0.35">
      <c r="A78" s="49">
        <f>IF(Single.Stream!U167=0,0,Single.Stream!U167-$B$45)</f>
        <v>0</v>
      </c>
      <c r="B78" s="49">
        <f>IF(Single.Stream!S167=0,0,Single.Stream!S167-$B$45)</f>
        <v>0.73</v>
      </c>
      <c r="C78" s="49">
        <f>IF(Single.Stream!E167=0,0,Single.Stream!E167-$B$45)</f>
        <v>0</v>
      </c>
      <c r="D78" s="49">
        <f>IF(Single.Stream!F167=0,0,Single.Stream!F167-$B$45)</f>
        <v>0</v>
      </c>
      <c r="E78" s="49">
        <f>IF(Single.Stream!G167=0,0,Single.Stream!G167-$B$45)</f>
        <v>0</v>
      </c>
      <c r="F78" s="49">
        <f>IF(Single.Stream!Q167=0,0,Single.Stream!Q167-$B$45)</f>
        <v>0</v>
      </c>
      <c r="G78" s="49">
        <f>IF(Single.Stream!O167=0,0,Single.Stream!O167-$B$45)</f>
        <v>0</v>
      </c>
      <c r="H78" s="49">
        <f>IF(Single.Stream!K167=0,0,Single.Stream!K167-$B$45)</f>
        <v>0</v>
      </c>
      <c r="I78" s="49">
        <f>IF(Single.Stream!M167=0,0,Single.Stream!M167-$B$45)</f>
        <v>0</v>
      </c>
    </row>
    <row r="79" spans="1:9" x14ac:dyDescent="0.35">
      <c r="A79" s="49">
        <f>IF(Single.Stream!U168=0,0,Single.Stream!U168-$B$45)</f>
        <v>0.72</v>
      </c>
      <c r="B79" s="49">
        <f>IF(Single.Stream!S168=0,0,Single.Stream!S168-$B$45)</f>
        <v>0</v>
      </c>
      <c r="C79" s="49">
        <f>IF(Single.Stream!E168=0,0,Single.Stream!E168-$B$45)</f>
        <v>0</v>
      </c>
      <c r="D79" s="49">
        <f>IF(Single.Stream!F168=0,0,Single.Stream!F168-$B$45)</f>
        <v>0</v>
      </c>
      <c r="E79" s="49">
        <f>IF(Single.Stream!G168=0,0,Single.Stream!G168-$B$45)</f>
        <v>0</v>
      </c>
      <c r="F79" s="49">
        <f>IF(Single.Stream!Q168=0,0,Single.Stream!Q168-$B$45)</f>
        <v>0</v>
      </c>
      <c r="G79" s="49">
        <f>IF(Single.Stream!O168=0,0,Single.Stream!O168-$B$45)</f>
        <v>0</v>
      </c>
      <c r="H79" s="49">
        <f>IF(Single.Stream!K168=0,0,Single.Stream!K168-$B$45)</f>
        <v>0</v>
      </c>
      <c r="I79" s="49">
        <f>IF(Single.Stream!M168=0,0,Single.Stream!M168-$B$45)</f>
        <v>0</v>
      </c>
    </row>
    <row r="80" spans="1:9" x14ac:dyDescent="0.35">
      <c r="A80" s="49">
        <f>IF(Single.Stream!U169=0,0,Single.Stream!U169-$B$45)</f>
        <v>0</v>
      </c>
      <c r="B80" s="49">
        <f>IF(Single.Stream!S169=0,0,Single.Stream!S169-$B$45)</f>
        <v>0</v>
      </c>
      <c r="C80" s="49">
        <f>IF(Single.Stream!E169=0,0,Single.Stream!E169-$B$45)</f>
        <v>0</v>
      </c>
      <c r="D80" s="49">
        <f>IF(Single.Stream!F169=0,0,Single.Stream!F169-$B$45)</f>
        <v>0</v>
      </c>
      <c r="E80" s="49">
        <f>IF(Single.Stream!G169=0,0,Single.Stream!G169-$B$45)</f>
        <v>0</v>
      </c>
      <c r="F80" s="49">
        <f>IF(Single.Stream!Q169=0,0,Single.Stream!Q169-$B$45)</f>
        <v>0</v>
      </c>
      <c r="G80" s="49">
        <f>IF(Single.Stream!O169=0,0,Single.Stream!O169-$B$45)</f>
        <v>0</v>
      </c>
      <c r="H80" s="49">
        <f>IF(Single.Stream!K169=0,0,Single.Stream!K169-$B$45)</f>
        <v>0.72</v>
      </c>
      <c r="I80" s="49">
        <f>IF(Single.Stream!M169=0,0,Single.Stream!M169-$B$45)</f>
        <v>0.73</v>
      </c>
    </row>
    <row r="81" spans="1:17" x14ac:dyDescent="0.35">
      <c r="A81" s="49">
        <f>IF(Single.Stream!U170=0,0,Single.Stream!U170-$B$45)</f>
        <v>0</v>
      </c>
      <c r="B81" s="49">
        <f>IF(Single.Stream!S170=0,0,Single.Stream!S170-$B$45)</f>
        <v>0</v>
      </c>
      <c r="C81" s="49">
        <f>IF(Single.Stream!E170=0,0,Single.Stream!E170-$B$45)</f>
        <v>0</v>
      </c>
      <c r="D81" s="49">
        <f>IF(Single.Stream!F170=0,0,Single.Stream!F170-$B$45)</f>
        <v>0</v>
      </c>
      <c r="E81" s="49">
        <f>IF(Single.Stream!G170=0,0,Single.Stream!G170-$B$45)</f>
        <v>0</v>
      </c>
      <c r="F81" s="49">
        <f>IF(Single.Stream!Q170=0,0,Single.Stream!Q170-$B$45)</f>
        <v>0</v>
      </c>
      <c r="G81" s="49">
        <f>IF(Single.Stream!O170=0,0,Single.Stream!O170-$B$45)</f>
        <v>0</v>
      </c>
      <c r="H81" s="49">
        <f>IF(Single.Stream!K170=0,0,Single.Stream!K170-$B$45)</f>
        <v>0.72</v>
      </c>
      <c r="I81" s="49">
        <f>IF(Single.Stream!M170=0,0,Single.Stream!M170-$B$45)</f>
        <v>0.73</v>
      </c>
    </row>
    <row r="82" spans="1:17" x14ac:dyDescent="0.35">
      <c r="A82" s="49">
        <f>IF(Single.Stream!U171=0,0,Single.Stream!U171-$B$45)</f>
        <v>0</v>
      </c>
      <c r="B82" s="49">
        <f>IF(Single.Stream!S171=0,0,Single.Stream!S171-$B$45)</f>
        <v>0</v>
      </c>
      <c r="C82" s="49">
        <f>IF(Single.Stream!E171=0,0,Single.Stream!E171-$B$45)</f>
        <v>0</v>
      </c>
      <c r="D82" s="49">
        <f>IF(Single.Stream!F171=0,0,Single.Stream!F171-$B$45)</f>
        <v>0</v>
      </c>
      <c r="E82" s="49">
        <f>IF(Single.Stream!G171=0,0,Single.Stream!G171-$B$45)</f>
        <v>0</v>
      </c>
      <c r="F82" s="49">
        <f>IF(Single.Stream!Q171=0,0,Single.Stream!Q171-$B$45)</f>
        <v>0</v>
      </c>
      <c r="G82" s="49">
        <f>IF(Single.Stream!O171=0,0,Single.Stream!O171-$B$45)</f>
        <v>0</v>
      </c>
      <c r="H82" s="49">
        <f>IF(Single.Stream!K171=0,0,Single.Stream!K171-$B$45)</f>
        <v>0.72</v>
      </c>
      <c r="I82" s="49">
        <f>IF(Single.Stream!M171=0,0,Single.Stream!M171-$B$45)</f>
        <v>0.73</v>
      </c>
    </row>
    <row r="83" spans="1:17" x14ac:dyDescent="0.35">
      <c r="A83" s="49">
        <f>IF(Single.Stream!U172=0,0,Single.Stream!U172-$B$45)</f>
        <v>0</v>
      </c>
      <c r="B83" s="49">
        <f>IF(Single.Stream!S172=0,0,Single.Stream!S172-$B$45)</f>
        <v>0</v>
      </c>
      <c r="C83" s="49">
        <f>IF(Single.Stream!E172=0,0,Single.Stream!E172-$B$45)</f>
        <v>0</v>
      </c>
      <c r="D83" s="49">
        <f>IF(Single.Stream!F172=0,0,Single.Stream!F172-$B$45)</f>
        <v>0</v>
      </c>
      <c r="E83" s="49">
        <f>IF(Single.Stream!G172=0,0,Single.Stream!G172-$B$45)</f>
        <v>0</v>
      </c>
      <c r="F83" s="49">
        <f>IF(Single.Stream!Q172=0,0,Single.Stream!Q172-$B$45)</f>
        <v>0</v>
      </c>
      <c r="G83" s="49">
        <f>IF(Single.Stream!O172=0,0,Single.Stream!O172-$B$45)</f>
        <v>0</v>
      </c>
      <c r="H83" s="49">
        <f>IF(Single.Stream!K172=0,0,Single.Stream!K172-$B$45)</f>
        <v>0.72</v>
      </c>
      <c r="I83" s="49">
        <f>IF(Single.Stream!M172=0,0,Single.Stream!M172-$B$45)</f>
        <v>0</v>
      </c>
    </row>
    <row r="84" spans="1:17" x14ac:dyDescent="0.35">
      <c r="A84" s="49">
        <f>IF(Single.Stream!U173=0,0,Single.Stream!U173-$B$45)</f>
        <v>0</v>
      </c>
      <c r="B84" s="49">
        <f>IF(Single.Stream!S173=0,0,Single.Stream!S173-$B$45)</f>
        <v>0</v>
      </c>
      <c r="C84" s="49">
        <f>IF(Single.Stream!E173=0,0,Single.Stream!E173-$B$45)</f>
        <v>0</v>
      </c>
      <c r="D84" s="49">
        <f>IF(Single.Stream!F173=0,0,Single.Stream!F173-$B$45)</f>
        <v>0</v>
      </c>
      <c r="E84" s="49">
        <f>IF(Single.Stream!G173=0,0,Single.Stream!G173-$B$45)</f>
        <v>0</v>
      </c>
      <c r="F84" s="49">
        <f>IF(Single.Stream!Q173=0,0,Single.Stream!Q173-$B$45)</f>
        <v>0</v>
      </c>
      <c r="G84" s="49">
        <f>IF(Single.Stream!O173=0,0,Single.Stream!O173-$B$45)</f>
        <v>0</v>
      </c>
      <c r="H84" s="49">
        <f>IF(Single.Stream!K173=0,0,Single.Stream!K173-$B$45)</f>
        <v>0.72</v>
      </c>
      <c r="I84" s="49">
        <f>IF(Single.Stream!M173=0,0,Single.Stream!M173-$B$45)</f>
        <v>0</v>
      </c>
    </row>
    <row r="85" spans="1:17" x14ac:dyDescent="0.35">
      <c r="A85" s="49">
        <f>IF(Single.Stream!U174=0,0,Single.Stream!U174-$B$45)</f>
        <v>0</v>
      </c>
      <c r="B85" s="49">
        <f>IF(Single.Stream!S174=0,0,Single.Stream!S174-$B$45)</f>
        <v>0</v>
      </c>
      <c r="C85" s="49">
        <f>IF(Single.Stream!E174=0,0,Single.Stream!E174-$B$45)</f>
        <v>0</v>
      </c>
      <c r="D85" s="49">
        <f>IF(Single.Stream!F174=0,0,Single.Stream!F174-$B$45)</f>
        <v>0</v>
      </c>
      <c r="E85" s="49">
        <f>IF(Single.Stream!G174=0,0,Single.Stream!G174-$B$45)</f>
        <v>0</v>
      </c>
      <c r="F85" s="49">
        <f>IF(Single.Stream!Q174=0,0,Single.Stream!Q174-$B$45)</f>
        <v>0</v>
      </c>
      <c r="G85" s="49">
        <f>IF(Single.Stream!O174=0,0,Single.Stream!O174-$B$45)</f>
        <v>0</v>
      </c>
      <c r="H85" s="49">
        <f>IF(Single.Stream!K174=0,0,Single.Stream!K174-$B$45)</f>
        <v>0</v>
      </c>
      <c r="I85" s="49">
        <f>IF(Single.Stream!M174=0,0,Single.Stream!M174-$B$45)</f>
        <v>0</v>
      </c>
    </row>
    <row r="86" spans="1:17" x14ac:dyDescent="0.35">
      <c r="A86" s="49">
        <f>IF(Single.Stream!U175=0,0,Single.Stream!U175-$B$45)</f>
        <v>0</v>
      </c>
      <c r="B86" s="49">
        <f>IF(Single.Stream!S175=0,0,Single.Stream!S175-$B$45)</f>
        <v>0</v>
      </c>
      <c r="C86" s="49">
        <f>IF(Single.Stream!E175=0,0,Single.Stream!E175-$B$45)</f>
        <v>0</v>
      </c>
      <c r="D86" s="49">
        <f>IF(Single.Stream!F175=0,0,Single.Stream!F175-$B$45)</f>
        <v>0</v>
      </c>
      <c r="E86" s="49">
        <f>IF(Single.Stream!G175=0,0,Single.Stream!G175-$B$45)</f>
        <v>0</v>
      </c>
      <c r="F86" s="49">
        <f>IF(Single.Stream!Q175=0,0,Single.Stream!Q175-$B$45)</f>
        <v>0</v>
      </c>
      <c r="G86" s="49">
        <f>IF(Single.Stream!O175=0,0,Single.Stream!O175-$B$45)</f>
        <v>0</v>
      </c>
      <c r="H86" s="49">
        <f>IF(Single.Stream!K175=0,0,Single.Stream!K175-$B$45)</f>
        <v>0</v>
      </c>
      <c r="I86" s="49">
        <f>IF(Single.Stream!M175=0,0,Single.Stream!M175-$B$45)</f>
        <v>0</v>
      </c>
    </row>
    <row r="87" spans="1:17" x14ac:dyDescent="0.35">
      <c r="A87" s="69">
        <f>IF(Single.Stream!U176=0,0,Single.Stream!U176-$B$45)</f>
        <v>0</v>
      </c>
      <c r="B87" s="69">
        <f>IF(Single.Stream!S176=0,0,Single.Stream!S176-$B$45)</f>
        <v>0</v>
      </c>
      <c r="C87" s="69">
        <f>IF(Single.Stream!E176=0,0,Single.Stream!E176-$B$45)</f>
        <v>0</v>
      </c>
      <c r="D87" s="69">
        <f>IF(Single.Stream!F176=0,0,Single.Stream!F176-$B$45)</f>
        <v>0</v>
      </c>
      <c r="E87" s="69">
        <f>IF(Single.Stream!G176=0,0,Single.Stream!G176-$B$45)</f>
        <v>0</v>
      </c>
      <c r="F87" s="69">
        <f>IF(Single.Stream!Q176=0,0,Single.Stream!Q176-$B$45)</f>
        <v>0</v>
      </c>
      <c r="G87" s="69">
        <f>IF(Single.Stream!O176=0,0,Single.Stream!O176-$B$45)</f>
        <v>0</v>
      </c>
      <c r="H87" s="69">
        <f>IF(Single.Stream!K176=0,0,Single.Stream!K176-$B$45)</f>
        <v>0</v>
      </c>
      <c r="I87" s="69">
        <f>IF(Single.Stream!M176=0,0,Single.Stream!M176-$B$45)</f>
        <v>0</v>
      </c>
    </row>
    <row r="89" spans="1:17" x14ac:dyDescent="0.35">
      <c r="A89" t="s">
        <v>515</v>
      </c>
    </row>
    <row r="90" spans="1:17" x14ac:dyDescent="0.35">
      <c r="A90" s="2" t="s">
        <v>20</v>
      </c>
    </row>
    <row r="91" spans="1:17" s="16" customFormat="1" ht="58" x14ac:dyDescent="0.35">
      <c r="B91" s="125" t="s">
        <v>11</v>
      </c>
      <c r="C91" s="125" t="s">
        <v>166</v>
      </c>
      <c r="D91" s="125" t="s">
        <v>65</v>
      </c>
      <c r="E91" s="126" t="s">
        <v>167</v>
      </c>
      <c r="F91" s="125" t="s">
        <v>57</v>
      </c>
      <c r="G91" s="126" t="s">
        <v>171</v>
      </c>
      <c r="H91" s="127" t="s">
        <v>58</v>
      </c>
      <c r="I91" s="125" t="s">
        <v>59</v>
      </c>
      <c r="J91" s="126" t="s">
        <v>162</v>
      </c>
      <c r="K91" s="125" t="s">
        <v>163</v>
      </c>
      <c r="L91" s="126" t="s">
        <v>78</v>
      </c>
      <c r="M91" s="125" t="s">
        <v>168</v>
      </c>
      <c r="N91" s="125" t="s">
        <v>64</v>
      </c>
      <c r="O91" s="125" t="s">
        <v>169</v>
      </c>
      <c r="P91" s="125" t="s">
        <v>63</v>
      </c>
      <c r="Q91" s="125" t="s">
        <v>170</v>
      </c>
    </row>
    <row r="92" spans="1:17" x14ac:dyDescent="0.35">
      <c r="A92" t="s">
        <v>388</v>
      </c>
      <c r="B92" s="68"/>
      <c r="C92" s="68"/>
      <c r="D92" s="68"/>
      <c r="E92" s="68"/>
      <c r="F92" s="68"/>
      <c r="G92" s="154"/>
      <c r="H92" s="68"/>
      <c r="I92" s="68"/>
      <c r="J92" s="68"/>
      <c r="K92" s="154"/>
      <c r="L92" s="68"/>
      <c r="M92" s="155"/>
      <c r="N92" s="68"/>
      <c r="O92" s="68"/>
      <c r="P92" s="68"/>
      <c r="Q92" s="68"/>
    </row>
    <row r="93" spans="1:17" x14ac:dyDescent="0.35">
      <c r="A93" t="s">
        <v>389</v>
      </c>
      <c r="B93" s="50"/>
      <c r="C93" s="49"/>
      <c r="D93" s="49"/>
      <c r="E93" s="49"/>
      <c r="F93" s="49"/>
      <c r="G93" s="73"/>
      <c r="H93" s="49"/>
      <c r="I93" s="49"/>
      <c r="J93" s="49"/>
      <c r="K93" s="71"/>
      <c r="L93" s="49"/>
      <c r="M93" s="50"/>
      <c r="N93" s="49"/>
      <c r="O93" s="49"/>
      <c r="P93" s="50"/>
      <c r="Q93" s="49"/>
    </row>
    <row r="94" spans="1:17" x14ac:dyDescent="0.35">
      <c r="A94" t="s">
        <v>390</v>
      </c>
      <c r="B94" s="50"/>
      <c r="C94" s="49"/>
      <c r="D94" s="49"/>
      <c r="E94" s="49"/>
      <c r="F94" s="49"/>
      <c r="G94" s="73"/>
      <c r="H94" s="49"/>
      <c r="I94" s="49"/>
      <c r="J94" s="49"/>
      <c r="K94" s="71"/>
      <c r="L94" s="49"/>
      <c r="M94" s="50"/>
      <c r="N94" s="49"/>
      <c r="O94" s="49"/>
      <c r="P94" s="50"/>
      <c r="Q94" s="49"/>
    </row>
    <row r="95" spans="1:17" x14ac:dyDescent="0.35">
      <c r="A95" t="s">
        <v>391</v>
      </c>
      <c r="B95" s="50"/>
      <c r="C95" s="49"/>
      <c r="D95" s="49"/>
      <c r="E95" s="49"/>
      <c r="F95" s="49"/>
      <c r="G95" s="73"/>
      <c r="H95" s="49"/>
      <c r="I95" s="49"/>
      <c r="J95" s="49"/>
      <c r="K95" s="71"/>
      <c r="L95" s="49"/>
      <c r="M95" s="50"/>
      <c r="N95" s="49"/>
      <c r="O95" s="49"/>
      <c r="P95" s="50"/>
      <c r="Q95" s="49"/>
    </row>
    <row r="96" spans="1:17" x14ac:dyDescent="0.35">
      <c r="A96" t="s">
        <v>392</v>
      </c>
      <c r="B96" s="50"/>
      <c r="C96" s="49"/>
      <c r="D96" s="49"/>
      <c r="E96" s="49"/>
      <c r="F96" s="49"/>
      <c r="G96" s="73"/>
      <c r="H96" s="49"/>
      <c r="I96" s="49"/>
      <c r="J96" s="49"/>
      <c r="K96" s="71"/>
      <c r="L96" s="49"/>
      <c r="M96" s="50"/>
      <c r="N96" s="49"/>
      <c r="O96" s="49"/>
      <c r="P96" s="50"/>
      <c r="Q96" s="49"/>
    </row>
    <row r="97" spans="1:17" x14ac:dyDescent="0.35">
      <c r="A97" t="s">
        <v>393</v>
      </c>
      <c r="B97" s="50"/>
      <c r="C97" s="49"/>
      <c r="D97" s="49"/>
      <c r="E97" s="49"/>
      <c r="F97" s="49"/>
      <c r="G97" s="73"/>
      <c r="H97" s="49"/>
      <c r="I97" s="49"/>
      <c r="J97" s="49"/>
      <c r="K97" s="71"/>
      <c r="L97" s="49"/>
      <c r="M97" s="50"/>
      <c r="N97" s="49"/>
      <c r="O97" s="49"/>
      <c r="P97" s="50"/>
      <c r="Q97" s="49"/>
    </row>
    <row r="98" spans="1:17" x14ac:dyDescent="0.35">
      <c r="A98" t="s">
        <v>394</v>
      </c>
      <c r="B98" s="50"/>
      <c r="C98" s="49"/>
      <c r="D98" s="49"/>
      <c r="E98" s="49"/>
      <c r="F98" s="49"/>
      <c r="G98" s="73"/>
      <c r="H98" s="49"/>
      <c r="I98" s="49"/>
      <c r="J98" s="49"/>
      <c r="K98" s="71"/>
      <c r="L98" s="49"/>
      <c r="M98" s="50"/>
      <c r="N98" s="49"/>
      <c r="O98" s="49"/>
      <c r="P98" s="50"/>
      <c r="Q98" s="49"/>
    </row>
    <row r="99" spans="1:17" x14ac:dyDescent="0.35">
      <c r="A99" t="s">
        <v>395</v>
      </c>
      <c r="B99" s="50"/>
      <c r="C99" s="49"/>
      <c r="D99" s="49"/>
      <c r="E99" s="49"/>
      <c r="F99" s="49"/>
      <c r="G99" s="73"/>
      <c r="H99" s="49"/>
      <c r="I99" s="49"/>
      <c r="J99" s="49"/>
      <c r="K99" s="71"/>
      <c r="L99" s="49"/>
      <c r="M99" s="50"/>
      <c r="N99" s="49"/>
      <c r="O99" s="49"/>
      <c r="P99" s="50"/>
      <c r="Q99" s="49"/>
    </row>
    <row r="100" spans="1:17" x14ac:dyDescent="0.35">
      <c r="A100" t="s">
        <v>396</v>
      </c>
      <c r="B100" s="50"/>
      <c r="C100" s="49"/>
      <c r="D100" s="49"/>
      <c r="E100" s="49"/>
      <c r="F100" s="49"/>
      <c r="G100" s="73"/>
      <c r="H100" s="49"/>
      <c r="I100" s="49"/>
      <c r="J100" s="49"/>
      <c r="K100" s="71"/>
      <c r="L100" s="49"/>
      <c r="M100" s="50"/>
      <c r="N100" s="49"/>
      <c r="O100" s="49"/>
      <c r="P100" s="50"/>
      <c r="Q100" s="49"/>
    </row>
    <row r="101" spans="1:17" x14ac:dyDescent="0.35">
      <c r="A101" t="s">
        <v>217</v>
      </c>
      <c r="B101" s="50"/>
      <c r="C101" s="49"/>
      <c r="D101" s="49"/>
      <c r="E101" s="49"/>
      <c r="F101" s="49"/>
      <c r="G101" s="73"/>
      <c r="H101" s="49">
        <v>0.85</v>
      </c>
      <c r="I101" s="49">
        <v>0.91</v>
      </c>
      <c r="J101" s="49">
        <v>0.75</v>
      </c>
      <c r="K101" s="71">
        <v>0.8</v>
      </c>
      <c r="L101" s="49"/>
      <c r="M101" s="50"/>
      <c r="N101" s="49"/>
      <c r="O101" s="49"/>
      <c r="P101" s="50"/>
      <c r="Q101" s="49"/>
    </row>
    <row r="102" spans="1:17" x14ac:dyDescent="0.35">
      <c r="A102" t="s">
        <v>397</v>
      </c>
      <c r="B102" s="50"/>
      <c r="C102" s="49"/>
      <c r="D102" s="49"/>
      <c r="E102" s="49"/>
      <c r="F102" s="49">
        <v>0.7</v>
      </c>
      <c r="G102" s="73">
        <v>0.95</v>
      </c>
      <c r="H102" s="49">
        <v>0.85</v>
      </c>
      <c r="I102" s="49">
        <v>0.91</v>
      </c>
      <c r="J102" s="49">
        <v>0.75</v>
      </c>
      <c r="K102" s="71">
        <v>0.8</v>
      </c>
      <c r="L102" s="49"/>
      <c r="M102" s="50"/>
      <c r="N102" s="49"/>
      <c r="O102" s="49"/>
      <c r="P102" s="50"/>
      <c r="Q102" s="49"/>
    </row>
    <row r="103" spans="1:17" x14ac:dyDescent="0.35">
      <c r="A103" t="s">
        <v>218</v>
      </c>
      <c r="B103" s="50"/>
      <c r="C103" s="49"/>
      <c r="D103" s="49"/>
      <c r="E103" s="49"/>
      <c r="F103" s="49"/>
      <c r="G103" s="73"/>
      <c r="H103" s="49">
        <v>0.85</v>
      </c>
      <c r="I103" s="49">
        <v>0.91</v>
      </c>
      <c r="J103" s="49">
        <v>0.75</v>
      </c>
      <c r="K103" s="71">
        <v>0.8</v>
      </c>
      <c r="L103" s="49"/>
      <c r="M103" s="50"/>
      <c r="N103" s="49"/>
      <c r="O103" s="49"/>
      <c r="P103" s="50"/>
      <c r="Q103" s="49"/>
    </row>
    <row r="104" spans="1:17" x14ac:dyDescent="0.35">
      <c r="A104" t="s">
        <v>219</v>
      </c>
      <c r="B104" s="50"/>
      <c r="C104" s="49"/>
      <c r="D104" s="49"/>
      <c r="E104" s="49"/>
      <c r="F104" s="49"/>
      <c r="G104" s="73"/>
      <c r="H104" s="49">
        <v>0.85</v>
      </c>
      <c r="I104" s="49">
        <v>0.91</v>
      </c>
      <c r="J104" s="49">
        <v>0.75</v>
      </c>
      <c r="K104" s="71">
        <v>0.8</v>
      </c>
      <c r="L104" s="49"/>
      <c r="M104" s="50"/>
      <c r="N104" s="49"/>
      <c r="O104" s="49"/>
      <c r="P104" s="50"/>
      <c r="Q104" s="49"/>
    </row>
    <row r="105" spans="1:17" x14ac:dyDescent="0.35">
      <c r="A105" t="s">
        <v>220</v>
      </c>
      <c r="B105" s="50"/>
      <c r="C105" s="49"/>
      <c r="D105" s="49"/>
      <c r="E105" s="49"/>
      <c r="F105" s="49"/>
      <c r="G105" s="73"/>
      <c r="H105" s="49">
        <v>0.85</v>
      </c>
      <c r="I105" s="49">
        <v>0.91</v>
      </c>
      <c r="J105" s="49">
        <v>0.75</v>
      </c>
      <c r="K105" s="71">
        <v>0.8</v>
      </c>
      <c r="L105" s="49"/>
      <c r="M105" s="50"/>
      <c r="N105" s="49"/>
      <c r="O105" s="49"/>
      <c r="P105" s="50"/>
      <c r="Q105" s="49"/>
    </row>
    <row r="106" spans="1:17" x14ac:dyDescent="0.35">
      <c r="A106" t="s">
        <v>398</v>
      </c>
      <c r="B106" s="50"/>
      <c r="C106" s="49"/>
      <c r="D106" s="49"/>
      <c r="E106" s="49"/>
      <c r="F106" s="49"/>
      <c r="G106" s="73"/>
      <c r="H106" s="49">
        <v>0.85</v>
      </c>
      <c r="I106" s="49">
        <v>0.91</v>
      </c>
      <c r="J106" s="49">
        <v>0.75</v>
      </c>
      <c r="K106" s="71">
        <v>0.8</v>
      </c>
      <c r="L106" s="49"/>
      <c r="M106" s="50"/>
      <c r="N106" s="49"/>
      <c r="O106" s="49"/>
      <c r="P106" s="50"/>
      <c r="Q106" s="49"/>
    </row>
    <row r="107" spans="1:17" x14ac:dyDescent="0.35">
      <c r="A107" t="s">
        <v>399</v>
      </c>
      <c r="B107" s="50"/>
      <c r="C107" s="49"/>
      <c r="D107" s="49"/>
      <c r="E107" s="49"/>
      <c r="F107" s="49"/>
      <c r="G107" s="73"/>
      <c r="H107" s="49">
        <v>0.85</v>
      </c>
      <c r="I107" s="49">
        <v>0.91</v>
      </c>
      <c r="J107" s="49">
        <v>0.75</v>
      </c>
      <c r="K107" s="71">
        <v>0.8</v>
      </c>
      <c r="L107" s="49"/>
      <c r="M107" s="50"/>
      <c r="N107" s="49"/>
      <c r="O107" s="49"/>
      <c r="P107" s="50"/>
      <c r="Q107" s="49"/>
    </row>
    <row r="108" spans="1:17" x14ac:dyDescent="0.35">
      <c r="A108" t="s">
        <v>400</v>
      </c>
      <c r="B108" s="50"/>
      <c r="C108" s="49"/>
      <c r="D108" s="49"/>
      <c r="E108" s="49"/>
      <c r="F108" s="49"/>
      <c r="G108" s="73"/>
      <c r="H108" s="49">
        <v>0.85</v>
      </c>
      <c r="I108" s="49">
        <v>0.91</v>
      </c>
      <c r="J108" s="49">
        <v>0.75</v>
      </c>
      <c r="K108" s="71">
        <v>0.8</v>
      </c>
      <c r="L108" s="49"/>
      <c r="M108" s="50"/>
      <c r="N108" s="49"/>
      <c r="O108" s="49"/>
      <c r="P108" s="50"/>
      <c r="Q108" s="49"/>
    </row>
    <row r="109" spans="1:17" x14ac:dyDescent="0.35">
      <c r="A109" t="s">
        <v>401</v>
      </c>
      <c r="B109" s="50"/>
      <c r="C109" s="49"/>
      <c r="D109" s="49"/>
      <c r="E109" s="49"/>
      <c r="F109" s="49"/>
      <c r="G109" s="73"/>
      <c r="H109" s="49"/>
      <c r="I109" s="49"/>
      <c r="J109" s="49"/>
      <c r="K109" s="71"/>
      <c r="L109" s="49"/>
      <c r="M109" s="50"/>
      <c r="N109" s="49"/>
      <c r="O109" s="49"/>
      <c r="P109" s="50"/>
      <c r="Q109" s="49"/>
    </row>
    <row r="110" spans="1:17" x14ac:dyDescent="0.35">
      <c r="A110" t="s">
        <v>226</v>
      </c>
      <c r="B110" s="50"/>
      <c r="C110" s="49"/>
      <c r="D110" s="49"/>
      <c r="E110" s="49"/>
      <c r="F110" s="49"/>
      <c r="G110" s="73"/>
      <c r="H110" s="49"/>
      <c r="I110" s="49"/>
      <c r="J110" s="49"/>
      <c r="K110" s="71"/>
      <c r="L110" s="49"/>
      <c r="M110" s="50"/>
      <c r="N110" s="49">
        <v>0.98</v>
      </c>
      <c r="O110" s="49">
        <v>0.98</v>
      </c>
      <c r="P110" s="50"/>
      <c r="Q110" s="49"/>
    </row>
    <row r="111" spans="1:17" x14ac:dyDescent="0.35">
      <c r="A111" t="s">
        <v>227</v>
      </c>
      <c r="B111" s="50"/>
      <c r="C111" s="49"/>
      <c r="D111" s="49"/>
      <c r="E111" s="49"/>
      <c r="F111" s="49"/>
      <c r="G111" s="73"/>
      <c r="H111" s="49"/>
      <c r="I111" s="49"/>
      <c r="J111" s="49"/>
      <c r="K111" s="71"/>
      <c r="L111" s="49"/>
      <c r="M111" s="50"/>
      <c r="N111" s="49">
        <v>0.98</v>
      </c>
      <c r="O111" s="49">
        <v>0.98</v>
      </c>
      <c r="P111" s="50"/>
      <c r="Q111" s="49"/>
    </row>
    <row r="112" spans="1:17" x14ac:dyDescent="0.35">
      <c r="A112" t="s">
        <v>402</v>
      </c>
      <c r="B112" s="50"/>
      <c r="C112" s="49"/>
      <c r="D112" s="49"/>
      <c r="E112" s="49"/>
      <c r="F112" s="49"/>
      <c r="G112" s="73"/>
      <c r="H112" s="49"/>
      <c r="I112" s="49"/>
      <c r="J112" s="49"/>
      <c r="K112" s="71"/>
      <c r="L112" s="49"/>
      <c r="M112" s="50"/>
      <c r="N112" s="49"/>
      <c r="O112" s="49"/>
      <c r="P112" s="50">
        <v>0.98</v>
      </c>
      <c r="Q112" s="49">
        <v>0.98</v>
      </c>
    </row>
    <row r="113" spans="1:17" x14ac:dyDescent="0.35">
      <c r="A113" t="s">
        <v>403</v>
      </c>
      <c r="B113" s="50"/>
      <c r="C113" s="49"/>
      <c r="D113" s="49"/>
      <c r="E113" s="49"/>
      <c r="F113" s="49"/>
      <c r="G113" s="73"/>
      <c r="H113" s="49"/>
      <c r="I113" s="49"/>
      <c r="J113" s="49"/>
      <c r="K113" s="71"/>
      <c r="L113" s="49"/>
      <c r="M113" s="50"/>
      <c r="N113" s="49"/>
      <c r="O113" s="49"/>
      <c r="P113" s="50"/>
      <c r="Q113" s="49"/>
    </row>
    <row r="114" spans="1:17" x14ac:dyDescent="0.35">
      <c r="A114" t="s">
        <v>404</v>
      </c>
      <c r="B114" s="50"/>
      <c r="C114" s="49"/>
      <c r="D114" s="49"/>
      <c r="E114" s="49"/>
      <c r="F114" s="49"/>
      <c r="G114" s="73"/>
      <c r="H114" s="49"/>
      <c r="I114" s="49"/>
      <c r="J114" s="49"/>
      <c r="K114" s="71"/>
      <c r="L114" s="49"/>
      <c r="M114" s="50"/>
      <c r="N114" s="49"/>
      <c r="O114" s="49"/>
      <c r="P114" s="50"/>
      <c r="Q114" s="49"/>
    </row>
    <row r="115" spans="1:17" x14ac:dyDescent="0.35">
      <c r="A115" t="s">
        <v>405</v>
      </c>
      <c r="B115" s="50"/>
      <c r="C115" s="49"/>
      <c r="D115" s="49"/>
      <c r="E115" s="49"/>
      <c r="F115" s="49"/>
      <c r="G115" s="73"/>
      <c r="H115" s="49"/>
      <c r="I115" s="49"/>
      <c r="J115" s="49"/>
      <c r="K115" s="71"/>
      <c r="L115" s="49"/>
      <c r="M115" s="50"/>
      <c r="N115" s="49"/>
      <c r="O115" s="49"/>
      <c r="P115" s="50"/>
      <c r="Q115" s="49"/>
    </row>
    <row r="116" spans="1:17" x14ac:dyDescent="0.35">
      <c r="A116" t="s">
        <v>406</v>
      </c>
      <c r="B116" s="50"/>
      <c r="C116" s="49"/>
      <c r="D116" s="49"/>
      <c r="E116" s="49"/>
      <c r="F116" s="49"/>
      <c r="G116" s="73"/>
      <c r="H116" s="49"/>
      <c r="I116" s="49"/>
      <c r="J116" s="49"/>
      <c r="K116" s="71"/>
      <c r="L116" s="49">
        <v>1</v>
      </c>
      <c r="M116" s="50">
        <v>1</v>
      </c>
      <c r="N116" s="49"/>
      <c r="O116" s="49"/>
      <c r="P116" s="50"/>
      <c r="Q116" s="49"/>
    </row>
    <row r="117" spans="1:17" x14ac:dyDescent="0.35">
      <c r="A117" t="s">
        <v>407</v>
      </c>
      <c r="B117" s="50"/>
      <c r="C117" s="49"/>
      <c r="D117" s="49"/>
      <c r="E117" s="49"/>
      <c r="F117" s="49"/>
      <c r="G117" s="73"/>
      <c r="H117" s="49"/>
      <c r="I117" s="49"/>
      <c r="J117" s="49"/>
      <c r="K117" s="71"/>
      <c r="L117" s="49"/>
      <c r="M117" s="50"/>
      <c r="N117" s="49"/>
      <c r="O117" s="49"/>
      <c r="P117" s="50"/>
      <c r="Q117" s="49"/>
    </row>
    <row r="118" spans="1:17" x14ac:dyDescent="0.35">
      <c r="A118" t="s">
        <v>408</v>
      </c>
      <c r="B118" s="50"/>
      <c r="C118" s="49"/>
      <c r="D118" s="49">
        <v>0.98</v>
      </c>
      <c r="E118" s="49">
        <v>0.95</v>
      </c>
      <c r="F118" s="49"/>
      <c r="G118" s="73"/>
      <c r="H118" s="49"/>
      <c r="I118" s="49"/>
      <c r="J118" s="49"/>
      <c r="K118" s="71"/>
      <c r="L118" s="49"/>
      <c r="M118" s="50"/>
      <c r="N118" s="49"/>
      <c r="O118" s="49"/>
      <c r="P118" s="50"/>
      <c r="Q118" s="49"/>
    </row>
    <row r="119" spans="1:17" x14ac:dyDescent="0.35">
      <c r="A119" t="s">
        <v>409</v>
      </c>
      <c r="B119" s="50"/>
      <c r="C119" s="49"/>
      <c r="D119" s="49">
        <v>0.98</v>
      </c>
      <c r="E119" s="49">
        <v>0.95</v>
      </c>
      <c r="F119" s="49"/>
      <c r="G119" s="73"/>
      <c r="H119" s="49"/>
      <c r="I119" s="49"/>
      <c r="J119" s="49"/>
      <c r="K119" s="71"/>
      <c r="L119" s="49"/>
      <c r="M119" s="50"/>
      <c r="N119" s="49"/>
      <c r="O119" s="49"/>
      <c r="P119" s="50"/>
      <c r="Q119" s="49"/>
    </row>
    <row r="120" spans="1:17" x14ac:dyDescent="0.35">
      <c r="A120" t="s">
        <v>410</v>
      </c>
      <c r="B120" s="50">
        <v>0.97</v>
      </c>
      <c r="C120" s="49">
        <v>0.95</v>
      </c>
      <c r="D120" s="49"/>
      <c r="E120" s="49"/>
      <c r="F120" s="49"/>
      <c r="G120" s="73"/>
      <c r="H120" s="49"/>
      <c r="I120" s="49"/>
      <c r="J120" s="49"/>
      <c r="K120" s="71"/>
      <c r="L120" s="49"/>
      <c r="M120" s="50"/>
      <c r="N120" s="49"/>
      <c r="O120" s="49"/>
      <c r="P120" s="50"/>
      <c r="Q120" s="49"/>
    </row>
    <row r="121" spans="1:17" x14ac:dyDescent="0.35">
      <c r="A121" t="s">
        <v>411</v>
      </c>
      <c r="B121" s="50">
        <v>0.97</v>
      </c>
      <c r="C121" s="49">
        <v>0.95</v>
      </c>
      <c r="D121" s="49"/>
      <c r="E121" s="49"/>
      <c r="F121" s="49"/>
      <c r="G121" s="73"/>
      <c r="H121" s="49"/>
      <c r="I121" s="49"/>
      <c r="J121" s="49"/>
      <c r="K121" s="71"/>
      <c r="L121" s="49"/>
      <c r="M121" s="50"/>
      <c r="N121" s="49"/>
      <c r="O121" s="49"/>
      <c r="P121" s="50"/>
      <c r="Q121" s="49"/>
    </row>
    <row r="122" spans="1:17" x14ac:dyDescent="0.35">
      <c r="A122" t="s">
        <v>412</v>
      </c>
      <c r="B122" s="50">
        <v>0.97</v>
      </c>
      <c r="C122" s="49">
        <v>0.95</v>
      </c>
      <c r="D122" s="49"/>
      <c r="E122" s="49"/>
      <c r="F122" s="49"/>
      <c r="G122" s="73"/>
      <c r="H122" s="49"/>
      <c r="I122" s="49"/>
      <c r="J122" s="49"/>
      <c r="K122" s="71"/>
      <c r="L122" s="49"/>
      <c r="M122" s="50"/>
      <c r="N122" s="49"/>
      <c r="O122" s="49"/>
      <c r="P122" s="50"/>
      <c r="Q122" s="49"/>
    </row>
    <row r="123" spans="1:17" x14ac:dyDescent="0.35">
      <c r="A123" t="s">
        <v>413</v>
      </c>
      <c r="B123" s="50"/>
      <c r="C123" s="49"/>
      <c r="D123" s="49">
        <v>0.98</v>
      </c>
      <c r="E123" s="49">
        <v>0.95</v>
      </c>
      <c r="F123" s="49"/>
      <c r="G123" s="73"/>
      <c r="H123" s="49"/>
      <c r="I123" s="49"/>
      <c r="J123" s="49"/>
      <c r="K123" s="71"/>
      <c r="L123" s="49"/>
      <c r="M123" s="50"/>
      <c r="N123" s="49"/>
      <c r="O123" s="49"/>
      <c r="P123" s="50"/>
      <c r="Q123" s="49"/>
    </row>
    <row r="124" spans="1:17" x14ac:dyDescent="0.35">
      <c r="A124" t="s">
        <v>414</v>
      </c>
      <c r="B124" s="50">
        <v>0.97</v>
      </c>
      <c r="C124" s="49">
        <v>0.95</v>
      </c>
      <c r="D124" s="49"/>
      <c r="E124" s="49"/>
      <c r="F124" s="49"/>
      <c r="G124" s="73"/>
      <c r="H124" s="49"/>
      <c r="I124" s="49"/>
      <c r="J124" s="49"/>
      <c r="K124" s="71"/>
      <c r="L124" s="49"/>
      <c r="M124" s="50"/>
      <c r="N124" s="49"/>
      <c r="O124" s="49"/>
      <c r="P124" s="50"/>
      <c r="Q124" s="49"/>
    </row>
    <row r="125" spans="1:17" x14ac:dyDescent="0.35">
      <c r="A125" t="s">
        <v>223</v>
      </c>
      <c r="B125" s="50"/>
      <c r="C125" s="49"/>
      <c r="D125" s="49"/>
      <c r="E125" s="49"/>
      <c r="F125" s="49"/>
      <c r="G125" s="73"/>
      <c r="H125" s="49"/>
      <c r="I125" s="49"/>
      <c r="J125" s="49"/>
      <c r="K125" s="71"/>
      <c r="L125" s="49"/>
      <c r="M125" s="50"/>
      <c r="N125" s="49"/>
      <c r="O125" s="49"/>
      <c r="P125" s="50"/>
      <c r="Q125" s="49"/>
    </row>
    <row r="126" spans="1:17" x14ac:dyDescent="0.35">
      <c r="A126" t="s">
        <v>224</v>
      </c>
      <c r="B126" s="50"/>
      <c r="C126" s="49"/>
      <c r="D126" s="49"/>
      <c r="E126" s="49"/>
      <c r="F126" s="49"/>
      <c r="G126" s="73"/>
      <c r="H126" s="49"/>
      <c r="I126" s="49"/>
      <c r="J126" s="49"/>
      <c r="K126" s="71"/>
      <c r="L126" s="49"/>
      <c r="M126" s="50"/>
      <c r="N126" s="49"/>
      <c r="O126" s="49"/>
      <c r="P126" s="50"/>
      <c r="Q126" s="49"/>
    </row>
    <row r="127" spans="1:17" x14ac:dyDescent="0.35">
      <c r="A127" t="s">
        <v>225</v>
      </c>
      <c r="B127" s="50"/>
      <c r="C127" s="49"/>
      <c r="D127" s="49"/>
      <c r="E127" s="49"/>
      <c r="F127" s="49"/>
      <c r="G127" s="73"/>
      <c r="H127" s="49"/>
      <c r="I127" s="49"/>
      <c r="J127" s="49"/>
      <c r="K127" s="71"/>
      <c r="L127" s="49"/>
      <c r="M127" s="50"/>
      <c r="N127" s="49"/>
      <c r="O127" s="49"/>
      <c r="P127" s="50"/>
      <c r="Q127" s="49"/>
    </row>
    <row r="128" spans="1:17" x14ac:dyDescent="0.35">
      <c r="A128" t="s">
        <v>415</v>
      </c>
      <c r="B128" s="50"/>
      <c r="C128" s="49"/>
      <c r="D128" s="49"/>
      <c r="E128" s="49"/>
      <c r="F128" s="49"/>
      <c r="G128" s="73"/>
      <c r="H128" s="49"/>
      <c r="I128" s="49"/>
      <c r="J128" s="49"/>
      <c r="K128" s="71"/>
      <c r="L128" s="49"/>
      <c r="M128" s="50"/>
      <c r="N128" s="49"/>
      <c r="O128" s="49"/>
      <c r="P128" s="50"/>
      <c r="Q128" s="49"/>
    </row>
    <row r="129" spans="1:17" x14ac:dyDescent="0.35">
      <c r="A129" t="s">
        <v>416</v>
      </c>
      <c r="B129" s="50"/>
      <c r="C129" s="49"/>
      <c r="D129" s="49"/>
      <c r="E129" s="49"/>
      <c r="F129" s="49"/>
      <c r="G129" s="73"/>
      <c r="H129" s="49"/>
      <c r="I129" s="49"/>
      <c r="J129" s="49"/>
      <c r="K129" s="71"/>
      <c r="L129" s="49"/>
      <c r="M129" s="50"/>
      <c r="N129" s="49"/>
      <c r="O129" s="49"/>
      <c r="P129" s="50"/>
      <c r="Q129" s="49"/>
    </row>
    <row r="130" spans="1:17" x14ac:dyDescent="0.35">
      <c r="A130" t="s">
        <v>417</v>
      </c>
      <c r="B130" s="50"/>
      <c r="C130" s="49"/>
      <c r="D130" s="49"/>
      <c r="E130" s="49"/>
      <c r="F130" s="49"/>
      <c r="G130" s="73"/>
      <c r="H130" s="49"/>
      <c r="I130" s="49"/>
      <c r="J130" s="49"/>
      <c r="K130" s="71"/>
      <c r="L130" s="49"/>
      <c r="M130" s="50"/>
      <c r="N130" s="49"/>
      <c r="O130" s="49"/>
      <c r="P130" s="50"/>
      <c r="Q130" s="49"/>
    </row>
    <row r="131" spans="1:17" x14ac:dyDescent="0.35">
      <c r="A131" t="s">
        <v>418</v>
      </c>
      <c r="B131" s="50"/>
      <c r="C131" s="49"/>
      <c r="D131" s="49"/>
      <c r="E131" s="49"/>
      <c r="F131" s="49"/>
      <c r="G131" s="73"/>
      <c r="H131" s="49"/>
      <c r="I131" s="49"/>
      <c r="J131" s="49"/>
      <c r="K131" s="71"/>
      <c r="L131" s="49"/>
      <c r="M131" s="50"/>
      <c r="N131" s="49"/>
      <c r="O131" s="49"/>
      <c r="P131" s="50"/>
      <c r="Q131" s="49"/>
    </row>
    <row r="132" spans="1:17" x14ac:dyDescent="0.35">
      <c r="A132" t="s">
        <v>419</v>
      </c>
      <c r="B132" s="70"/>
      <c r="C132" s="69"/>
      <c r="D132" s="69"/>
      <c r="E132" s="69"/>
      <c r="F132" s="69"/>
      <c r="G132" s="74"/>
      <c r="H132" s="69"/>
      <c r="I132" s="69"/>
      <c r="J132" s="69"/>
      <c r="K132" s="72"/>
      <c r="L132" s="69"/>
      <c r="M132" s="70"/>
      <c r="N132" s="69"/>
      <c r="O132" s="69"/>
      <c r="P132" s="70"/>
      <c r="Q1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Important variables and results</vt:lpstr>
      <vt:lpstr>Single.Stream</vt:lpstr>
      <vt:lpstr>SS Material Flow</vt:lpstr>
      <vt:lpstr>Common</vt:lpstr>
      <vt:lpstr>MRF Data-For Common</vt:lpstr>
      <vt:lpstr>Tables and Figures</vt:lpstr>
      <vt:lpstr>Sheet1</vt:lpstr>
      <vt:lpstr>EnergyAllocationOptions</vt:lpstr>
      <vt:lpstr>Mat_Rec_Opt</vt:lpstr>
      <vt:lpstr>YN</vt:lpstr>
      <vt:lpstr>YN_Blank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Nathaniel Pressley</dc:creator>
  <cp:lastModifiedBy>Alexis Hocken</cp:lastModifiedBy>
  <cp:lastPrinted>2013-11-20T19:53:05Z</cp:lastPrinted>
  <dcterms:created xsi:type="dcterms:W3CDTF">2012-05-17T14:06:40Z</dcterms:created>
  <dcterms:modified xsi:type="dcterms:W3CDTF">2023-12-12T15:55:04Z</dcterms:modified>
</cp:coreProperties>
</file>