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gaste" sheetId="1" r:id="rId4"/>
    <sheet state="visible" name="Flexible" sheetId="2" r:id="rId5"/>
    <sheet state="visible" name="Cuchilla" sheetId="3" r:id="rId6"/>
    <sheet state="visible" name="Ejes" sheetId="4" r:id="rId7"/>
    <sheet state="visible" name="Uniones" sheetId="5" r:id="rId8"/>
    <sheet state="visible" name="Estructura" sheetId="6" r:id="rId9"/>
  </sheets>
  <definedNames/>
  <calcPr/>
  <extLst>
    <ext uri="GoogleSheetsCustomDataVersion2">
      <go:sheetsCustomData xmlns:go="http://customooxmlschemas.google.com/" r:id="rId10" roundtripDataChecksum="z5XZpzg13EUZGvpHDkZ19a6bHeP2vHIJzXh6/T29XbY="/>
    </ext>
  </extLst>
</workbook>
</file>

<file path=xl/sharedStrings.xml><?xml version="1.0" encoding="utf-8"?>
<sst xmlns="http://schemas.openxmlformats.org/spreadsheetml/2006/main" count="881" uniqueCount="465">
  <si>
    <t>Desgaste de la Hoja - Ciclos de Operación</t>
  </si>
  <si>
    <t>k</t>
  </si>
  <si>
    <t>HRC</t>
  </si>
  <si>
    <t>Meter el modelo computacional a ANSYS y verificar</t>
  </si>
  <si>
    <t>H (MPa)</t>
  </si>
  <si>
    <t>Vc (m^3)</t>
  </si>
  <si>
    <t>Red Adm (%)</t>
  </si>
  <si>
    <t>V (m^3)</t>
  </si>
  <si>
    <t>Ecuación de Archard</t>
  </si>
  <si>
    <t>F (gf)</t>
  </si>
  <si>
    <t>F (N)</t>
  </si>
  <si>
    <t>MPa</t>
  </si>
  <si>
    <t>S (m)</t>
  </si>
  <si>
    <t>RPM</t>
  </si>
  <si>
    <t>D (m)</t>
  </si>
  <si>
    <t>C (m)</t>
  </si>
  <si>
    <t>Revs</t>
  </si>
  <si>
    <t>tvida (min)</t>
  </si>
  <si>
    <t>tvida (hr)</t>
  </si>
  <si>
    <t>tvida (ciclos)</t>
  </si>
  <si>
    <t>Diseño del Subsistema - Flexible</t>
  </si>
  <si>
    <t>Requerimientos</t>
  </si>
  <si>
    <t>Parámetros de Diseño</t>
  </si>
  <si>
    <t>Correa</t>
  </si>
  <si>
    <t>Cargas en la Polea</t>
  </si>
  <si>
    <t>P (W)</t>
  </si>
  <si>
    <t>Fs</t>
  </si>
  <si>
    <t>Designación</t>
  </si>
  <si>
    <t>150XL037</t>
  </si>
  <si>
    <t>η</t>
  </si>
  <si>
    <t>Ts (Nm)</t>
  </si>
  <si>
    <t>Pd (W)</t>
  </si>
  <si>
    <t>L (in)</t>
  </si>
  <si>
    <t>Torque Requerido (Nm)</t>
  </si>
  <si>
    <t>ωs (rpm)</t>
  </si>
  <si>
    <t>Pd (hp)</t>
  </si>
  <si>
    <t>L (mm)</t>
  </si>
  <si>
    <t>Torque Entrada (Nm)</t>
  </si>
  <si>
    <t>Te (Nm)</t>
  </si>
  <si>
    <t>Paso</t>
  </si>
  <si>
    <t>XL</t>
  </si>
  <si>
    <t>Ancho (in)</t>
  </si>
  <si>
    <t>Catalogo</t>
  </si>
  <si>
    <t>Tensión (N)</t>
  </si>
  <si>
    <t>ωe (rpm)</t>
  </si>
  <si>
    <t>Paso (in)</t>
  </si>
  <si>
    <t>HP Rating (hp/in)</t>
  </si>
  <si>
    <t>R</t>
  </si>
  <si>
    <t>Paso (mm)</t>
  </si>
  <si>
    <t>Ancho Óptimo (in)</t>
  </si>
  <si>
    <t>C (in)</t>
  </si>
  <si>
    <t>Ancho Seleccionado</t>
  </si>
  <si>
    <t>C (cm)</t>
  </si>
  <si>
    <t>Polea Conductora P1</t>
  </si>
  <si>
    <t>Polea Conducida P2</t>
  </si>
  <si>
    <t>20XL037</t>
  </si>
  <si>
    <t>Desginación</t>
  </si>
  <si>
    <t>40XL037</t>
  </si>
  <si>
    <t>Ranuras</t>
  </si>
  <si>
    <t>De (mm)</t>
  </si>
  <si>
    <t>Dp (mm)</t>
  </si>
  <si>
    <t>vt (fpm)</t>
  </si>
  <si>
    <t>Ángulos de Contacto</t>
  </si>
  <si>
    <t>θA (°)</t>
  </si>
  <si>
    <t>θB (°)</t>
  </si>
  <si>
    <t>Material</t>
  </si>
  <si>
    <t>Inox 420</t>
  </si>
  <si>
    <t>Fn max banano [N]</t>
  </si>
  <si>
    <t>Tasa de producción [kg/min]</t>
  </si>
  <si>
    <t>Dureza [HRC]</t>
  </si>
  <si>
    <t>Peso prom banano [g]</t>
  </si>
  <si>
    <t>Sut [Mpa]</t>
  </si>
  <si>
    <t>Tasa de producción [und/min]</t>
  </si>
  <si>
    <t>Syt [Mpa]</t>
  </si>
  <si>
    <t>Tiempo por Banano [s]</t>
  </si>
  <si>
    <t>% tiempo empleado</t>
  </si>
  <si>
    <t>elong [%]</t>
  </si>
  <si>
    <t>Tiempo de alistamiento [s]</t>
  </si>
  <si>
    <t>E [Gpa]</t>
  </si>
  <si>
    <t>Tiempo en maquina [s]</t>
  </si>
  <si>
    <t>ρ [g/cm^3]</t>
  </si>
  <si>
    <t>Long max banano [mm]</t>
  </si>
  <si>
    <t>Long cajon [m]</t>
  </si>
  <si>
    <t>Vel avance corte [m/s]</t>
  </si>
  <si>
    <t>Rel velocidades según libro</t>
  </si>
  <si>
    <t>Diametro de la cuchilla</t>
  </si>
  <si>
    <t>Espesor por esfuerzo normal</t>
  </si>
  <si>
    <t>Espesor por pandeo</t>
  </si>
  <si>
    <t>Vel tang cuchilla [m/s]</t>
  </si>
  <si>
    <t>Espesor max banano [mm]</t>
  </si>
  <si>
    <t>FS</t>
  </si>
  <si>
    <t>Vel angular cuchilla [rad/s]</t>
  </si>
  <si>
    <t>Rel r/e (Libro:2,5-3)</t>
  </si>
  <si>
    <t>Sa [Mpa]</t>
  </si>
  <si>
    <t>LE [m]</t>
  </si>
  <si>
    <t>Vel angular cuchilla [RPM]</t>
  </si>
  <si>
    <t>Minima</t>
  </si>
  <si>
    <t>Diametro [mm]</t>
  </si>
  <si>
    <t>Amin [mm^2]</t>
  </si>
  <si>
    <t>Pcr [N]</t>
  </si>
  <si>
    <t>Vel Motor</t>
  </si>
  <si>
    <t>e_min [mm]</t>
  </si>
  <si>
    <t>I_min [m^4]</t>
  </si>
  <si>
    <t>Vo</t>
  </si>
  <si>
    <t>Vv</t>
  </si>
  <si>
    <t>Diseño de Ejes</t>
  </si>
  <si>
    <t>Entradas del Sistema</t>
  </si>
  <si>
    <t>Diseño Estático</t>
  </si>
  <si>
    <t>Diseño Dinámico</t>
  </si>
  <si>
    <t>Deflexión y Velocidad Crítica</t>
  </si>
  <si>
    <t>Disco de Corte</t>
  </si>
  <si>
    <t>Motor DC</t>
  </si>
  <si>
    <t>Torque de Corte</t>
  </si>
  <si>
    <t>Geometría del Eje</t>
  </si>
  <si>
    <t>Posición (m)</t>
  </si>
  <si>
    <t>Posición (in)</t>
  </si>
  <si>
    <t>Fvx (N)</t>
  </si>
  <si>
    <t>Fvy (N)</t>
  </si>
  <si>
    <t>Mxz (Nm)</t>
  </si>
  <si>
    <t>Myz (Nm)</t>
  </si>
  <si>
    <t>M (Nm)</t>
  </si>
  <si>
    <t>T (Nm)</t>
  </si>
  <si>
    <t>M (lb*in)</t>
  </si>
  <si>
    <t>T (lb*in)</t>
  </si>
  <si>
    <t>D - von Mises (mm)</t>
  </si>
  <si>
    <t>D - Tresca (mm)</t>
  </si>
  <si>
    <t>Iteración</t>
  </si>
  <si>
    <t>Descripción de la sección</t>
  </si>
  <si>
    <t>FS Referencia</t>
  </si>
  <si>
    <t>d (in)</t>
  </si>
  <si>
    <t>d (mm)</t>
  </si>
  <si>
    <t>Ma (lb*in)</t>
  </si>
  <si>
    <t>Tm (lb*in)</t>
  </si>
  <si>
    <t>Sy (psi)</t>
  </si>
  <si>
    <t>Sut (psi)</t>
  </si>
  <si>
    <t>Se' (psi)</t>
  </si>
  <si>
    <t>Coeficientes de Marin</t>
  </si>
  <si>
    <t>Se (psi)</t>
  </si>
  <si>
    <t>Concentración de Esfuerzos</t>
  </si>
  <si>
    <t>Sa (psi)</t>
  </si>
  <si>
    <t>Sm (psi)</t>
  </si>
  <si>
    <t>FS Goodman Mod</t>
  </si>
  <si>
    <t>FS ASME Elliptic</t>
  </si>
  <si>
    <t>FS Yield</t>
  </si>
  <si>
    <t>Secciones</t>
  </si>
  <si>
    <t>Cambios de Sección</t>
  </si>
  <si>
    <t>Parámetros de Cálculo</t>
  </si>
  <si>
    <t>Diámetro (mm)</t>
  </si>
  <si>
    <t>Dx (mm)</t>
  </si>
  <si>
    <t>θx (rad)</t>
  </si>
  <si>
    <t>Dy (mm)</t>
  </si>
  <si>
    <t>θy (rad)</t>
  </si>
  <si>
    <t>D Mod (mm)</t>
  </si>
  <si>
    <t>D (mm)</t>
  </si>
  <si>
    <t>Referencia</t>
  </si>
  <si>
    <t>K (N/m)</t>
  </si>
  <si>
    <t>DA (m)</t>
  </si>
  <si>
    <t>Sección de máxima carga, con un hombro</t>
  </si>
  <si>
    <t>Aluminio 7075-T651</t>
  </si>
  <si>
    <t>ka</t>
  </si>
  <si>
    <t>r/d</t>
  </si>
  <si>
    <t>L(mm)</t>
  </si>
  <si>
    <t>x (mm)</t>
  </si>
  <si>
    <t>R (m)</t>
  </si>
  <si>
    <t>D/d</t>
  </si>
  <si>
    <t>r (mm)</t>
  </si>
  <si>
    <t>I (m^4)</t>
  </si>
  <si>
    <t>Lrotor (mm)</t>
  </si>
  <si>
    <t>DB (m)</t>
  </si>
  <si>
    <t>kb</t>
  </si>
  <si>
    <t>I1 (m^4)</t>
  </si>
  <si>
    <t>t (mm)</t>
  </si>
  <si>
    <t>Lrotor (m)</t>
  </si>
  <si>
    <r>
      <rPr>
        <rFont val="Calibri"/>
        <color theme="1"/>
        <sz val="11.0"/>
      </rPr>
      <t>φ</t>
    </r>
    <r>
      <rPr>
        <rFont val="Calibri"/>
        <color theme="1"/>
        <sz val="8.0"/>
      </rPr>
      <t xml:space="preserve">e </t>
    </r>
    <r>
      <rPr>
        <rFont val="Calibri"/>
        <color theme="1"/>
        <sz val="12.0"/>
      </rPr>
      <t>(°)</t>
    </r>
  </si>
  <si>
    <t>DC (m)</t>
  </si>
  <si>
    <t>kc</t>
  </si>
  <si>
    <t>D (in)</t>
  </si>
  <si>
    <t>I2 (m^4)</t>
  </si>
  <si>
    <t>t (m)</t>
  </si>
  <si>
    <t>Drotor (mm)</t>
  </si>
  <si>
    <r>
      <rPr>
        <rFont val="Calibri"/>
        <color theme="1"/>
        <sz val="11.0"/>
      </rPr>
      <t>φ</t>
    </r>
    <r>
      <rPr>
        <rFont val="Calibri"/>
        <color theme="1"/>
        <sz val="8.0"/>
      </rPr>
      <t xml:space="preserve">a </t>
    </r>
    <r>
      <rPr>
        <rFont val="Calibri"/>
        <color theme="1"/>
        <sz val="12.0"/>
      </rPr>
      <t>(°)</t>
    </r>
  </si>
  <si>
    <t>kd</t>
  </si>
  <si>
    <t>r (in)</t>
  </si>
  <si>
    <t>I3 (m^4)</t>
  </si>
  <si>
    <t>INOX 420</t>
  </si>
  <si>
    <t>Drotor (m)</t>
  </si>
  <si>
    <r>
      <rPr>
        <rFont val="Calibri"/>
        <color theme="1"/>
        <sz val="11.0"/>
      </rPr>
      <t>φ</t>
    </r>
    <r>
      <rPr>
        <rFont val="Calibri"/>
        <color theme="1"/>
        <sz val="8.0"/>
      </rPr>
      <t xml:space="preserve">e </t>
    </r>
    <r>
      <rPr>
        <rFont val="Calibri"/>
        <color theme="1"/>
        <sz val="12.0"/>
      </rPr>
      <t>(rad)</t>
    </r>
  </si>
  <si>
    <t>Cargas y Reacciones</t>
  </si>
  <si>
    <t>ke</t>
  </si>
  <si>
    <t>t (in)</t>
  </si>
  <si>
    <t>I4 (m^4)</t>
  </si>
  <si>
    <t>ρ (kg/m^3)</t>
  </si>
  <si>
    <t>Vrotor (m^3)</t>
  </si>
  <si>
    <r>
      <rPr>
        <rFont val="Calibri"/>
        <color theme="1"/>
        <sz val="11.0"/>
      </rPr>
      <t>φ</t>
    </r>
    <r>
      <rPr>
        <rFont val="Calibri"/>
        <color theme="1"/>
        <sz val="8.0"/>
      </rPr>
      <t xml:space="preserve">a </t>
    </r>
    <r>
      <rPr>
        <rFont val="Calibri"/>
        <color theme="1"/>
        <sz val="12.0"/>
      </rPr>
      <t>(rad)</t>
    </r>
  </si>
  <si>
    <t>Fdx (N)</t>
  </si>
  <si>
    <t>kf</t>
  </si>
  <si>
    <t>t/r</t>
  </si>
  <si>
    <t>Kt</t>
  </si>
  <si>
    <t>Kts</t>
  </si>
  <si>
    <t>I5 (m^4)</t>
  </si>
  <si>
    <t>ω crit (rad/s)</t>
  </si>
  <si>
    <t>Cobre</t>
  </si>
  <si>
    <t>Fc (N)</t>
  </si>
  <si>
    <t xml:space="preserve"> </t>
  </si>
  <si>
    <t>Md_xy (Nm)</t>
  </si>
  <si>
    <t>C1</t>
  </si>
  <si>
    <t>3003-O</t>
  </si>
  <si>
    <t>x</t>
  </si>
  <si>
    <t>m (kg)</t>
  </si>
  <si>
    <t>θ (°)</t>
  </si>
  <si>
    <t>Fcx (N)</t>
  </si>
  <si>
    <t>C2</t>
  </si>
  <si>
    <t>E (ksi)</t>
  </si>
  <si>
    <t>y</t>
  </si>
  <si>
    <t>Wc (N)</t>
  </si>
  <si>
    <t>θ (rad)</t>
  </si>
  <si>
    <t>Fcy (N)</t>
  </si>
  <si>
    <t>q (Flexión)</t>
  </si>
  <si>
    <t>C3</t>
  </si>
  <si>
    <t>E (Pa)</t>
  </si>
  <si>
    <t>total</t>
  </si>
  <si>
    <t>Iz (kgm^2)</t>
  </si>
  <si>
    <t>Ir (kgm^2)</t>
  </si>
  <si>
    <t>Mc_xy (Nm)</t>
  </si>
  <si>
    <t>q (Torsión)</t>
  </si>
  <si>
    <t>C4</t>
  </si>
  <si>
    <t>rpm</t>
  </si>
  <si>
    <t>Tn (Nm)</t>
  </si>
  <si>
    <t>μ</t>
  </si>
  <si>
    <t>Kf</t>
  </si>
  <si>
    <t>r/d poleas</t>
  </si>
  <si>
    <t>Pendientes Límite en Apoyos</t>
  </si>
  <si>
    <t>Eje</t>
  </si>
  <si>
    <t>Ax (N)</t>
  </si>
  <si>
    <t>Kfs</t>
  </si>
  <si>
    <t>r/d rod</t>
  </si>
  <si>
    <t>Rodamiento A (rad)</t>
  </si>
  <si>
    <t>Dmax (mm)</t>
  </si>
  <si>
    <t>Ay (N)</t>
  </si>
  <si>
    <t>r/d cuch</t>
  </si>
  <si>
    <t>Rodamiento B (rad)</t>
  </si>
  <si>
    <t>Dmin (mm)</t>
  </si>
  <si>
    <t>l (m)</t>
  </si>
  <si>
    <t>Bx (N)</t>
  </si>
  <si>
    <t>r (m)</t>
  </si>
  <si>
    <t>By (N)</t>
  </si>
  <si>
    <t>Deflexiones Límite en Apoyos</t>
  </si>
  <si>
    <t>2*1000</t>
  </si>
  <si>
    <t>Al 7075</t>
  </si>
  <si>
    <t>Δr (m)</t>
  </si>
  <si>
    <t>Rodamiento A (m)</t>
  </si>
  <si>
    <t>C (N/m)</t>
  </si>
  <si>
    <t>Parámetros de Diseño Estático</t>
  </si>
  <si>
    <t>Rodamiento B (m)</t>
  </si>
  <si>
    <t>A (m^2)</t>
  </si>
  <si>
    <t>Al 7075-T651</t>
  </si>
  <si>
    <t>L (m)</t>
  </si>
  <si>
    <t>Tr (Nm)</t>
  </si>
  <si>
    <t>Constantes de Integración - x</t>
  </si>
  <si>
    <t>x (m)</t>
  </si>
  <si>
    <t>Fd</t>
  </si>
  <si>
    <t>A</t>
  </si>
  <si>
    <t>Tc (Nm)</t>
  </si>
  <si>
    <t>B</t>
  </si>
  <si>
    <t>Constantes de Integración - y</t>
  </si>
  <si>
    <t>Aluminio 3003-O</t>
  </si>
  <si>
    <t>Aluminio 6061-T651</t>
  </si>
  <si>
    <t>N.A.</t>
  </si>
  <si>
    <t>Cambio de Sección 1</t>
  </si>
  <si>
    <t>Cambio de Sección 2</t>
  </si>
  <si>
    <t>Cambio de Sección 3</t>
  </si>
  <si>
    <t>Tornillería</t>
  </si>
  <si>
    <t>Estos calculos se realizaron siguiendo la metodologia de diseño y selección de tornillos del handbook of machine desing de Shigley</t>
  </si>
  <si>
    <t>1. Obtener los datos de las dimensiones iniciales y especificaciones del material</t>
  </si>
  <si>
    <t>Diseño de la Unión</t>
  </si>
  <si>
    <t>Datos del Perno</t>
  </si>
  <si>
    <t>2. Determinación de Areas</t>
  </si>
  <si>
    <t>4f</t>
  </si>
  <si>
    <t>4g</t>
  </si>
  <si>
    <t>Tipo de Rosca</t>
  </si>
  <si>
    <t>Unificada</t>
  </si>
  <si>
    <t>1a</t>
  </si>
  <si>
    <t>1b</t>
  </si>
  <si>
    <t xml:space="preserve">Determinación cargas en el sistema de transporte </t>
  </si>
  <si>
    <t>Áreas</t>
  </si>
  <si>
    <t>Centroide de Cortante</t>
  </si>
  <si>
    <t>Grado ASTM</t>
  </si>
  <si>
    <t>SAE Grado 2</t>
  </si>
  <si>
    <r>
      <rPr>
        <rFont val="Calibri"/>
        <color theme="1"/>
        <sz val="11.0"/>
      </rPr>
      <t xml:space="preserve">Área del Cuerpo, </t>
    </r>
    <r>
      <rPr>
        <rFont val="Calibri"/>
        <i/>
        <color theme="1"/>
        <sz val="11.0"/>
      </rPr>
      <t>Ab [mm^2]</t>
    </r>
  </si>
  <si>
    <t>Perno</t>
  </si>
  <si>
    <r>
      <rPr>
        <rFont val="Calibri"/>
        <color theme="1"/>
        <sz val="11.0"/>
      </rPr>
      <t xml:space="preserve">Área del Perno, </t>
    </r>
    <r>
      <rPr>
        <rFont val="Calibri"/>
        <i/>
        <color theme="1"/>
        <sz val="11.0"/>
      </rPr>
      <t xml:space="preserve">A </t>
    </r>
    <r>
      <rPr>
        <rFont val="Calibri"/>
        <color theme="1"/>
        <sz val="11.0"/>
      </rPr>
      <t>[in^2]</t>
    </r>
  </si>
  <si>
    <r>
      <rPr>
        <rFont val="Calibri"/>
        <color theme="1"/>
        <sz val="11.0"/>
      </rPr>
      <t xml:space="preserve">Posición en x, </t>
    </r>
    <r>
      <rPr>
        <rFont val="Calibri"/>
        <i/>
        <color theme="1"/>
        <sz val="11.0"/>
      </rPr>
      <t>x</t>
    </r>
    <r>
      <rPr>
        <rFont val="Calibri"/>
        <color theme="1"/>
        <sz val="11.0"/>
      </rPr>
      <t xml:space="preserve"> [in]</t>
    </r>
  </si>
  <si>
    <r>
      <rPr>
        <rFont val="Calibri"/>
        <color theme="1"/>
        <sz val="11.0"/>
      </rPr>
      <t xml:space="preserve">Posición en y, </t>
    </r>
    <r>
      <rPr>
        <rFont val="Calibri"/>
        <i/>
        <color theme="1"/>
        <sz val="11.0"/>
      </rPr>
      <t>y</t>
    </r>
    <r>
      <rPr>
        <rFont val="Calibri"/>
        <color theme="1"/>
        <sz val="11.0"/>
      </rPr>
      <t xml:space="preserve"> [in]</t>
    </r>
  </si>
  <si>
    <r>
      <rPr>
        <rFont val="Calibri"/>
        <color theme="1"/>
        <sz val="11.0"/>
      </rPr>
      <t xml:space="preserve">Radios, </t>
    </r>
    <r>
      <rPr>
        <rFont val="Calibri"/>
        <i/>
        <color theme="1"/>
        <sz val="11.0"/>
      </rPr>
      <t>r</t>
    </r>
    <r>
      <rPr>
        <rFont val="Calibri"/>
        <color theme="1"/>
        <sz val="11.0"/>
      </rPr>
      <t xml:space="preserve"> [in]</t>
    </r>
  </si>
  <si>
    <r>
      <rPr>
        <rFont val="Calibri"/>
        <color theme="1"/>
        <sz val="11.0"/>
      </rPr>
      <t xml:space="preserve">Fuerza Secundaria, </t>
    </r>
    <r>
      <rPr>
        <rFont val="Calibri"/>
        <i/>
        <color theme="1"/>
        <sz val="11.0"/>
      </rPr>
      <t xml:space="preserve">Fn </t>
    </r>
    <r>
      <rPr>
        <rFont val="Calibri"/>
        <color theme="1"/>
        <sz val="11.0"/>
      </rPr>
      <t>[lb]</t>
    </r>
  </si>
  <si>
    <r>
      <rPr>
        <rFont val="Calibri"/>
        <color theme="1"/>
        <sz val="11.0"/>
      </rPr>
      <t>Esfuerzo Cortante, Sr</t>
    </r>
    <r>
      <rPr>
        <rFont val="Calibri"/>
        <i/>
        <color theme="1"/>
        <sz val="11.0"/>
      </rPr>
      <t xml:space="preserve"> </t>
    </r>
    <r>
      <rPr>
        <rFont val="Calibri"/>
        <color theme="1"/>
        <sz val="11.0"/>
      </rPr>
      <t>[psi]</t>
    </r>
  </si>
  <si>
    <r>
      <rPr>
        <rFont val="Calibri"/>
        <color theme="1"/>
        <sz val="11.0"/>
      </rPr>
      <t xml:space="preserve">Diámetro Nominal, </t>
    </r>
    <r>
      <rPr>
        <rFont val="Calibri"/>
        <i/>
        <color theme="1"/>
        <sz val="11.0"/>
      </rPr>
      <t>d</t>
    </r>
    <r>
      <rPr>
        <rFont val="Calibri"/>
        <color theme="1"/>
        <sz val="11.0"/>
      </rPr>
      <t xml:space="preserve"> [mm]</t>
    </r>
  </si>
  <si>
    <r>
      <rPr>
        <rFont val="Calibri"/>
        <color theme="1"/>
        <sz val="11.0"/>
      </rPr>
      <t xml:space="preserve">Área del Cuerpo, </t>
    </r>
    <r>
      <rPr>
        <rFont val="Calibri"/>
        <i/>
        <color theme="1"/>
        <sz val="11.0"/>
      </rPr>
      <t>Ab [in^2]</t>
    </r>
  </si>
  <si>
    <t>2a</t>
  </si>
  <si>
    <r>
      <rPr>
        <rFont val="Calibri"/>
        <color theme="1"/>
        <sz val="11.0"/>
      </rPr>
      <t xml:space="preserve">Diámetro Nominal, </t>
    </r>
    <r>
      <rPr>
        <rFont val="Calibri"/>
        <i/>
        <color theme="1"/>
        <sz val="11.0"/>
      </rPr>
      <t>d</t>
    </r>
    <r>
      <rPr>
        <rFont val="Calibri"/>
        <color theme="1"/>
        <sz val="11.0"/>
      </rPr>
      <t xml:space="preserve"> [in]</t>
    </r>
  </si>
  <si>
    <r>
      <rPr>
        <rFont val="Calibri"/>
        <color theme="1"/>
        <sz val="11.0"/>
      </rPr>
      <t xml:space="preserve">Área a Tensión Roscada, </t>
    </r>
    <r>
      <rPr>
        <rFont val="Calibri"/>
        <i/>
        <color theme="1"/>
        <sz val="11.0"/>
      </rPr>
      <t>As</t>
    </r>
    <r>
      <rPr>
        <rFont val="Calibri"/>
        <color theme="1"/>
        <sz val="11.0"/>
      </rPr>
      <t xml:space="preserve"> [in^2]</t>
    </r>
  </si>
  <si>
    <t>2b</t>
  </si>
  <si>
    <r>
      <rPr>
        <rFont val="Calibri"/>
        <color theme="1"/>
        <sz val="11.0"/>
      </rPr>
      <t xml:space="preserve">Hilos por Pulgada, </t>
    </r>
    <r>
      <rPr>
        <rFont val="Calibri"/>
        <i/>
        <color theme="1"/>
        <sz val="11.0"/>
      </rPr>
      <t>n</t>
    </r>
    <r>
      <rPr>
        <rFont val="Calibri"/>
        <color theme="1"/>
        <sz val="11.0"/>
      </rPr>
      <t xml:space="preserve"> [1/in]</t>
    </r>
  </si>
  <si>
    <t xml:space="preserve">4.Determinación de cargas </t>
  </si>
  <si>
    <r>
      <rPr>
        <rFont val="Calibri"/>
        <color theme="1"/>
        <sz val="11.0"/>
      </rPr>
      <t xml:space="preserve">Paso, </t>
    </r>
    <r>
      <rPr>
        <rFont val="Calibri"/>
        <i/>
        <color theme="1"/>
        <sz val="11.0"/>
      </rPr>
      <t>P</t>
    </r>
    <r>
      <rPr>
        <rFont val="Calibri"/>
        <color theme="1"/>
        <sz val="11.0"/>
      </rPr>
      <t xml:space="preserve"> [in]</t>
    </r>
  </si>
  <si>
    <t>Cargas</t>
  </si>
  <si>
    <r>
      <rPr>
        <rFont val="Calibri"/>
        <color theme="1"/>
        <sz val="11.0"/>
      </rPr>
      <t xml:space="preserve">Paso, </t>
    </r>
    <r>
      <rPr>
        <rFont val="Calibri"/>
        <i/>
        <color theme="1"/>
        <sz val="11.0"/>
      </rPr>
      <t>P</t>
    </r>
    <r>
      <rPr>
        <rFont val="Calibri"/>
        <color theme="1"/>
        <sz val="11.0"/>
      </rPr>
      <t xml:space="preserve"> [mm]</t>
    </r>
  </si>
  <si>
    <r>
      <rPr>
        <rFont val="Calibri"/>
        <color theme="1"/>
        <sz val="11.0"/>
      </rPr>
      <t xml:space="preserve">Fuerza de Tensión Admisible, </t>
    </r>
    <r>
      <rPr>
        <rFont val="Calibri"/>
        <i/>
        <color theme="1"/>
        <sz val="11.0"/>
      </rPr>
      <t xml:space="preserve">Ft Max </t>
    </r>
    <r>
      <rPr>
        <rFont val="Calibri"/>
        <color theme="1"/>
        <sz val="11.0"/>
      </rPr>
      <t>[lb]</t>
    </r>
  </si>
  <si>
    <t>4a</t>
  </si>
  <si>
    <t>Tensión</t>
  </si>
  <si>
    <r>
      <rPr>
        <rFont val="Calibri"/>
        <color theme="1"/>
        <sz val="11.0"/>
      </rPr>
      <t xml:space="preserve">Número de Pernos, </t>
    </r>
    <r>
      <rPr>
        <rFont val="Calibri"/>
        <i/>
        <color theme="1"/>
        <sz val="11.0"/>
      </rPr>
      <t>m</t>
    </r>
  </si>
  <si>
    <t>1c</t>
  </si>
  <si>
    <r>
      <rPr>
        <rFont val="Calibri"/>
        <color theme="1"/>
        <sz val="11.0"/>
      </rPr>
      <t xml:space="preserve">Fuerza de Tensión Fluencia, </t>
    </r>
    <r>
      <rPr>
        <rFont val="Calibri"/>
        <i/>
        <color theme="1"/>
        <sz val="11.0"/>
      </rPr>
      <t xml:space="preserve">Fby </t>
    </r>
    <r>
      <rPr>
        <rFont val="Calibri"/>
        <color theme="1"/>
        <sz val="11.0"/>
      </rPr>
      <t>[lb]</t>
    </r>
  </si>
  <si>
    <t>Espesor de la Arandela [in]</t>
  </si>
  <si>
    <t>Sometidos a Cortante?</t>
  </si>
  <si>
    <t>no</t>
  </si>
  <si>
    <r>
      <rPr>
        <rFont val="Calibri"/>
        <color theme="1"/>
        <sz val="11.0"/>
      </rPr>
      <t xml:space="preserve">Centroide en x, </t>
    </r>
    <r>
      <rPr>
        <rFont val="Calibri"/>
        <i/>
        <color theme="1"/>
        <sz val="11.0"/>
      </rPr>
      <t xml:space="preserve">X </t>
    </r>
    <r>
      <rPr>
        <rFont val="Calibri"/>
        <color theme="1"/>
        <sz val="11.0"/>
      </rPr>
      <t>[in]</t>
    </r>
  </si>
  <si>
    <t>D interno - Arandela [in]</t>
  </si>
  <si>
    <r>
      <rPr>
        <rFont val="Calibri"/>
        <color theme="1"/>
        <sz val="11.0"/>
      </rPr>
      <t xml:space="preserve">Planos de cortante, </t>
    </r>
    <r>
      <rPr>
        <rFont val="Calibri"/>
        <i/>
        <color theme="1"/>
        <sz val="11.0"/>
      </rPr>
      <t>b</t>
    </r>
  </si>
  <si>
    <r>
      <rPr>
        <rFont val="Calibri"/>
        <color theme="1"/>
        <sz val="11.0"/>
      </rPr>
      <t xml:space="preserve">Centroide en y, </t>
    </r>
    <r>
      <rPr>
        <rFont val="Calibri"/>
        <i/>
        <color theme="1"/>
        <sz val="11.0"/>
      </rPr>
      <t>Y</t>
    </r>
    <r>
      <rPr>
        <rFont val="Calibri"/>
        <color theme="1"/>
        <sz val="11.0"/>
      </rPr>
      <t xml:space="preserve"> [in]</t>
    </r>
  </si>
  <si>
    <t>D externo - Arandela [in]</t>
  </si>
  <si>
    <r>
      <rPr>
        <rFont val="Calibri"/>
        <color theme="1"/>
        <sz val="11.0"/>
      </rPr>
      <t xml:space="preserve">Número de pernos, </t>
    </r>
    <r>
      <rPr>
        <rFont val="Calibri"/>
        <i/>
        <color theme="1"/>
        <sz val="11.0"/>
      </rPr>
      <t>m</t>
    </r>
  </si>
  <si>
    <t>Espesor de la Contratuerca [in]</t>
  </si>
  <si>
    <r>
      <rPr>
        <rFont val="Calibri"/>
        <color theme="1"/>
        <sz val="11.0"/>
      </rPr>
      <t xml:space="preserve">Fuerza Cortante 1, </t>
    </r>
    <r>
      <rPr>
        <rFont val="Calibri"/>
        <i/>
        <color theme="1"/>
        <sz val="11.0"/>
      </rPr>
      <t>F1</t>
    </r>
    <r>
      <rPr>
        <rFont val="Calibri"/>
        <color theme="1"/>
        <sz val="11.0"/>
      </rPr>
      <t xml:space="preserve"> [lb]</t>
    </r>
  </si>
  <si>
    <t>4b</t>
  </si>
  <si>
    <t xml:space="preserve">Determinado de DCL de diseño de eje </t>
  </si>
  <si>
    <t>Espesor Placa 1 [mm]</t>
  </si>
  <si>
    <t>1d</t>
  </si>
  <si>
    <t>1e</t>
  </si>
  <si>
    <r>
      <rPr>
        <rFont val="Calibri"/>
        <color theme="1"/>
        <sz val="11.0"/>
      </rPr>
      <t xml:space="preserve">Fuerza Cortante 2, </t>
    </r>
    <r>
      <rPr>
        <rFont val="Calibri"/>
        <i/>
        <color theme="1"/>
        <sz val="11.0"/>
      </rPr>
      <t>F2</t>
    </r>
    <r>
      <rPr>
        <rFont val="Calibri"/>
        <color theme="1"/>
        <sz val="11.0"/>
      </rPr>
      <t xml:space="preserve"> [lb]</t>
    </r>
  </si>
  <si>
    <t xml:space="preserve">y de las reacciones </t>
  </si>
  <si>
    <t>Espesor Placa 2 [mm]</t>
  </si>
  <si>
    <r>
      <rPr>
        <rFont val="Calibri"/>
        <color theme="1"/>
        <sz val="11.0"/>
      </rPr>
      <t xml:space="preserve">Fuerza Cortante en la Junta, </t>
    </r>
    <r>
      <rPr>
        <rFont val="Calibri"/>
        <i/>
        <color theme="1"/>
        <sz val="11.0"/>
      </rPr>
      <t>Fs</t>
    </r>
    <r>
      <rPr>
        <rFont val="Calibri"/>
        <color theme="1"/>
        <sz val="11.0"/>
      </rPr>
      <t xml:space="preserve"> [lb]</t>
    </r>
  </si>
  <si>
    <t>Coeficiente de desplazamiento de una junta de fricción ns</t>
  </si>
  <si>
    <t>Espesor Perfil [mm]</t>
  </si>
  <si>
    <r>
      <rPr>
        <rFont val="Calibri"/>
        <color theme="1"/>
        <sz val="11.0"/>
      </rPr>
      <t xml:space="preserve">Fuerza Primaria, </t>
    </r>
    <r>
      <rPr>
        <rFont val="Calibri"/>
        <i/>
        <color theme="1"/>
        <sz val="11.0"/>
      </rPr>
      <t xml:space="preserve">Fb </t>
    </r>
    <r>
      <rPr>
        <rFont val="Calibri"/>
        <color theme="1"/>
        <sz val="11.0"/>
      </rPr>
      <t>[lb]</t>
    </r>
  </si>
  <si>
    <t>4c</t>
  </si>
  <si>
    <t>Espesor Placa 1 [in]</t>
  </si>
  <si>
    <r>
      <rPr>
        <rFont val="Calibri"/>
        <color theme="1"/>
        <sz val="11.0"/>
      </rPr>
      <t xml:space="preserve">Distancia al Centroide F1, </t>
    </r>
    <r>
      <rPr>
        <rFont val="Calibri"/>
        <i/>
        <color theme="1"/>
        <sz val="11.0"/>
      </rPr>
      <t>ds1</t>
    </r>
    <r>
      <rPr>
        <rFont val="Calibri"/>
        <color theme="1"/>
        <sz val="11.0"/>
      </rPr>
      <t xml:space="preserve"> [in]</t>
    </r>
  </si>
  <si>
    <t>4d</t>
  </si>
  <si>
    <t>Determinado geometricamente</t>
  </si>
  <si>
    <t>Espesor Placa 2 [in]</t>
  </si>
  <si>
    <r>
      <rPr>
        <rFont val="Calibri"/>
        <color theme="1"/>
        <sz val="11.0"/>
      </rPr>
      <t xml:space="preserve">Distancia al Centroide F2, </t>
    </r>
    <r>
      <rPr>
        <rFont val="Calibri"/>
        <i/>
        <color theme="1"/>
        <sz val="11.0"/>
      </rPr>
      <t>ds2</t>
    </r>
    <r>
      <rPr>
        <rFont val="Calibri"/>
        <color theme="1"/>
        <sz val="11.0"/>
      </rPr>
      <t xml:space="preserve"> [in]</t>
    </r>
  </si>
  <si>
    <t>Espesor Perfil [in]</t>
  </si>
  <si>
    <r>
      <rPr>
        <rFont val="Calibri"/>
        <color theme="1"/>
        <sz val="11.0"/>
      </rPr>
      <t xml:space="preserve">Momento de Carga, </t>
    </r>
    <r>
      <rPr>
        <rFont val="Calibri"/>
        <i/>
        <color theme="1"/>
        <sz val="11.0"/>
      </rPr>
      <t xml:space="preserve">M </t>
    </r>
    <r>
      <rPr>
        <rFont val="Calibri"/>
        <color theme="1"/>
        <sz val="11.0"/>
      </rPr>
      <t>[lb-in]</t>
    </r>
  </si>
  <si>
    <t>4e</t>
  </si>
  <si>
    <r>
      <rPr>
        <rFont val="Calibri"/>
        <color theme="1"/>
        <sz val="11.0"/>
      </rPr>
      <t xml:space="preserve">Longitud de Agarre, </t>
    </r>
    <r>
      <rPr>
        <rFont val="Calibri"/>
        <i/>
        <color theme="1"/>
        <sz val="11.0"/>
      </rPr>
      <t xml:space="preserve">Lg </t>
    </r>
    <r>
      <rPr>
        <rFont val="Calibri"/>
        <color theme="1"/>
        <sz val="11.0"/>
      </rPr>
      <t>[in]</t>
    </r>
  </si>
  <si>
    <t xml:space="preserve">Determinación de cargas  Sistema corte motor </t>
  </si>
  <si>
    <r>
      <rPr>
        <rFont val="Calibri"/>
        <color theme="1"/>
        <sz val="11.0"/>
      </rPr>
      <t xml:space="preserve">Esfuerzo Cortante Máximo, </t>
    </r>
    <r>
      <rPr>
        <rFont val="Calibri"/>
        <i/>
        <color theme="1"/>
        <sz val="11.0"/>
      </rPr>
      <t>Sr max</t>
    </r>
    <r>
      <rPr>
        <rFont val="Calibri"/>
        <color theme="1"/>
        <sz val="11.0"/>
      </rPr>
      <t xml:space="preserve"> [psi]</t>
    </r>
  </si>
  <si>
    <t>4h</t>
  </si>
  <si>
    <t>Maximo entre los esfuerzos de cada perno</t>
  </si>
  <si>
    <r>
      <rPr>
        <rFont val="Calibri"/>
        <color theme="1"/>
        <sz val="11.0"/>
      </rPr>
      <t xml:space="preserve">Longitud del Perno, </t>
    </r>
    <r>
      <rPr>
        <rFont val="Calibri"/>
        <i/>
        <color theme="1"/>
        <sz val="11.0"/>
      </rPr>
      <t>L</t>
    </r>
    <r>
      <rPr>
        <rFont val="Calibri"/>
        <color theme="1"/>
        <sz val="11.0"/>
      </rPr>
      <t xml:space="preserve"> [in]</t>
    </r>
  </si>
  <si>
    <t>1f</t>
  </si>
  <si>
    <t>espesor de todo el material apretado entre la cara del perno y la cara de la tuerca</t>
  </si>
  <si>
    <t>A partir de las reacciones determinadas en la sección de ejes Fdx (N) y Fcx (N)</t>
  </si>
  <si>
    <r>
      <rPr>
        <rFont val="Calibri"/>
        <color theme="1"/>
        <sz val="11.0"/>
      </rPr>
      <t xml:space="preserve">Relación de Esfuerzos, </t>
    </r>
    <r>
      <rPr>
        <rFont val="Calibri"/>
        <i/>
        <color theme="1"/>
        <sz val="11.0"/>
      </rPr>
      <t>λ</t>
    </r>
  </si>
  <si>
    <t>4i</t>
  </si>
  <si>
    <t>SR max/Su</t>
  </si>
  <si>
    <r>
      <rPr>
        <rFont val="Calibri"/>
        <color theme="1"/>
        <sz val="11.0"/>
      </rPr>
      <t xml:space="preserve">Longitud Roscada, </t>
    </r>
    <r>
      <rPr>
        <rFont val="Calibri"/>
        <i/>
        <color theme="1"/>
        <sz val="11.0"/>
      </rPr>
      <t>Ls</t>
    </r>
    <r>
      <rPr>
        <rFont val="Calibri"/>
        <color theme="1"/>
        <sz val="11.0"/>
      </rPr>
      <t xml:space="preserve"> [in]</t>
    </r>
  </si>
  <si>
    <t>1g</t>
  </si>
  <si>
    <r>
      <rPr>
        <rFont val="Calibri"/>
        <color theme="1"/>
        <sz val="11.0"/>
      </rPr>
      <t xml:space="preserve">Resistencia a la Tensión Máxima, </t>
    </r>
    <r>
      <rPr>
        <rFont val="Calibri"/>
        <i/>
        <color theme="1"/>
        <sz val="11.0"/>
      </rPr>
      <t xml:space="preserve">σt max </t>
    </r>
    <r>
      <rPr>
        <rFont val="Calibri"/>
        <color theme="1"/>
        <sz val="11.0"/>
      </rPr>
      <t>[psi]</t>
    </r>
  </si>
  <si>
    <t>4j</t>
  </si>
  <si>
    <r>
      <rPr>
        <rFont val="Calibri"/>
        <color theme="1"/>
        <sz val="11.0"/>
      </rPr>
      <t xml:space="preserve">Longitud Sin Rosca, </t>
    </r>
    <r>
      <rPr>
        <rFont val="Calibri"/>
        <i/>
        <color theme="1"/>
        <sz val="11.0"/>
      </rPr>
      <t>Lb</t>
    </r>
    <r>
      <rPr>
        <rFont val="Calibri"/>
        <color theme="1"/>
        <sz val="11.0"/>
      </rPr>
      <t xml:space="preserve"> [in]</t>
    </r>
  </si>
  <si>
    <t>1h</t>
  </si>
  <si>
    <t>&gt;Lg+espesor de la contratuerca</t>
  </si>
  <si>
    <t>Determinación de cargas sistema corte estructura</t>
  </si>
  <si>
    <r>
      <rPr>
        <rFont val="Calibri"/>
        <color theme="1"/>
        <sz val="11.0"/>
      </rPr>
      <t xml:space="preserve">Fuerza de Tensión Admisible, </t>
    </r>
    <r>
      <rPr>
        <rFont val="Calibri"/>
        <i/>
        <color theme="1"/>
        <sz val="11.0"/>
      </rPr>
      <t xml:space="preserve">Ft Max </t>
    </r>
    <r>
      <rPr>
        <rFont val="Calibri"/>
        <color theme="1"/>
        <sz val="11.0"/>
      </rPr>
      <t>[lb]</t>
    </r>
  </si>
  <si>
    <t>Cortante</t>
  </si>
  <si>
    <r>
      <rPr>
        <rFont val="Calibri"/>
        <color theme="1"/>
        <sz val="11.0"/>
      </rPr>
      <t xml:space="preserve">Longitud Roscada Agarre, </t>
    </r>
    <r>
      <rPr>
        <rFont val="Calibri"/>
        <i/>
        <color theme="1"/>
        <sz val="11.0"/>
      </rPr>
      <t xml:space="preserve">ls </t>
    </r>
    <r>
      <rPr>
        <rFont val="Calibri"/>
        <color theme="1"/>
        <sz val="11.0"/>
      </rPr>
      <t>[in]</t>
    </r>
  </si>
  <si>
    <t>1i</t>
  </si>
  <si>
    <t>Torqueados?</t>
  </si>
  <si>
    <r>
      <rPr>
        <rFont val="Calibri"/>
        <color theme="1"/>
        <sz val="11.0"/>
      </rPr>
      <t xml:space="preserve">Módulo Elástico, </t>
    </r>
    <r>
      <rPr>
        <rFont val="Calibri"/>
        <i/>
        <color theme="1"/>
        <sz val="11.0"/>
      </rPr>
      <t>E</t>
    </r>
    <r>
      <rPr>
        <rFont val="Calibri"/>
        <color theme="1"/>
        <sz val="11.0"/>
      </rPr>
      <t xml:space="preserve"> [psi]</t>
    </r>
  </si>
  <si>
    <t>1j</t>
  </si>
  <si>
    <r>
      <rPr>
        <rFont val="Calibri"/>
        <color theme="1"/>
        <sz val="11.0"/>
      </rPr>
      <t xml:space="preserve">Fuerza de Tensión Admisible, </t>
    </r>
    <r>
      <rPr>
        <rFont val="Calibri"/>
        <i/>
        <color theme="1"/>
        <sz val="11.0"/>
      </rPr>
      <t xml:space="preserve">Ft Max </t>
    </r>
    <r>
      <rPr>
        <rFont val="Calibri"/>
        <color theme="1"/>
        <sz val="11.0"/>
      </rPr>
      <t>[lb]</t>
    </r>
  </si>
  <si>
    <t>Torque</t>
  </si>
  <si>
    <r>
      <rPr>
        <rFont val="Calibri"/>
        <color theme="1"/>
        <sz val="11.0"/>
      </rPr>
      <t xml:space="preserve">Mínima Resistencia Última, </t>
    </r>
    <r>
      <rPr>
        <rFont val="Calibri"/>
        <i/>
        <color theme="1"/>
        <sz val="11.0"/>
      </rPr>
      <t xml:space="preserve">Su </t>
    </r>
    <r>
      <rPr>
        <rFont val="Calibri"/>
        <color theme="1"/>
        <sz val="11.0"/>
      </rPr>
      <t>[psi]</t>
    </r>
  </si>
  <si>
    <r>
      <rPr>
        <rFont val="Calibri"/>
        <color theme="1"/>
        <sz val="11.0"/>
      </rPr>
      <t xml:space="preserve">Fuerza Externa en la Junta, </t>
    </r>
    <r>
      <rPr>
        <rFont val="Calibri"/>
        <i/>
        <color theme="1"/>
        <sz val="11.0"/>
      </rPr>
      <t xml:space="preserve">Fx </t>
    </r>
    <r>
      <rPr>
        <rFont val="Calibri"/>
        <color theme="1"/>
        <sz val="11.0"/>
      </rPr>
      <t>[lb]</t>
    </r>
  </si>
  <si>
    <r>
      <rPr>
        <rFont val="Calibri"/>
        <color theme="1"/>
        <sz val="11.0"/>
      </rPr>
      <t xml:space="preserve">Resistencia Fluencia Perno, </t>
    </r>
    <r>
      <rPr>
        <rFont val="Calibri"/>
        <i/>
        <color theme="1"/>
        <sz val="11.0"/>
      </rPr>
      <t xml:space="preserve">Syb </t>
    </r>
    <r>
      <rPr>
        <rFont val="Calibri"/>
        <color theme="1"/>
        <sz val="11.0"/>
      </rPr>
      <t>[psi]</t>
    </r>
  </si>
  <si>
    <r>
      <rPr>
        <rFont val="Calibri"/>
        <color theme="1"/>
        <sz val="11.0"/>
      </rPr>
      <t xml:space="preserve">Relación Última de Esfuerzos, </t>
    </r>
    <r>
      <rPr>
        <rFont val="Calibri"/>
        <i/>
        <color theme="1"/>
        <sz val="11.0"/>
      </rPr>
      <t>S</t>
    </r>
  </si>
  <si>
    <r>
      <rPr>
        <rFont val="Calibri"/>
        <color theme="1"/>
        <sz val="11.0"/>
      </rPr>
      <t xml:space="preserve">Resistencia Proof, </t>
    </r>
    <r>
      <rPr>
        <rFont val="Calibri"/>
        <i/>
        <color theme="1"/>
        <sz val="11.0"/>
      </rPr>
      <t xml:space="preserve">Sp </t>
    </r>
    <r>
      <rPr>
        <rFont val="Calibri"/>
        <color theme="1"/>
        <sz val="11.0"/>
      </rPr>
      <t>[psi]</t>
    </r>
  </si>
  <si>
    <r>
      <rPr>
        <rFont val="Calibri"/>
        <color theme="1"/>
        <sz val="11.0"/>
      </rPr>
      <t xml:space="preserve">Precarga Mínima, </t>
    </r>
    <r>
      <rPr>
        <rFont val="Calibri"/>
        <i/>
        <color theme="1"/>
        <sz val="11.0"/>
      </rPr>
      <t>Fc min</t>
    </r>
    <r>
      <rPr>
        <rFont val="Calibri"/>
        <color theme="1"/>
        <sz val="11.0"/>
      </rPr>
      <t xml:space="preserve"> [lb]</t>
    </r>
  </si>
  <si>
    <t>4k</t>
  </si>
  <si>
    <t>Unicamente Tensión</t>
  </si>
  <si>
    <t>Pasos b,c,d,e,f,g,h.i.j no se realizan</t>
  </si>
  <si>
    <r>
      <rPr>
        <rFont val="Calibri"/>
        <color theme="1"/>
        <sz val="11.0"/>
      </rPr>
      <t xml:space="preserve">Resistencia al Corte (Unión), </t>
    </r>
    <r>
      <rPr>
        <rFont val="Calibri"/>
        <i/>
        <color theme="1"/>
        <sz val="11.0"/>
      </rPr>
      <t>Ss</t>
    </r>
    <r>
      <rPr>
        <rFont val="Calibri"/>
        <color theme="1"/>
        <sz val="11.0"/>
      </rPr>
      <t xml:space="preserve"> [psi]</t>
    </r>
  </si>
  <si>
    <t>L-Ls</t>
  </si>
  <si>
    <r>
      <rPr>
        <rFont val="Calibri"/>
        <color theme="1"/>
        <sz val="11.0"/>
      </rPr>
      <t xml:space="preserve">Precarga Objetivo, </t>
    </r>
    <r>
      <rPr>
        <rFont val="Calibri"/>
        <i/>
        <color theme="1"/>
        <sz val="11.0"/>
      </rPr>
      <t>Fpt</t>
    </r>
    <r>
      <rPr>
        <rFont val="Calibri"/>
        <color theme="1"/>
        <sz val="11.0"/>
      </rPr>
      <t xml:space="preserve"> [lb]</t>
    </r>
  </si>
  <si>
    <t>4l</t>
  </si>
  <si>
    <r>
      <rPr>
        <rFont val="Calibri"/>
        <color theme="1"/>
        <sz val="11.0"/>
      </rPr>
      <t xml:space="preserve">Scatter de Precarga, </t>
    </r>
    <r>
      <rPr>
        <rFont val="Calibri"/>
        <i/>
        <color theme="1"/>
        <sz val="11.0"/>
      </rPr>
      <t>Ps</t>
    </r>
  </si>
  <si>
    <t>1k</t>
  </si>
  <si>
    <t>Lg-Lb</t>
  </si>
  <si>
    <r>
      <rPr>
        <rFont val="Calibri"/>
        <color theme="1"/>
        <sz val="11.0"/>
      </rPr>
      <t xml:space="preserve">Precarga Máxima, </t>
    </r>
    <r>
      <rPr>
        <rFont val="Calibri"/>
        <i/>
        <color theme="1"/>
        <sz val="11.0"/>
      </rPr>
      <t>Fp max</t>
    </r>
    <r>
      <rPr>
        <rFont val="Calibri"/>
        <color theme="1"/>
        <sz val="11.0"/>
      </rPr>
      <t xml:space="preserve"> [lb]</t>
    </r>
  </si>
  <si>
    <t>4m</t>
  </si>
  <si>
    <r>
      <rPr>
        <rFont val="Calibri"/>
        <color theme="1"/>
        <sz val="11.0"/>
      </rPr>
      <t xml:space="preserve">Porcentaje de Pérdida, </t>
    </r>
    <r>
      <rPr>
        <rFont val="Calibri"/>
        <i/>
        <color theme="1"/>
        <sz val="11.0"/>
      </rPr>
      <t>Pz</t>
    </r>
  </si>
  <si>
    <t>1l</t>
  </si>
  <si>
    <r>
      <rPr>
        <rFont val="Calibri"/>
        <color theme="1"/>
        <sz val="11.0"/>
      </rPr>
      <t xml:space="preserve">Tensión Máxima Anticipada, </t>
    </r>
    <r>
      <rPr>
        <rFont val="Calibri"/>
        <i/>
        <color theme="1"/>
        <sz val="11.0"/>
      </rPr>
      <t xml:space="preserve">Fb max </t>
    </r>
    <r>
      <rPr>
        <rFont val="Calibri"/>
        <color theme="1"/>
        <sz val="11.0"/>
      </rPr>
      <t>[lb]</t>
    </r>
  </si>
  <si>
    <t>4n</t>
  </si>
  <si>
    <t xml:space="preserve">Sometido a cortante </t>
  </si>
  <si>
    <r>
      <rPr>
        <rFont val="Calibri"/>
        <color theme="1"/>
        <sz val="11.0"/>
      </rPr>
      <t xml:space="preserve">Factor de Tuerca, </t>
    </r>
    <r>
      <rPr>
        <rFont val="Calibri"/>
        <i/>
        <color theme="1"/>
        <sz val="11.0"/>
      </rPr>
      <t>K</t>
    </r>
  </si>
  <si>
    <t>1m</t>
  </si>
  <si>
    <r>
      <rPr>
        <rFont val="Calibri"/>
        <color theme="1"/>
        <sz val="11.0"/>
      </rPr>
      <t xml:space="preserve">Fuerza de Unión Mínima Anticipada, </t>
    </r>
    <r>
      <rPr>
        <rFont val="Calibri"/>
        <i/>
        <color theme="1"/>
        <sz val="11.0"/>
      </rPr>
      <t xml:space="preserve">Fj min </t>
    </r>
    <r>
      <rPr>
        <rFont val="Calibri"/>
        <color theme="1"/>
        <sz val="11.0"/>
      </rPr>
      <t>[lb]</t>
    </r>
  </si>
  <si>
    <t>4o</t>
  </si>
  <si>
    <t>4j,a</t>
  </si>
  <si>
    <t xml:space="preserve">   4f</t>
  </si>
  <si>
    <t>Determinadas a partir de las reaccines encontradas en el entorno de simulación en inventor y se analizo la que obtivo mayo carga (ver informe cuadro 9, soporte3)</t>
  </si>
  <si>
    <r>
      <rPr>
        <rFont val="Calibri"/>
        <color theme="1"/>
        <sz val="11.0"/>
      </rPr>
      <t xml:space="preserve">Torque, </t>
    </r>
    <r>
      <rPr>
        <rFont val="Calibri"/>
        <i/>
        <color theme="1"/>
        <sz val="11.0"/>
      </rPr>
      <t>T</t>
    </r>
    <r>
      <rPr>
        <rFont val="Calibri"/>
        <color theme="1"/>
        <sz val="11.0"/>
      </rPr>
      <t xml:space="preserve"> [lb-in]</t>
    </r>
  </si>
  <si>
    <t>4p</t>
  </si>
  <si>
    <t xml:space="preserve">1m </t>
  </si>
  <si>
    <t>3. Determinar Rigidez</t>
  </si>
  <si>
    <t>Rigidez</t>
  </si>
  <si>
    <r>
      <rPr>
        <rFont val="Calibri"/>
        <color theme="1"/>
        <sz val="11.0"/>
      </rPr>
      <t xml:space="preserve">Sujetador, </t>
    </r>
    <r>
      <rPr>
        <rFont val="Calibri"/>
        <i/>
        <color theme="1"/>
        <sz val="11.0"/>
      </rPr>
      <t>kb</t>
    </r>
    <r>
      <rPr>
        <rFont val="Calibri"/>
        <color theme="1"/>
        <sz val="11.0"/>
      </rPr>
      <t xml:space="preserve"> [lb/in]</t>
    </r>
  </si>
  <si>
    <t>3a</t>
  </si>
  <si>
    <t>Sometidos a torque</t>
  </si>
  <si>
    <r>
      <rPr>
        <rFont val="Calibri"/>
        <color theme="1"/>
        <sz val="11.0"/>
      </rPr>
      <t xml:space="preserve">Junta, </t>
    </r>
    <r>
      <rPr>
        <rFont val="Calibri"/>
        <i/>
        <color theme="1"/>
        <sz val="11.0"/>
      </rPr>
      <t>kj</t>
    </r>
    <r>
      <rPr>
        <rFont val="Calibri"/>
        <color theme="1"/>
        <sz val="11.0"/>
      </rPr>
      <t xml:space="preserve"> [lb/in]</t>
    </r>
  </si>
  <si>
    <t>3b</t>
  </si>
  <si>
    <t xml:space="preserve">4p </t>
  </si>
  <si>
    <t>Soldadura</t>
  </si>
  <si>
    <t>E70 tau Max (MPa)</t>
  </si>
  <si>
    <t>Perfil</t>
  </si>
  <si>
    <t>Perfiles citicos</t>
  </si>
  <si>
    <t>F tensión u compresión (N)</t>
  </si>
  <si>
    <t>F cortante (N)</t>
  </si>
  <si>
    <t>M flexión [Nm]</t>
  </si>
  <si>
    <t>Aw[m]</t>
  </si>
  <si>
    <t>Sw[m^2]</t>
  </si>
  <si>
    <t>fn[N/m]</t>
  </si>
  <si>
    <t>fs[N/m]</t>
  </si>
  <si>
    <t>fb[N/m]</t>
  </si>
  <si>
    <t>FR[N/m]</t>
  </si>
  <si>
    <t>t [mm]</t>
  </si>
  <si>
    <t>w [mm]</t>
  </si>
  <si>
    <t>Cuadrado 50,8*50,8 vertical</t>
  </si>
  <si>
    <t>Cuadrado 50,8*50,8 Horizontal</t>
  </si>
  <si>
    <t>En l 50,8*50,8</t>
  </si>
  <si>
    <t>Fcx [N]</t>
  </si>
  <si>
    <t>M-FCx [mm]</t>
  </si>
  <si>
    <t>Cx</t>
  </si>
  <si>
    <t>Ax [N]</t>
  </si>
  <si>
    <t>Mcy [Nm]</t>
  </si>
  <si>
    <t>d M-1,,4 [mm]</t>
  </si>
  <si>
    <t>Wm [N]</t>
  </si>
  <si>
    <t>Ay [N]</t>
  </si>
  <si>
    <t>F_MC [N]</t>
  </si>
  <si>
    <t>Theta</t>
  </si>
  <si>
    <t>We [N]</t>
  </si>
  <si>
    <t>Bx [N]</t>
  </si>
  <si>
    <t>By [N]</t>
  </si>
  <si>
    <t>Fuerzas en agujeros por Mcy</t>
  </si>
  <si>
    <t>F1cx [N]</t>
  </si>
  <si>
    <t>F1cz [N]</t>
  </si>
  <si>
    <t>Ubicación</t>
  </si>
  <si>
    <t>Fx Total [N]</t>
  </si>
  <si>
    <t>Fy Total [N]</t>
  </si>
  <si>
    <t>Fz Total [N]</t>
  </si>
  <si>
    <t>F2cx [N]</t>
  </si>
  <si>
    <t>F2cz [N]</t>
  </si>
  <si>
    <t>F3cx [N]</t>
  </si>
  <si>
    <t>F3cz [N]</t>
  </si>
  <si>
    <t>F4cx [N]</t>
  </si>
  <si>
    <t>F4cz [N]</t>
  </si>
  <si>
    <t>Fuerzas ejes Ansys</t>
  </si>
  <si>
    <t>Posicion</t>
  </si>
  <si>
    <t>Z</t>
  </si>
  <si>
    <t>Y</t>
  </si>
  <si>
    <t>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</si>
</sst>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00"/>
    <numFmt numFmtId="165" formatCode="0.0000"/>
    <numFmt numFmtId="166" formatCode="0.00000"/>
    <numFmt numFmtId="167" formatCode="0.000000"/>
    <numFmt numFmtId="168" formatCode="#,##0.0000"/>
    <numFmt numFmtId="169" formatCode="#,##0.00000"/>
  </numFmts>
  <fonts count="12">
    <font>
      <sz val="11.0"/>
      <color theme="1"/>
      <name val="Calibri"/>
      <scheme val="minor"/>
    </font>
    <font>
      <b/>
      <sz val="12.0"/>
      <color theme="1"/>
      <name val="Calibri"/>
    </font>
    <font/>
    <font>
      <sz val="11.0"/>
      <color theme="1"/>
      <name val="Calibri"/>
    </font>
    <font>
      <b/>
      <sz val="11.0"/>
      <color theme="1"/>
      <name val="Calibri"/>
    </font>
    <font>
      <b/>
      <sz val="14.0"/>
      <color theme="1"/>
      <name val="Calibri"/>
    </font>
    <font>
      <b/>
      <sz val="11.0"/>
      <color theme="0"/>
      <name val="Calibri"/>
    </font>
    <font>
      <sz val="11.0"/>
      <color rgb="FF000000"/>
      <name val="Calibri"/>
    </font>
    <font>
      <b/>
      <sz val="18.0"/>
      <color theme="1"/>
      <name val="Calibri"/>
    </font>
    <font>
      <sz val="9.0"/>
      <color theme="1"/>
      <name val="Calibri"/>
    </font>
    <font>
      <color theme="1"/>
      <name val="Calibri"/>
      <scheme val="minor"/>
    </font>
    <font>
      <sz val="10.0"/>
      <color rgb="FF000000"/>
      <name val="Calibri"/>
      <scheme val="minor"/>
    </font>
  </fonts>
  <fills count="2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B4C6E7"/>
        <bgColor rgb="FFB4C6E7"/>
      </patternFill>
    </fill>
    <fill>
      <patternFill patternType="solid">
        <fgColor rgb="FF7030A0"/>
        <bgColor rgb="FF7030A0"/>
      </patternFill>
    </fill>
    <fill>
      <patternFill patternType="solid">
        <fgColor rgb="FFFF0000"/>
        <bgColor rgb="FFFF0000"/>
      </patternFill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  <fill>
      <patternFill patternType="solid">
        <fgColor rgb="FF99FF99"/>
        <bgColor rgb="FF99FF99"/>
      </patternFill>
    </fill>
    <fill>
      <patternFill patternType="solid">
        <fgColor rgb="FF6666FF"/>
        <bgColor rgb="FF6666FF"/>
      </patternFill>
    </fill>
    <fill>
      <patternFill patternType="solid">
        <fgColor rgb="FFBDD6EE"/>
        <bgColor rgb="FFBDD6EE"/>
      </patternFill>
    </fill>
    <fill>
      <patternFill patternType="solid">
        <fgColor rgb="FF66FF66"/>
        <bgColor rgb="FF66FF66"/>
      </patternFill>
    </fill>
    <fill>
      <patternFill patternType="solid">
        <fgColor rgb="FF9966FF"/>
        <bgColor rgb="FF9966FF"/>
      </patternFill>
    </fill>
    <fill>
      <patternFill patternType="solid">
        <fgColor rgb="FFC8C8C8"/>
        <bgColor rgb="FFC8C8C8"/>
      </patternFill>
    </fill>
    <fill>
      <patternFill patternType="solid">
        <fgColor rgb="FFB2ADB9"/>
        <bgColor rgb="FFB2ADB9"/>
      </patternFill>
    </fill>
    <fill>
      <patternFill patternType="solid">
        <fgColor rgb="FF2E75B5"/>
        <bgColor rgb="FF2E75B5"/>
      </patternFill>
    </fill>
    <fill>
      <patternFill patternType="solid">
        <fgColor rgb="FFD5A6BD"/>
        <bgColor rgb="FFD5A6BD"/>
      </patternFill>
    </fill>
    <fill>
      <patternFill patternType="solid">
        <fgColor rgb="FF002060"/>
        <bgColor rgb="FF002060"/>
      </patternFill>
    </fill>
    <fill>
      <patternFill patternType="solid">
        <fgColor rgb="FFD6DCE4"/>
        <bgColor rgb="FFD6DCE4"/>
      </patternFill>
    </fill>
    <fill>
      <patternFill patternType="solid">
        <fgColor rgb="FFFFFFFF"/>
        <bgColor rgb="FFFFFFFF"/>
      </patternFill>
    </fill>
  </fills>
  <borders count="65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/>
      <right/>
      <top/>
      <bottom/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medium">
        <color rgb="FF000000"/>
      </left>
      <top/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/>
    </border>
    <border>
      <left/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</border>
    <border>
      <right/>
      <bottom style="medium">
        <color rgb="FF000000"/>
      </bottom>
    </border>
    <border>
      <left/>
      <bottom style="medium">
        <color rgb="FF000000"/>
      </bottom>
    </border>
    <border>
      <right/>
      <top/>
      <bottom/>
    </border>
    <border>
      <left/>
      <right/>
      <top/>
    </border>
    <border>
      <left/>
      <right/>
      <bottom/>
    </border>
    <border>
      <left/>
      <right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vertical="center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3" fontId="3" numFmtId="0" xfId="0" applyAlignment="1" applyBorder="1" applyFont="1">
      <alignment horizontal="center" vertical="center"/>
    </xf>
    <xf borderId="9" fillId="3" fontId="3" numFmtId="0" xfId="0" applyAlignment="1" applyBorder="1" applyFont="1">
      <alignment horizontal="center" vertical="center"/>
    </xf>
    <xf borderId="4" fillId="3" fontId="3" numFmtId="11" xfId="0" applyAlignment="1" applyBorder="1" applyFont="1" applyNumberFormat="1">
      <alignment horizontal="center" vertical="center"/>
    </xf>
    <xf borderId="10" fillId="3" fontId="3" numFmtId="0" xfId="0" applyAlignment="1" applyBorder="1" applyFont="1">
      <alignment horizontal="center" vertical="center"/>
    </xf>
    <xf borderId="11" fillId="3" fontId="3" numFmtId="0" xfId="0" applyAlignment="1" applyBorder="1" applyFont="1">
      <alignment horizontal="center" vertical="center"/>
    </xf>
    <xf borderId="12" fillId="3" fontId="3" numFmtId="0" xfId="0" applyAlignment="1" applyBorder="1" applyFont="1">
      <alignment horizontal="center" vertical="center"/>
    </xf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3" fontId="3" numFmtId="0" xfId="0" applyAlignment="1" applyBorder="1" applyFont="1">
      <alignment horizontal="center" vertical="center"/>
    </xf>
    <xf borderId="19" fillId="3" fontId="3" numFmtId="0" xfId="0" applyAlignment="1" applyBorder="1" applyFont="1">
      <alignment horizontal="center" vertical="center"/>
    </xf>
    <xf borderId="20" fillId="3" fontId="4" numFmtId="0" xfId="0" applyAlignment="1" applyBorder="1" applyFont="1">
      <alignment horizontal="center" vertical="center"/>
    </xf>
    <xf borderId="21" fillId="0" fontId="2" numFmtId="0" xfId="0" applyBorder="1" applyFont="1"/>
    <xf borderId="1" fillId="2" fontId="5" numFmtId="0" xfId="0" applyAlignment="1" applyBorder="1" applyFont="1">
      <alignment horizontal="center" vertical="center"/>
    </xf>
    <xf borderId="20" fillId="4" fontId="4" numFmtId="0" xfId="0" applyAlignment="1" applyBorder="1" applyFill="1" applyFont="1">
      <alignment horizontal="center" vertical="center"/>
    </xf>
    <xf borderId="22" fillId="0" fontId="2" numFmtId="0" xfId="0" applyBorder="1" applyFont="1"/>
    <xf borderId="20" fillId="5" fontId="6" numFmtId="0" xfId="0" applyAlignment="1" applyBorder="1" applyFill="1" applyFont="1">
      <alignment horizontal="center" vertical="center"/>
    </xf>
    <xf borderId="23" fillId="3" fontId="3" numFmtId="0" xfId="0" applyAlignment="1" applyBorder="1" applyFont="1">
      <alignment horizontal="center" vertical="center"/>
    </xf>
    <xf borderId="24" fillId="0" fontId="2" numFmtId="0" xfId="0" applyBorder="1" applyFont="1"/>
    <xf borderId="25" fillId="3" fontId="3" numFmtId="0" xfId="0" applyAlignment="1" applyBorder="1" applyFont="1">
      <alignment horizontal="center" vertical="center"/>
    </xf>
    <xf borderId="26" fillId="3" fontId="3" numFmtId="0" xfId="0" applyAlignment="1" applyBorder="1" applyFont="1">
      <alignment horizontal="center" vertical="center"/>
    </xf>
    <xf borderId="27" fillId="3" fontId="3" numFmtId="0" xfId="0" applyAlignment="1" applyBorder="1" applyFont="1">
      <alignment horizontal="center" vertical="center"/>
    </xf>
    <xf borderId="28" fillId="0" fontId="2" numFmtId="0" xfId="0" applyBorder="1" applyFont="1"/>
    <xf borderId="27" fillId="3" fontId="3" numFmtId="2" xfId="0" applyAlignment="1" applyBorder="1" applyFont="1" applyNumberFormat="1">
      <alignment horizontal="center" vertical="center"/>
    </xf>
    <xf borderId="29" fillId="3" fontId="3" numFmtId="0" xfId="0" applyAlignment="1" applyBorder="1" applyFont="1">
      <alignment horizontal="center" vertical="center"/>
    </xf>
    <xf borderId="11" fillId="3" fontId="3" numFmtId="2" xfId="0" applyAlignment="1" applyBorder="1" applyFont="1" applyNumberFormat="1">
      <alignment horizontal="center" vertical="center"/>
    </xf>
    <xf borderId="30" fillId="3" fontId="3" numFmtId="0" xfId="0" applyAlignment="1" applyBorder="1" applyFont="1">
      <alignment horizontal="center" vertical="center"/>
    </xf>
    <xf borderId="11" fillId="3" fontId="3" numFmtId="164" xfId="0" applyAlignment="1" applyBorder="1" applyFont="1" applyNumberFormat="1">
      <alignment horizontal="center" vertical="center"/>
    </xf>
    <xf borderId="31" fillId="5" fontId="6" numFmtId="0" xfId="0" applyAlignment="1" applyBorder="1" applyFont="1">
      <alignment horizontal="center" vertical="center"/>
    </xf>
    <xf borderId="32" fillId="3" fontId="3" numFmtId="0" xfId="0" applyAlignment="1" applyBorder="1" applyFont="1">
      <alignment horizontal="center" vertical="center"/>
    </xf>
    <xf borderId="33" fillId="0" fontId="2" numFmtId="0" xfId="0" applyBorder="1" applyFont="1"/>
    <xf borderId="34" fillId="3" fontId="3" numFmtId="1" xfId="0" applyAlignment="1" applyBorder="1" applyFont="1" applyNumberFormat="1">
      <alignment horizontal="center" vertical="center"/>
    </xf>
    <xf borderId="35" fillId="3" fontId="3" numFmtId="0" xfId="0" applyAlignment="1" applyBorder="1" applyFont="1">
      <alignment horizontal="center" vertical="center"/>
    </xf>
    <xf borderId="36" fillId="3" fontId="3" numFmtId="0" xfId="0" applyAlignment="1" applyBorder="1" applyFont="1">
      <alignment horizontal="center" vertical="center"/>
    </xf>
    <xf borderId="20" fillId="6" fontId="6" numFmtId="0" xfId="0" applyAlignment="1" applyBorder="1" applyFill="1" applyFont="1">
      <alignment horizontal="center" vertical="center"/>
    </xf>
    <xf borderId="37" fillId="3" fontId="3" numFmtId="0" xfId="0" applyAlignment="1" applyBorder="1" applyFont="1">
      <alignment horizontal="center" vertical="center"/>
    </xf>
    <xf borderId="31" fillId="3" fontId="3" numFmtId="0" xfId="0" applyAlignment="1" applyBorder="1" applyFont="1">
      <alignment horizontal="center" vertical="center"/>
    </xf>
    <xf borderId="38" fillId="0" fontId="7" numFmtId="0" xfId="0" applyAlignment="1" applyBorder="1" applyFont="1">
      <alignment readingOrder="0" shrinkToFit="0" vertical="bottom" wrapText="0"/>
    </xf>
    <xf borderId="39" fillId="0" fontId="7" numFmtId="0" xfId="0" applyAlignment="1" applyBorder="1" applyFon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39" fillId="0" fontId="7" numFmtId="0" xfId="0" applyAlignment="1" applyBorder="1" applyFont="1">
      <alignment horizontal="right" readingOrder="0" shrinkToFit="0" vertical="bottom" wrapText="0"/>
    </xf>
    <xf borderId="40" fillId="0" fontId="7" numFmtId="0" xfId="0" applyAlignment="1" applyBorder="1" applyFont="1">
      <alignment readingOrder="0" shrinkToFit="0" vertical="bottom" wrapText="0"/>
    </xf>
    <xf borderId="41" fillId="0" fontId="7" numFmtId="0" xfId="0" applyAlignment="1" applyBorder="1" applyFont="1">
      <alignment horizontal="right" readingOrder="0" shrinkToFit="0" vertical="bottom" wrapText="0"/>
    </xf>
    <xf borderId="41" fillId="0" fontId="7" numFmtId="9" xfId="0" applyAlignment="1" applyBorder="1" applyFont="1" applyNumberFormat="1">
      <alignment horizontal="right" readingOrder="0" shrinkToFit="0" vertical="bottom" wrapText="0"/>
    </xf>
    <xf borderId="0" fillId="0" fontId="7" numFmtId="11" xfId="0" applyAlignment="1" applyFont="1" applyNumberFormat="1">
      <alignment horizontal="right" readingOrder="0" shrinkToFit="0" vertical="bottom" wrapText="0"/>
    </xf>
    <xf borderId="39" fillId="0" fontId="7" numFmtId="0" xfId="0" applyAlignment="1" applyBorder="1" applyFont="1">
      <alignment shrinkToFit="0" vertical="bottom" wrapText="0"/>
    </xf>
    <xf borderId="40" fillId="0" fontId="7" numFmtId="0" xfId="0" applyAlignment="1" applyBorder="1" applyFont="1">
      <alignment readingOrder="0" vertical="bottom"/>
    </xf>
    <xf borderId="42" fillId="0" fontId="7" numFmtId="0" xfId="0" applyAlignment="1" applyBorder="1" applyFont="1">
      <alignment readingOrder="0" shrinkToFit="0" vertical="bottom" wrapText="0"/>
    </xf>
    <xf borderId="41" fillId="0" fontId="7" numFmtId="11" xfId="0" applyAlignment="1" applyBorder="1" applyFont="1" applyNumberFormat="1">
      <alignment horizontal="right" readingOrder="0" shrinkToFit="0" vertical="bottom" wrapText="0"/>
    </xf>
    <xf borderId="20" fillId="7" fontId="4" numFmtId="0" xfId="0" applyAlignment="1" applyBorder="1" applyFill="1" applyFont="1">
      <alignment horizontal="center" vertical="center"/>
    </xf>
    <xf borderId="37" fillId="2" fontId="4" numFmtId="0" xfId="0" applyAlignment="1" applyBorder="1" applyFont="1">
      <alignment horizontal="center" vertical="center"/>
    </xf>
    <xf borderId="43" fillId="2" fontId="4" numFmtId="0" xfId="0" applyAlignment="1" applyBorder="1" applyFont="1">
      <alignment horizontal="center" vertical="center"/>
    </xf>
    <xf borderId="44" fillId="2" fontId="4" numFmtId="0" xfId="0" applyAlignment="1" applyBorder="1" applyFont="1">
      <alignment horizontal="center" vertical="center"/>
    </xf>
    <xf borderId="37" fillId="8" fontId="4" numFmtId="0" xfId="0" applyAlignment="1" applyBorder="1" applyFill="1" applyFont="1">
      <alignment horizontal="center" vertical="center"/>
    </xf>
    <xf borderId="43" fillId="8" fontId="4" numFmtId="0" xfId="0" applyAlignment="1" applyBorder="1" applyFont="1">
      <alignment horizontal="center" vertical="center"/>
    </xf>
    <xf borderId="44" fillId="8" fontId="4" numFmtId="0" xfId="0" applyAlignment="1" applyBorder="1" applyFont="1">
      <alignment horizontal="center" vertical="center"/>
    </xf>
    <xf borderId="31" fillId="9" fontId="4" numFmtId="0" xfId="0" applyAlignment="1" applyBorder="1" applyFill="1" applyFont="1">
      <alignment horizontal="center" vertical="center"/>
    </xf>
    <xf borderId="44" fillId="9" fontId="4" numFmtId="0" xfId="0" applyAlignment="1" applyBorder="1" applyFont="1">
      <alignment horizontal="center" vertical="center"/>
    </xf>
    <xf borderId="20" fillId="10" fontId="4" numFmtId="0" xfId="0" applyAlignment="1" applyBorder="1" applyFill="1" applyFont="1">
      <alignment horizontal="center" vertical="center"/>
    </xf>
    <xf borderId="45" fillId="0" fontId="2" numFmtId="0" xfId="0" applyBorder="1" applyFont="1"/>
    <xf borderId="46" fillId="10" fontId="4" numFmtId="0" xfId="0" applyAlignment="1" applyBorder="1" applyFont="1">
      <alignment horizontal="center" vertical="center"/>
    </xf>
    <xf borderId="43" fillId="10" fontId="4" numFmtId="0" xfId="0" applyAlignment="1" applyBorder="1" applyFont="1">
      <alignment horizontal="center" vertical="center"/>
    </xf>
    <xf borderId="37" fillId="10" fontId="4" numFmtId="0" xfId="0" applyAlignment="1" applyBorder="1" applyFont="1">
      <alignment horizontal="center" vertical="center"/>
    </xf>
    <xf borderId="44" fillId="10" fontId="4" numFmtId="0" xfId="0" applyAlignment="1" applyBorder="1" applyFont="1">
      <alignment horizontal="center" vertical="center"/>
    </xf>
    <xf borderId="20" fillId="2" fontId="4" numFmtId="0" xfId="0" applyAlignment="1" applyBorder="1" applyFont="1">
      <alignment horizontal="center" vertical="center"/>
    </xf>
    <xf borderId="20" fillId="11" fontId="4" numFmtId="0" xfId="0" applyAlignment="1" applyBorder="1" applyFill="1" applyFont="1">
      <alignment horizontal="center" vertical="center"/>
    </xf>
    <xf borderId="23" fillId="7" fontId="4" numFmtId="0" xfId="0" applyAlignment="1" applyBorder="1" applyFont="1">
      <alignment horizontal="center" vertical="center"/>
    </xf>
    <xf borderId="31" fillId="12" fontId="4" numFmtId="0" xfId="0" applyAlignment="1" applyBorder="1" applyFill="1" applyFont="1">
      <alignment horizontal="center" vertical="center"/>
    </xf>
    <xf borderId="47" fillId="3" fontId="3" numFmtId="0" xfId="0" applyAlignment="1" applyBorder="1" applyFont="1">
      <alignment horizontal="center" vertical="center"/>
    </xf>
    <xf borderId="12" fillId="3" fontId="3" numFmtId="0" xfId="0" applyAlignment="1" applyBorder="1" applyFont="1">
      <alignment horizontal="center" shrinkToFit="0" vertical="center" wrapText="1"/>
    </xf>
    <xf borderId="48" fillId="0" fontId="2" numFmtId="0" xfId="0" applyBorder="1" applyFont="1"/>
    <xf borderId="4" fillId="3" fontId="3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horizontal="center" vertical="center"/>
    </xf>
    <xf borderId="18" fillId="3" fontId="4" numFmtId="164" xfId="0" applyAlignment="1" applyBorder="1" applyFont="1" applyNumberFormat="1">
      <alignment horizontal="center" vertical="center"/>
    </xf>
    <xf borderId="36" fillId="3" fontId="4" numFmtId="164" xfId="0" applyAlignment="1" applyBorder="1" applyFont="1" applyNumberFormat="1">
      <alignment horizontal="center" vertical="center"/>
    </xf>
    <xf borderId="19" fillId="3" fontId="4" numFmtId="164" xfId="0" applyAlignment="1" applyBorder="1" applyFont="1" applyNumberFormat="1">
      <alignment horizontal="center" vertical="center"/>
    </xf>
    <xf borderId="37" fillId="3" fontId="4" numFmtId="0" xfId="0" applyAlignment="1" applyBorder="1" applyFont="1">
      <alignment horizontal="center" vertical="center"/>
    </xf>
    <xf borderId="31" fillId="3" fontId="4" numFmtId="0" xfId="0" applyAlignment="1" applyBorder="1" applyFont="1">
      <alignment horizontal="center" vertical="center"/>
    </xf>
    <xf borderId="49" fillId="3" fontId="4" numFmtId="0" xfId="0" applyAlignment="1" applyBorder="1" applyFont="1">
      <alignment horizontal="center" vertical="center"/>
    </xf>
    <xf borderId="49" fillId="3" fontId="3" numFmtId="0" xfId="0" applyAlignment="1" applyBorder="1" applyFont="1">
      <alignment horizontal="center" vertical="center"/>
    </xf>
    <xf borderId="37" fillId="3" fontId="3" numFmtId="11" xfId="0" applyAlignment="1" applyBorder="1" applyFont="1" applyNumberFormat="1">
      <alignment horizontal="center" vertical="center"/>
    </xf>
    <xf borderId="43" fillId="3" fontId="3" numFmtId="11" xfId="0" applyAlignment="1" applyBorder="1" applyFont="1" applyNumberFormat="1">
      <alignment horizontal="center" vertical="center"/>
    </xf>
    <xf borderId="44" fillId="3" fontId="3" numFmtId="11" xfId="0" applyAlignment="1" applyBorder="1" applyFont="1" applyNumberFormat="1">
      <alignment horizontal="center" vertical="center"/>
    </xf>
    <xf borderId="50" fillId="0" fontId="2" numFmtId="0" xfId="0" applyBorder="1" applyFont="1"/>
    <xf borderId="51" fillId="0" fontId="2" numFmtId="0" xfId="0" applyBorder="1" applyFont="1"/>
    <xf borderId="52" fillId="0" fontId="2" numFmtId="0" xfId="0" applyBorder="1" applyFont="1"/>
    <xf borderId="53" fillId="0" fontId="2" numFmtId="0" xfId="0" applyBorder="1" applyFont="1"/>
    <xf borderId="54" fillId="0" fontId="2" numFmtId="0" xfId="0" applyBorder="1" applyFont="1"/>
    <xf borderId="10" fillId="3" fontId="3" numFmtId="11" xfId="0" applyAlignment="1" applyBorder="1" applyFont="1" applyNumberFormat="1">
      <alignment horizontal="center" vertical="center"/>
    </xf>
    <xf borderId="11" fillId="3" fontId="3" numFmtId="11" xfId="0" applyAlignment="1" applyBorder="1" applyFont="1" applyNumberFormat="1">
      <alignment horizontal="center" vertical="center"/>
    </xf>
    <xf borderId="31" fillId="13" fontId="6" numFmtId="0" xfId="0" applyAlignment="1" applyBorder="1" applyFill="1" applyFont="1">
      <alignment horizontal="center" vertical="center"/>
    </xf>
    <xf borderId="49" fillId="3" fontId="3" numFmtId="164" xfId="0" applyAlignment="1" applyBorder="1" applyFont="1" applyNumberFormat="1">
      <alignment horizontal="center" vertical="center"/>
    </xf>
    <xf borderId="4" fillId="3" fontId="6" numFmtId="0" xfId="0" applyAlignment="1" applyBorder="1" applyFont="1">
      <alignment horizontal="center" vertical="center"/>
    </xf>
    <xf borderId="20" fillId="14" fontId="4" numFmtId="0" xfId="0" applyAlignment="1" applyBorder="1" applyFill="1" applyFont="1">
      <alignment horizontal="center" vertical="center"/>
    </xf>
    <xf borderId="37" fillId="3" fontId="3" numFmtId="2" xfId="0" applyAlignment="1" applyBorder="1" applyFont="1" applyNumberFormat="1">
      <alignment horizontal="center" vertical="center"/>
    </xf>
    <xf borderId="31" fillId="3" fontId="3" numFmtId="2" xfId="0" applyAlignment="1" applyBorder="1" applyFont="1" applyNumberFormat="1">
      <alignment horizontal="center" vertical="center"/>
    </xf>
    <xf borderId="55" fillId="3" fontId="3" numFmtId="0" xfId="0" applyAlignment="1" applyBorder="1" applyFont="1">
      <alignment horizontal="center" vertical="center"/>
    </xf>
    <xf borderId="44" fillId="3" fontId="3" numFmtId="0" xfId="0" applyAlignment="1" applyBorder="1" applyFont="1">
      <alignment horizontal="center" vertical="center"/>
    </xf>
    <xf borderId="29" fillId="3" fontId="3" numFmtId="2" xfId="0" applyAlignment="1" applyBorder="1" applyFont="1" applyNumberFormat="1">
      <alignment horizontal="center" vertical="center"/>
    </xf>
    <xf borderId="4" fillId="3" fontId="3" numFmtId="164" xfId="0" applyAlignment="1" applyBorder="1" applyFont="1" applyNumberFormat="1">
      <alignment horizontal="center" vertical="center"/>
    </xf>
    <xf borderId="26" fillId="3" fontId="4" numFmtId="0" xfId="0" applyAlignment="1" applyBorder="1" applyFont="1">
      <alignment horizontal="center" vertical="center"/>
    </xf>
    <xf borderId="10" fillId="3" fontId="4" numFmtId="0" xfId="0" applyAlignment="1" applyBorder="1" applyFont="1">
      <alignment horizontal="center" vertical="center"/>
    </xf>
    <xf borderId="11" fillId="3" fontId="4" numFmtId="0" xfId="0" applyAlignment="1" applyBorder="1" applyFont="1">
      <alignment horizontal="center" vertical="center"/>
    </xf>
    <xf borderId="29" fillId="3" fontId="3" numFmtId="11" xfId="0" applyAlignment="1" applyBorder="1" applyFont="1" applyNumberFormat="1">
      <alignment horizontal="center" vertical="center"/>
    </xf>
    <xf borderId="29" fillId="3" fontId="4" numFmtId="0" xfId="0" applyAlignment="1" applyBorder="1" applyFont="1">
      <alignment horizontal="center" vertical="center"/>
    </xf>
    <xf borderId="31" fillId="3" fontId="3" numFmtId="165" xfId="0" applyAlignment="1" applyBorder="1" applyFont="1" applyNumberFormat="1">
      <alignment horizontal="center" vertical="center"/>
    </xf>
    <xf borderId="56" fillId="3" fontId="3" numFmtId="164" xfId="0" applyAlignment="1" applyBorder="1" applyFont="1" applyNumberFormat="1">
      <alignment horizontal="center" vertical="center"/>
    </xf>
    <xf borderId="35" fillId="3" fontId="3" numFmtId="11" xfId="0" applyAlignment="1" applyBorder="1" applyFont="1" applyNumberFormat="1">
      <alignment horizontal="center" vertical="center"/>
    </xf>
    <xf borderId="35" fillId="3" fontId="4" numFmtId="0" xfId="0" applyAlignment="1" applyBorder="1" applyFont="1">
      <alignment horizontal="center" vertical="center"/>
    </xf>
    <xf borderId="10" fillId="3" fontId="3" numFmtId="2" xfId="0" applyAlignment="1" applyBorder="1" applyFont="1" applyNumberFormat="1">
      <alignment horizontal="center" vertical="center"/>
    </xf>
    <xf borderId="44" fillId="3" fontId="4" numFmtId="0" xfId="0" applyAlignment="1" applyBorder="1" applyFont="1">
      <alignment horizontal="center" vertical="center"/>
    </xf>
    <xf borderId="31" fillId="6" fontId="6" numFmtId="0" xfId="0" applyAlignment="1" applyBorder="1" applyFont="1">
      <alignment horizontal="center" vertical="center"/>
    </xf>
    <xf borderId="20" fillId="15" fontId="4" numFmtId="0" xfId="0" applyAlignment="1" applyBorder="1" applyFill="1" applyFont="1">
      <alignment horizontal="center" vertical="center"/>
    </xf>
    <xf borderId="9" fillId="3" fontId="4" numFmtId="164" xfId="0" applyAlignment="1" applyBorder="1" applyFont="1" applyNumberFormat="1">
      <alignment horizontal="center" vertical="center"/>
    </xf>
    <xf borderId="57" fillId="0" fontId="2" numFmtId="0" xfId="0" applyBorder="1" applyFont="1"/>
    <xf borderId="58" fillId="0" fontId="2" numFmtId="0" xfId="0" applyBorder="1" applyFont="1"/>
    <xf borderId="9" fillId="3" fontId="3" numFmtId="165" xfId="0" applyAlignment="1" applyBorder="1" applyFont="1" applyNumberFormat="1">
      <alignment horizontal="center" vertical="center"/>
    </xf>
    <xf borderId="11" fillId="3" fontId="4" numFmtId="164" xfId="0" applyAlignment="1" applyBorder="1" applyFont="1" applyNumberFormat="1">
      <alignment horizontal="center" vertical="center"/>
    </xf>
    <xf borderId="19" fillId="3" fontId="3" numFmtId="165" xfId="0" applyAlignment="1" applyBorder="1" applyFont="1" applyNumberFormat="1">
      <alignment horizontal="center" vertical="center"/>
    </xf>
    <xf borderId="26" fillId="3" fontId="3" numFmtId="166" xfId="0" applyAlignment="1" applyBorder="1" applyFont="1" applyNumberFormat="1">
      <alignment horizontal="center" vertical="center"/>
    </xf>
    <xf borderId="4" fillId="3" fontId="3" numFmtId="1" xfId="0" applyAlignment="1" applyBorder="1" applyFont="1" applyNumberFormat="1">
      <alignment horizontal="center" vertical="center"/>
    </xf>
    <xf borderId="4" fillId="3" fontId="3" numFmtId="2" xfId="0" applyAlignment="1" applyBorder="1" applyFont="1" applyNumberFormat="1">
      <alignment horizontal="center" vertical="center"/>
    </xf>
    <xf borderId="18" fillId="3" fontId="3" numFmtId="1" xfId="0" applyAlignment="1" applyBorder="1" applyFont="1" applyNumberFormat="1">
      <alignment horizontal="center" vertical="center"/>
    </xf>
    <xf borderId="31" fillId="3" fontId="4" numFmtId="166" xfId="0" applyAlignment="1" applyBorder="1" applyFont="1" applyNumberFormat="1">
      <alignment horizontal="center" vertical="center"/>
    </xf>
    <xf borderId="37" fillId="3" fontId="4" numFmtId="166" xfId="0" applyAlignment="1" applyBorder="1" applyFont="1" applyNumberFormat="1">
      <alignment horizontal="center" vertical="center"/>
    </xf>
    <xf borderId="35" fillId="3" fontId="3" numFmtId="166" xfId="0" applyAlignment="1" applyBorder="1" applyFont="1" applyNumberFormat="1">
      <alignment horizontal="center" vertical="center"/>
    </xf>
    <xf borderId="19" fillId="3" fontId="3" numFmtId="2" xfId="0" applyAlignment="1" applyBorder="1" applyFont="1" applyNumberFormat="1">
      <alignment horizontal="center" vertical="center"/>
    </xf>
    <xf borderId="44" fillId="12" fontId="4" numFmtId="0" xfId="0" applyAlignment="1" applyBorder="1" applyFont="1">
      <alignment horizontal="center" vertical="center"/>
    </xf>
    <xf borderId="8" fillId="3" fontId="4" numFmtId="0" xfId="0" applyAlignment="1" applyBorder="1" applyFont="1">
      <alignment horizontal="center" vertical="center"/>
    </xf>
    <xf borderId="9" fillId="3" fontId="3" numFmtId="2" xfId="0" applyAlignment="1" applyBorder="1" applyFont="1" applyNumberFormat="1">
      <alignment horizontal="center" vertical="center"/>
    </xf>
    <xf borderId="36" fillId="3" fontId="3" numFmtId="164" xfId="0" applyAlignment="1" applyBorder="1" applyFont="1" applyNumberFormat="1">
      <alignment horizontal="center" vertical="center"/>
    </xf>
    <xf borderId="19" fillId="3" fontId="3" numFmtId="164" xfId="0" applyAlignment="1" applyBorder="1" applyFont="1" applyNumberFormat="1">
      <alignment horizontal="center" vertical="center"/>
    </xf>
    <xf borderId="9" fillId="3" fontId="3" numFmtId="167" xfId="0" applyAlignment="1" applyBorder="1" applyFont="1" applyNumberFormat="1">
      <alignment horizontal="center" vertical="center"/>
    </xf>
    <xf borderId="18" fillId="3" fontId="4" numFmtId="0" xfId="0" applyAlignment="1" applyBorder="1" applyFont="1">
      <alignment horizontal="center" vertical="center"/>
    </xf>
    <xf borderId="20" fillId="13" fontId="4" numFmtId="0" xfId="0" applyAlignment="1" applyBorder="1" applyFont="1">
      <alignment horizontal="center" vertical="center"/>
    </xf>
    <xf borderId="46" fillId="13" fontId="4" numFmtId="0" xfId="0" applyAlignment="1" applyBorder="1" applyFont="1">
      <alignment horizontal="center" vertical="center"/>
    </xf>
    <xf borderId="43" fillId="13" fontId="4" numFmtId="0" xfId="0" applyAlignment="1" applyBorder="1" applyFont="1">
      <alignment horizontal="center" vertical="center"/>
    </xf>
    <xf borderId="37" fillId="13" fontId="4" numFmtId="0" xfId="0" applyAlignment="1" applyBorder="1" applyFont="1">
      <alignment horizontal="center" vertical="center"/>
    </xf>
    <xf borderId="44" fillId="13" fontId="4" numFmtId="0" xfId="0" applyAlignment="1" applyBorder="1" applyFont="1">
      <alignment horizontal="center" vertical="center"/>
    </xf>
    <xf borderId="1" fillId="2" fontId="8" numFmtId="0" xfId="0" applyAlignment="1" applyBorder="1" applyFont="1">
      <alignment horizontal="center" vertical="center"/>
    </xf>
    <xf borderId="4" fillId="3" fontId="3" numFmtId="0" xfId="0" applyAlignment="1" applyBorder="1" applyFont="1">
      <alignment horizontal="left" readingOrder="0" vertical="center"/>
    </xf>
    <xf borderId="4" fillId="7" fontId="3" numFmtId="0" xfId="0" applyAlignment="1" applyBorder="1" applyFont="1">
      <alignment horizontal="left" readingOrder="0" vertical="center"/>
    </xf>
    <xf borderId="4" fillId="7" fontId="3" numFmtId="0" xfId="0" applyAlignment="1" applyBorder="1" applyFont="1">
      <alignment horizontal="center" vertical="center"/>
    </xf>
    <xf borderId="20" fillId="16" fontId="6" numFmtId="0" xfId="0" applyAlignment="1" applyBorder="1" applyFill="1" applyFont="1">
      <alignment horizontal="center" vertical="center"/>
    </xf>
    <xf borderId="4" fillId="7" fontId="3" numFmtId="0" xfId="0" applyAlignment="1" applyBorder="1" applyFont="1">
      <alignment horizontal="center" readingOrder="0" vertical="center"/>
    </xf>
    <xf borderId="4" fillId="17" fontId="3" numFmtId="0" xfId="0" applyAlignment="1" applyBorder="1" applyFill="1" applyFont="1">
      <alignment horizontal="left" readingOrder="0" vertical="center"/>
    </xf>
    <xf borderId="4" fillId="17" fontId="3" numFmtId="0" xfId="0" applyAlignment="1" applyBorder="1" applyFont="1">
      <alignment horizontal="center" vertical="center"/>
    </xf>
    <xf borderId="0" fillId="3" fontId="3" numFmtId="0" xfId="0" applyAlignment="1" applyFont="1">
      <alignment horizontal="center" vertical="center"/>
    </xf>
    <xf borderId="20" fillId="18" fontId="6" numFmtId="0" xfId="0" applyAlignment="1" applyBorder="1" applyFill="1" applyFont="1">
      <alignment horizontal="center" vertical="center"/>
    </xf>
    <xf borderId="59" fillId="3" fontId="3" numFmtId="0" xfId="0" applyAlignment="1" applyBorder="1" applyFont="1">
      <alignment horizontal="center" vertical="center"/>
    </xf>
    <xf borderId="29" fillId="3" fontId="3" numFmtId="0" xfId="0" applyAlignment="1" applyBorder="1" applyFont="1">
      <alignment horizontal="center" readingOrder="0" vertical="center"/>
    </xf>
    <xf borderId="59" fillId="3" fontId="3" numFmtId="0" xfId="0" applyAlignment="1" applyBorder="1" applyFont="1">
      <alignment horizontal="center" readingOrder="0" vertical="center"/>
    </xf>
    <xf borderId="4" fillId="3" fontId="3" numFmtId="0" xfId="0" applyAlignment="1" applyBorder="1" applyFont="1">
      <alignment horizontal="center" readingOrder="0" vertical="center"/>
    </xf>
    <xf borderId="11" fillId="3" fontId="3" numFmtId="0" xfId="0" applyAlignment="1" applyBorder="1" applyFont="1">
      <alignment horizontal="center" readingOrder="0" vertical="center"/>
    </xf>
    <xf borderId="35" fillId="3" fontId="3" numFmtId="0" xfId="0" applyAlignment="1" applyBorder="1" applyFont="1">
      <alignment horizontal="center" readingOrder="0" vertical="center"/>
    </xf>
    <xf borderId="4" fillId="3" fontId="3" numFmtId="168" xfId="0" applyAlignment="1" applyBorder="1" applyFont="1" applyNumberFormat="1">
      <alignment horizontal="center" readingOrder="0" vertical="center"/>
    </xf>
    <xf borderId="10" fillId="3" fontId="3" numFmtId="0" xfId="0" applyAlignment="1" applyBorder="1" applyFont="1">
      <alignment horizontal="center" readingOrder="0" vertical="center"/>
    </xf>
    <xf borderId="4" fillId="3" fontId="3" numFmtId="169" xfId="0" applyAlignment="1" applyBorder="1" applyFont="1" applyNumberFormat="1">
      <alignment horizontal="center" readingOrder="0" vertical="center"/>
    </xf>
    <xf borderId="59" fillId="3" fontId="4" numFmtId="0" xfId="0" applyAlignment="1" applyBorder="1" applyFont="1">
      <alignment horizontal="left" readingOrder="0" vertical="center"/>
    </xf>
    <xf borderId="26" fillId="3" fontId="3" numFmtId="0" xfId="0" applyAlignment="1" applyBorder="1" applyFont="1">
      <alignment horizontal="center" readingOrder="0" vertical="center"/>
    </xf>
    <xf borderId="44" fillId="12" fontId="4" numFmtId="0" xfId="0" applyAlignment="1" applyBorder="1" applyFont="1">
      <alignment horizontal="center" readingOrder="0" vertical="center"/>
    </xf>
    <xf borderId="14" fillId="3" fontId="3" numFmtId="0" xfId="0" applyAlignment="1" applyBorder="1" applyFont="1">
      <alignment horizontal="center" vertical="center"/>
    </xf>
    <xf borderId="4" fillId="3" fontId="9" numFmtId="0" xfId="0" applyAlignment="1" applyBorder="1" applyFont="1">
      <alignment horizontal="left" readingOrder="0" vertical="center"/>
    </xf>
    <xf borderId="4" fillId="3" fontId="9" numFmtId="0" xfId="0" applyAlignment="1" applyBorder="1" applyFont="1">
      <alignment horizontal="center" readingOrder="0" vertical="center"/>
    </xf>
    <xf borderId="11" fillId="3" fontId="3" numFmtId="167" xfId="0" applyAlignment="1" applyBorder="1" applyFont="1" applyNumberFormat="1">
      <alignment horizontal="center" vertical="center"/>
    </xf>
    <xf borderId="0" fillId="0" fontId="10" numFmtId="0" xfId="0" applyAlignment="1" applyFont="1">
      <alignment readingOrder="0"/>
    </xf>
    <xf borderId="4" fillId="3" fontId="3" numFmtId="0" xfId="0" applyAlignment="1" applyBorder="1" applyFont="1">
      <alignment horizontal="right" readingOrder="0" vertical="center"/>
    </xf>
    <xf borderId="4" fillId="3" fontId="4" numFmtId="0" xfId="0" applyAlignment="1" applyBorder="1" applyFont="1">
      <alignment horizontal="left" readingOrder="0" vertical="center"/>
    </xf>
    <xf borderId="11" fillId="3" fontId="3" numFmtId="168" xfId="0" applyAlignment="1" applyBorder="1" applyFont="1" applyNumberFormat="1">
      <alignment horizontal="center" readingOrder="0" vertical="center"/>
    </xf>
    <xf borderId="60" fillId="3" fontId="3" numFmtId="0" xfId="0" applyAlignment="1" applyBorder="1" applyFont="1">
      <alignment horizontal="center" vertical="center"/>
    </xf>
    <xf borderId="0" fillId="7" fontId="3" numFmtId="0" xfId="0" applyAlignment="1" applyFont="1">
      <alignment horizontal="center" readingOrder="0" vertical="center"/>
    </xf>
    <xf borderId="0" fillId="3" fontId="3" numFmtId="0" xfId="0" applyAlignment="1" applyFont="1">
      <alignment horizontal="center" readingOrder="0" vertical="center"/>
    </xf>
    <xf borderId="59" fillId="7" fontId="3" numFmtId="0" xfId="0" applyAlignment="1" applyBorder="1" applyFont="1">
      <alignment horizontal="left" readingOrder="0" vertical="center"/>
    </xf>
    <xf borderId="61" fillId="7" fontId="3" numFmtId="0" xfId="0" applyAlignment="1" applyBorder="1" applyFont="1">
      <alignment horizontal="center" readingOrder="0" vertical="center"/>
    </xf>
    <xf borderId="61" fillId="3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readingOrder="0" vertical="center"/>
    </xf>
    <xf borderId="18" fillId="3" fontId="3" numFmtId="0" xfId="0" applyAlignment="1" applyBorder="1" applyFont="1">
      <alignment horizontal="center" readingOrder="0" vertical="center"/>
    </xf>
    <xf borderId="30" fillId="3" fontId="3" numFmtId="0" xfId="0" applyAlignment="1" applyBorder="1" applyFont="1">
      <alignment horizontal="center" readingOrder="0" shrinkToFit="0" vertical="center" wrapText="1"/>
    </xf>
    <xf borderId="59" fillId="0" fontId="2" numFmtId="0" xfId="0" applyBorder="1" applyFont="1"/>
    <xf borderId="20" fillId="19" fontId="4" numFmtId="0" xfId="0" applyAlignment="1" applyBorder="1" applyFill="1" applyFont="1">
      <alignment horizontal="center" vertical="center"/>
    </xf>
    <xf borderId="1" fillId="2" fontId="8" numFmtId="0" xfId="0" applyAlignment="1" applyBorder="1" applyFont="1">
      <alignment horizontal="center" readingOrder="0" vertical="center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vertical="bottom"/>
    </xf>
    <xf borderId="0" fillId="0" fontId="3" numFmtId="164" xfId="0" applyAlignment="1" applyFont="1" applyNumberFormat="1">
      <alignment horizontal="center" shrinkToFit="0" wrapText="1"/>
    </xf>
    <xf borderId="62" fillId="3" fontId="3" numFmtId="0" xfId="0" applyAlignment="1" applyBorder="1" applyFont="1">
      <alignment horizontal="center" readingOrder="0" vertical="center"/>
    </xf>
    <xf borderId="62" fillId="3" fontId="3" numFmtId="0" xfId="0" applyAlignment="1" applyBorder="1" applyFont="1">
      <alignment horizontal="center" vertical="center"/>
    </xf>
    <xf borderId="38" fillId="3" fontId="3" numFmtId="0" xfId="0" applyAlignment="1" applyBorder="1" applyFont="1">
      <alignment horizontal="center" readingOrder="0" vertical="center"/>
    </xf>
    <xf borderId="38" fillId="3" fontId="3" numFmtId="0" xfId="0" applyAlignment="1" applyBorder="1" applyFont="1">
      <alignment horizontal="center" readingOrder="0" shrinkToFit="0" vertical="center" wrapText="1"/>
    </xf>
    <xf borderId="38" fillId="3" fontId="3" numFmtId="0" xfId="0" applyAlignment="1" applyBorder="1" applyFont="1">
      <alignment horizontal="center" vertical="center"/>
    </xf>
    <xf borderId="38" fillId="20" fontId="11" numFmtId="0" xfId="0" applyAlignment="1" applyBorder="1" applyFill="1" applyFont="1">
      <alignment readingOrder="0"/>
    </xf>
    <xf borderId="0" fillId="0" fontId="3" numFmtId="0" xfId="0" applyFont="1"/>
    <xf borderId="0" fillId="0" fontId="10" numFmtId="0" xfId="0" applyFont="1"/>
    <xf borderId="38" fillId="0" fontId="3" numFmtId="0" xfId="0" applyBorder="1" applyFont="1"/>
    <xf borderId="38" fillId="0" fontId="3" numFmtId="164" xfId="0" applyBorder="1" applyFont="1" applyNumberFormat="1"/>
    <xf borderId="63" fillId="0" fontId="3" numFmtId="0" xfId="0" applyAlignment="1" applyBorder="1" applyFont="1">
      <alignment horizontal="center"/>
    </xf>
    <xf borderId="64" fillId="0" fontId="2" numFmtId="0" xfId="0" applyBorder="1" applyFont="1"/>
    <xf borderId="39" fillId="0" fontId="2" numFmtId="0" xfId="0" applyBorder="1" applyFont="1"/>
  </cellXfs>
  <cellStyles count="1">
    <cellStyle xfId="0" name="Normal" builtinId="0"/>
  </cellStyles>
  <dxfs count="3">
    <dxf>
      <font>
        <b/>
      </font>
      <fill>
        <patternFill patternType="solid">
          <fgColor rgb="FF66FF66"/>
          <bgColor rgb="FF66FF66"/>
        </patternFill>
      </fill>
      <border/>
    </dxf>
    <dxf>
      <font>
        <b/>
        <color theme="0"/>
      </font>
      <fill>
        <patternFill patternType="solid">
          <fgColor rgb="FFFF0000"/>
          <bgColor rgb="FFFF0000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0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Diagrama de Fuerza Cortante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Vx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Ejes!$T$7:$T$25</c:f>
            </c:numRef>
          </c:xVal>
          <c:yVal>
            <c:numRef>
              <c:f>Ejes!$V$7:$V$25</c:f>
              <c:numCache/>
            </c:numRef>
          </c:yVal>
        </c:ser>
        <c:ser>
          <c:idx val="1"/>
          <c:order val="1"/>
          <c:tx>
            <c:v>Vy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Ejes!$T$7:$T$25</c:f>
            </c:numRef>
          </c:xVal>
          <c:yVal>
            <c:numRef>
              <c:f>Ejes!$W$7:$W$25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31463"/>
        <c:axId val="1887744590"/>
      </c:scatterChart>
      <c:valAx>
        <c:axId val="5217314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7744590"/>
      </c:valAx>
      <c:valAx>
        <c:axId val="18877445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Fuerza [N]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21731463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Diagrama de Momento Flector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Mxz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Ejes!$X$7:$X$21</c:f>
            </c:numRef>
          </c:xVal>
          <c:yVal>
            <c:numRef>
              <c:f>Ejes!$Z$7:$Z$21</c:f>
              <c:numCache/>
            </c:numRef>
          </c:yVal>
        </c:ser>
        <c:ser>
          <c:idx val="1"/>
          <c:order val="1"/>
          <c:tx>
            <c:v>Myz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Ejes!$X$7:$X$21</c:f>
            </c:numRef>
          </c:xVal>
          <c:yVal>
            <c:numRef>
              <c:f>Ejes!$AA$7:$AA$21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218124"/>
        <c:axId val="524660688"/>
      </c:scatterChart>
      <c:valAx>
        <c:axId val="8722181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24660688"/>
      </c:valAx>
      <c:valAx>
        <c:axId val="524660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Momento Flector [Nm]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7221812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Diagrama de Torsor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0 0,01 0,02 0,03 0,03785 0,05 0,075 0,1 0,1015 0,13 0,15 0,18 0,19 0,20 0,21205 0,21205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Ejes!$X$7:$X$22</c:f>
            </c:numRef>
          </c:xVal>
          <c:yVal>
            <c:numRef>
              <c:f>Ejes!$AC$7:$AC$22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100112"/>
        <c:axId val="72173777"/>
      </c:scatterChart>
      <c:valAx>
        <c:axId val="12841001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2173777"/>
      </c:valAx>
      <c:valAx>
        <c:axId val="721737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Torque [Nm]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84100112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Diámetros - Aproximación Estática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von Mises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Ejes!$X$7:$X$21</c:f>
            </c:numRef>
          </c:xVal>
          <c:yVal>
            <c:numRef>
              <c:f>Ejes!$AG$7:$AG$21</c:f>
              <c:numCache/>
            </c:numRef>
          </c:yVal>
        </c:ser>
        <c:ser>
          <c:idx val="1"/>
          <c:order val="1"/>
          <c:tx>
            <c:v>Tresca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Ejes!$X$7:$X$21</c:f>
            </c:numRef>
          </c:xVal>
          <c:yVal>
            <c:numRef>
              <c:f>Ejes!$AH$7:$AH$21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509059"/>
        <c:axId val="1551739253"/>
      </c:scatterChart>
      <c:valAx>
        <c:axId val="18685090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51739253"/>
      </c:valAx>
      <c:valAx>
        <c:axId val="1551739253"/>
        <c:scaling>
          <c:orientation val="minMax"/>
          <c:max val="4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Diámetro [mm]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6850905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Disposición del Eje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Ejes!$BV$8:$BV$18</c:f>
            </c:numRef>
          </c:xVal>
          <c:yVal>
            <c:numRef>
              <c:f>Ejes!$BW$8:$BW$18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841180"/>
        <c:axId val="2068096203"/>
      </c:scatterChart>
      <c:valAx>
        <c:axId val="2071841180"/>
        <c:scaling>
          <c:orientation val="minMax"/>
          <c:max val="255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68096203"/>
      </c:valAx>
      <c:valAx>
        <c:axId val="2068096203"/>
        <c:scaling>
          <c:orientation val="minMax"/>
          <c:max val="0.02000000000000000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Radio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71841180"/>
        <c:majorUnit val="0.004000000000000001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Pendiente del Eje - x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Ejes!$CK$7:$CK$21</c:f>
            </c:numRef>
          </c:xVal>
          <c:yVal>
            <c:numRef>
              <c:f>Ejes!$CN$7:$CN$21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553691"/>
        <c:axId val="531549663"/>
      </c:scatterChart>
      <c:valAx>
        <c:axId val="1952553691"/>
        <c:scaling>
          <c:orientation val="minMax"/>
          <c:max val="0.22000000000000003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31549663"/>
      </c:valAx>
      <c:valAx>
        <c:axId val="531549663"/>
        <c:scaling>
          <c:orientation val="minMax"/>
          <c:max val="1.5000000000000005E-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Pendiente [rad]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52553691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Deflexión del Eje - x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Ejes!$CK$7:$CK$21</c:f>
            </c:numRef>
          </c:xVal>
          <c:yVal>
            <c:numRef>
              <c:f>Ejes!$CM$7:$CM$21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114009"/>
        <c:axId val="927747918"/>
      </c:scatterChart>
      <c:valAx>
        <c:axId val="1347114009"/>
        <c:scaling>
          <c:orientation val="minMax"/>
          <c:max val="0.22000000000000003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27747918"/>
      </c:valAx>
      <c:valAx>
        <c:axId val="927747918"/>
        <c:scaling>
          <c:orientation val="minMax"/>
          <c:max val="0.001200000000000000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Deflexión [mm]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47114009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Deflexión del Eje - y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Ejes!$CK$7:$CK$21</c:f>
            </c:numRef>
          </c:xVal>
          <c:yVal>
            <c:numRef>
              <c:f>Ejes!$CO$7:$CO$21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614272"/>
        <c:axId val="1367771350"/>
      </c:scatterChart>
      <c:valAx>
        <c:axId val="240614272"/>
        <c:scaling>
          <c:orientation val="minMax"/>
          <c:max val="0.22000000000000003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7771350"/>
      </c:valAx>
      <c:valAx>
        <c:axId val="1367771350"/>
        <c:scaling>
          <c:orientation val="minMax"/>
          <c:max val="1.2000000000000004E-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Deflexión [mm]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40614272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Pendiente del Eje - x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Ejes!$CK$7:$CK$21</c:f>
            </c:numRef>
          </c:xVal>
          <c:yVal>
            <c:numRef>
              <c:f>Ejes!$CP$7:$CP$21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741274"/>
        <c:axId val="299753962"/>
      </c:scatterChart>
      <c:valAx>
        <c:axId val="236741274"/>
        <c:scaling>
          <c:orientation val="minMax"/>
          <c:max val="0.22000000000000003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Posición [m]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99753962"/>
      </c:valAx>
      <c:valAx>
        <c:axId val="299753962"/>
        <c:scaling>
          <c:orientation val="minMax"/>
          <c:max val="1.5000000000000005E-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Pendiente [rad]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36741274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9.png"/><Relationship Id="rId9" Type="http://schemas.openxmlformats.org/officeDocument/2006/relationships/image" Target="../media/image2.png"/><Relationship Id="rId5" Type="http://schemas.openxmlformats.org/officeDocument/2006/relationships/image" Target="../media/image10.png"/><Relationship Id="rId6" Type="http://schemas.openxmlformats.org/officeDocument/2006/relationships/image" Target="../media/image4.png"/><Relationship Id="rId7" Type="http://schemas.openxmlformats.org/officeDocument/2006/relationships/image" Target="../media/image5.png"/><Relationship Id="rId8" Type="http://schemas.openxmlformats.org/officeDocument/2006/relationships/image" Target="../media/image8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6.png"/><Relationship Id="rId11" Type="http://schemas.openxmlformats.org/officeDocument/2006/relationships/image" Target="../media/image18.png"/><Relationship Id="rId10" Type="http://schemas.openxmlformats.org/officeDocument/2006/relationships/image" Target="../media/image17.png"/><Relationship Id="rId21" Type="http://schemas.openxmlformats.org/officeDocument/2006/relationships/image" Target="../media/image21.png"/><Relationship Id="rId13" Type="http://schemas.openxmlformats.org/officeDocument/2006/relationships/image" Target="../media/image15.png"/><Relationship Id="rId12" Type="http://schemas.openxmlformats.org/officeDocument/2006/relationships/image" Target="../media/image20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5" Type="http://schemas.openxmlformats.org/officeDocument/2006/relationships/image" Target="../media/image13.png"/><Relationship Id="rId14" Type="http://schemas.openxmlformats.org/officeDocument/2006/relationships/image" Target="../media/image14.png"/><Relationship Id="rId17" Type="http://schemas.openxmlformats.org/officeDocument/2006/relationships/image" Target="../media/image19.png"/><Relationship Id="rId16" Type="http://schemas.openxmlformats.org/officeDocument/2006/relationships/image" Target="../media/image12.png"/><Relationship Id="rId5" Type="http://schemas.openxmlformats.org/officeDocument/2006/relationships/chart" Target="../charts/chart5.xml"/><Relationship Id="rId19" Type="http://schemas.openxmlformats.org/officeDocument/2006/relationships/image" Target="../media/image22.png"/><Relationship Id="rId6" Type="http://schemas.openxmlformats.org/officeDocument/2006/relationships/chart" Target="../charts/chart6.xml"/><Relationship Id="rId18" Type="http://schemas.openxmlformats.org/officeDocument/2006/relationships/image" Target="../media/image11.png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20" Type="http://schemas.openxmlformats.org/officeDocument/2006/relationships/image" Target="../media/image25.png"/><Relationship Id="rId22" Type="http://schemas.openxmlformats.org/officeDocument/2006/relationships/image" Target="../media/image47.png"/><Relationship Id="rId21" Type="http://schemas.openxmlformats.org/officeDocument/2006/relationships/image" Target="../media/image33.png"/><Relationship Id="rId24" Type="http://schemas.openxmlformats.org/officeDocument/2006/relationships/image" Target="../media/image28.png"/><Relationship Id="rId23" Type="http://schemas.openxmlformats.org/officeDocument/2006/relationships/image" Target="../media/image26.png"/><Relationship Id="rId1" Type="http://schemas.openxmlformats.org/officeDocument/2006/relationships/image" Target="../media/image34.png"/><Relationship Id="rId2" Type="http://schemas.openxmlformats.org/officeDocument/2006/relationships/image" Target="../media/image31.png"/><Relationship Id="rId3" Type="http://schemas.openxmlformats.org/officeDocument/2006/relationships/image" Target="../media/image43.png"/><Relationship Id="rId4" Type="http://schemas.openxmlformats.org/officeDocument/2006/relationships/image" Target="../media/image24.png"/><Relationship Id="rId9" Type="http://schemas.openxmlformats.org/officeDocument/2006/relationships/image" Target="../media/image50.png"/><Relationship Id="rId26" Type="http://schemas.openxmlformats.org/officeDocument/2006/relationships/image" Target="../media/image45.png"/><Relationship Id="rId25" Type="http://schemas.openxmlformats.org/officeDocument/2006/relationships/image" Target="../media/image41.png"/><Relationship Id="rId28" Type="http://schemas.openxmlformats.org/officeDocument/2006/relationships/image" Target="../media/image48.png"/><Relationship Id="rId27" Type="http://schemas.openxmlformats.org/officeDocument/2006/relationships/image" Target="../media/image49.jpg"/><Relationship Id="rId5" Type="http://schemas.openxmlformats.org/officeDocument/2006/relationships/image" Target="../media/image44.png"/><Relationship Id="rId6" Type="http://schemas.openxmlformats.org/officeDocument/2006/relationships/image" Target="../media/image27.png"/><Relationship Id="rId7" Type="http://schemas.openxmlformats.org/officeDocument/2006/relationships/image" Target="../media/image29.png"/><Relationship Id="rId8" Type="http://schemas.openxmlformats.org/officeDocument/2006/relationships/image" Target="../media/image46.png"/><Relationship Id="rId11" Type="http://schemas.openxmlformats.org/officeDocument/2006/relationships/image" Target="../media/image40.png"/><Relationship Id="rId10" Type="http://schemas.openxmlformats.org/officeDocument/2006/relationships/image" Target="../media/image36.png"/><Relationship Id="rId13" Type="http://schemas.openxmlformats.org/officeDocument/2006/relationships/image" Target="../media/image30.png"/><Relationship Id="rId12" Type="http://schemas.openxmlformats.org/officeDocument/2006/relationships/image" Target="../media/image35.png"/><Relationship Id="rId15" Type="http://schemas.openxmlformats.org/officeDocument/2006/relationships/image" Target="../media/image39.png"/><Relationship Id="rId14" Type="http://schemas.openxmlformats.org/officeDocument/2006/relationships/image" Target="../media/image38.png"/><Relationship Id="rId17" Type="http://schemas.openxmlformats.org/officeDocument/2006/relationships/image" Target="../media/image23.png"/><Relationship Id="rId16" Type="http://schemas.openxmlformats.org/officeDocument/2006/relationships/image" Target="../media/image42.png"/><Relationship Id="rId19" Type="http://schemas.openxmlformats.org/officeDocument/2006/relationships/image" Target="../media/image32.png"/><Relationship Id="rId18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171450</xdr:colOff>
      <xdr:row>3</xdr:row>
      <xdr:rowOff>76200</xdr:rowOff>
    </xdr:from>
    <xdr:ext cx="1200150" cy="8477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304800</xdr:colOff>
      <xdr:row>9</xdr:row>
      <xdr:rowOff>0</xdr:rowOff>
    </xdr:from>
    <xdr:ext cx="3105150" cy="16002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152400</xdr:rowOff>
    </xdr:from>
    <xdr:ext cx="3676650" cy="22574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371475</xdr:colOff>
      <xdr:row>20</xdr:row>
      <xdr:rowOff>19050</xdr:rowOff>
    </xdr:from>
    <xdr:ext cx="2305050" cy="151447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28</xdr:row>
      <xdr:rowOff>19050</xdr:rowOff>
    </xdr:from>
    <xdr:ext cx="1724025" cy="1019175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22</xdr:row>
      <xdr:rowOff>85725</xdr:rowOff>
    </xdr:from>
    <xdr:ext cx="3409950" cy="5019675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33</xdr:row>
      <xdr:rowOff>38100</xdr:rowOff>
    </xdr:from>
    <xdr:ext cx="5181600" cy="3695700"/>
    <xdr:pic>
      <xdr:nvPicPr>
        <xdr:cNvPr id="0" name="image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714375</xdr:colOff>
      <xdr:row>33</xdr:row>
      <xdr:rowOff>38100</xdr:rowOff>
    </xdr:from>
    <xdr:ext cx="5200650" cy="4295775"/>
    <xdr:pic>
      <xdr:nvPicPr>
        <xdr:cNvPr id="0" name="image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0</xdr:row>
      <xdr:rowOff>0</xdr:rowOff>
    </xdr:from>
    <xdr:ext cx="4772025" cy="3409950"/>
    <xdr:pic>
      <xdr:nvPicPr>
        <xdr:cNvPr id="0" name="image8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19</xdr:row>
      <xdr:rowOff>0</xdr:rowOff>
    </xdr:from>
    <xdr:ext cx="2705100" cy="1247775"/>
    <xdr:pic>
      <xdr:nvPicPr>
        <xdr:cNvPr id="0" name="image2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238125</xdr:colOff>
      <xdr:row>25</xdr:row>
      <xdr:rowOff>152400</xdr:rowOff>
    </xdr:from>
    <xdr:ext cx="4572000" cy="2867025"/>
    <xdr:graphicFrame>
      <xdr:nvGraphicFramePr>
        <xdr:cNvPr id="194712566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22</xdr:col>
      <xdr:colOff>762000</xdr:colOff>
      <xdr:row>25</xdr:row>
      <xdr:rowOff>152400</xdr:rowOff>
    </xdr:from>
    <xdr:ext cx="4572000" cy="2867025"/>
    <xdr:graphicFrame>
      <xdr:nvGraphicFramePr>
        <xdr:cNvPr id="1245561064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27</xdr:col>
      <xdr:colOff>0</xdr:colOff>
      <xdr:row>25</xdr:row>
      <xdr:rowOff>152400</xdr:rowOff>
    </xdr:from>
    <xdr:ext cx="4724400" cy="2867025"/>
    <xdr:graphicFrame>
      <xdr:nvGraphicFramePr>
        <xdr:cNvPr id="1765074892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31</xdr:col>
      <xdr:colOff>1219200</xdr:colOff>
      <xdr:row>25</xdr:row>
      <xdr:rowOff>142875</xdr:rowOff>
    </xdr:from>
    <xdr:ext cx="5229225" cy="2867025"/>
    <xdr:graphicFrame>
      <xdr:nvGraphicFramePr>
        <xdr:cNvPr id="43438218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71</xdr:col>
      <xdr:colOff>0</xdr:colOff>
      <xdr:row>20</xdr:row>
      <xdr:rowOff>66675</xdr:rowOff>
    </xdr:from>
    <xdr:ext cx="4724400" cy="2838450"/>
    <xdr:graphicFrame>
      <xdr:nvGraphicFramePr>
        <xdr:cNvPr id="1919099510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86</xdr:col>
      <xdr:colOff>0</xdr:colOff>
      <xdr:row>38</xdr:row>
      <xdr:rowOff>0</xdr:rowOff>
    </xdr:from>
    <xdr:ext cx="5162550" cy="2886075"/>
    <xdr:graphicFrame>
      <xdr:nvGraphicFramePr>
        <xdr:cNvPr id="984703228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86</xdr:col>
      <xdr:colOff>0</xdr:colOff>
      <xdr:row>23</xdr:row>
      <xdr:rowOff>0</xdr:rowOff>
    </xdr:from>
    <xdr:ext cx="5162550" cy="2857500"/>
    <xdr:graphicFrame>
      <xdr:nvGraphicFramePr>
        <xdr:cNvPr id="23650426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92</xdr:col>
      <xdr:colOff>0</xdr:colOff>
      <xdr:row>23</xdr:row>
      <xdr:rowOff>0</xdr:rowOff>
    </xdr:from>
    <xdr:ext cx="5172075" cy="2857500"/>
    <xdr:graphicFrame>
      <xdr:nvGraphicFramePr>
        <xdr:cNvPr id="342791210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92</xdr:col>
      <xdr:colOff>0</xdr:colOff>
      <xdr:row>38</xdr:row>
      <xdr:rowOff>0</xdr:rowOff>
    </xdr:from>
    <xdr:ext cx="5172075" cy="2886075"/>
    <xdr:graphicFrame>
      <xdr:nvGraphicFramePr>
        <xdr:cNvPr id="1488742822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10</xdr:col>
      <xdr:colOff>171450</xdr:colOff>
      <xdr:row>13</xdr:row>
      <xdr:rowOff>171450</xdr:rowOff>
    </xdr:from>
    <xdr:ext cx="3629025" cy="2428875"/>
    <xdr:pic>
      <xdr:nvPicPr>
        <xdr:cNvPr id="0" name="image1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523875</xdr:colOff>
      <xdr:row>4</xdr:row>
      <xdr:rowOff>38100</xdr:rowOff>
    </xdr:from>
    <xdr:ext cx="2752725" cy="1771650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266700</xdr:colOff>
      <xdr:row>3</xdr:row>
      <xdr:rowOff>66675</xdr:rowOff>
    </xdr:from>
    <xdr:ext cx="4086225" cy="3076575"/>
    <xdr:pic>
      <xdr:nvPicPr>
        <xdr:cNvPr id="0" name="image2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38100</xdr:colOff>
      <xdr:row>19</xdr:row>
      <xdr:rowOff>28575</xdr:rowOff>
    </xdr:from>
    <xdr:ext cx="4438650" cy="3248025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295275</xdr:colOff>
      <xdr:row>36</xdr:row>
      <xdr:rowOff>47625</xdr:rowOff>
    </xdr:from>
    <xdr:ext cx="1447800" cy="132397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80</xdr:col>
      <xdr:colOff>390525</xdr:colOff>
      <xdr:row>31</xdr:row>
      <xdr:rowOff>180975</xdr:rowOff>
    </xdr:from>
    <xdr:ext cx="3505200" cy="1381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78</xdr:col>
      <xdr:colOff>609600</xdr:colOff>
      <xdr:row>38</xdr:row>
      <xdr:rowOff>161925</xdr:rowOff>
    </xdr:from>
    <xdr:ext cx="5019675" cy="7715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78</xdr:col>
      <xdr:colOff>647700</xdr:colOff>
      <xdr:row>56</xdr:row>
      <xdr:rowOff>38100</xdr:rowOff>
    </xdr:from>
    <xdr:ext cx="5038725" cy="2133600"/>
    <xdr:pic>
      <xdr:nvPicPr>
        <xdr:cNvPr id="0" name="image1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78</xdr:col>
      <xdr:colOff>619125</xdr:colOff>
      <xdr:row>42</xdr:row>
      <xdr:rowOff>104775</xdr:rowOff>
    </xdr:from>
    <xdr:ext cx="4495800" cy="723900"/>
    <xdr:pic>
      <xdr:nvPicPr>
        <xdr:cNvPr id="0" name="image1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79</xdr:col>
      <xdr:colOff>161925</xdr:colOff>
      <xdr:row>46</xdr:row>
      <xdr:rowOff>19050</xdr:rowOff>
    </xdr:from>
    <xdr:ext cx="4486275" cy="1990725"/>
    <xdr:pic>
      <xdr:nvPicPr>
        <xdr:cNvPr id="0" name="image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95</xdr:col>
      <xdr:colOff>685800</xdr:colOff>
      <xdr:row>7</xdr:row>
      <xdr:rowOff>0</xdr:rowOff>
    </xdr:from>
    <xdr:ext cx="2114550" cy="533400"/>
    <xdr:pic>
      <xdr:nvPicPr>
        <xdr:cNvPr id="0" name="image1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96</xdr:col>
      <xdr:colOff>133350</xdr:colOff>
      <xdr:row>16</xdr:row>
      <xdr:rowOff>85725</xdr:rowOff>
    </xdr:from>
    <xdr:ext cx="1409700" cy="1257300"/>
    <xdr:pic>
      <xdr:nvPicPr>
        <xdr:cNvPr id="0" name="image2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1552575</xdr:colOff>
      <xdr:row>36</xdr:row>
      <xdr:rowOff>28575</xdr:rowOff>
    </xdr:from>
    <xdr:ext cx="266700" cy="285750"/>
    <xdr:grpSp>
      <xdr:nvGrpSpPr>
        <xdr:cNvPr id="2" name="Shape 2" title="Dibujo"/>
        <xdr:cNvGrpSpPr/>
      </xdr:nvGrpSpPr>
      <xdr:grpSpPr>
        <a:xfrm>
          <a:off x="2966125" y="408225"/>
          <a:ext cx="1380575" cy="1583500"/>
          <a:chOff x="2966125" y="408225"/>
          <a:chExt cx="1380575" cy="1583500"/>
        </a:xfrm>
      </xdr:grpSpPr>
      <xdr:cxnSp>
        <xdr:nvCxnSpPr>
          <xdr:cNvPr id="3" name="Shape 3"/>
          <xdr:cNvCxnSpPr/>
        </xdr:nvCxnSpPr>
        <xdr:spPr>
          <a:xfrm>
            <a:off x="2966125" y="1534825"/>
            <a:ext cx="436500" cy="456900"/>
          </a:xfrm>
          <a:prstGeom prst="straightConnector1">
            <a:avLst/>
          </a:prstGeom>
          <a:noFill/>
          <a:ln cap="flat" cmpd="sng" w="76200">
            <a:solidFill>
              <a:srgbClr val="00FF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4" name="Shape 4"/>
          <xdr:cNvCxnSpPr/>
        </xdr:nvCxnSpPr>
        <xdr:spPr>
          <a:xfrm flipH="1" rot="10800000">
            <a:off x="3402600" y="408225"/>
            <a:ext cx="944100" cy="1583400"/>
          </a:xfrm>
          <a:prstGeom prst="straightConnector1">
            <a:avLst/>
          </a:prstGeom>
          <a:noFill/>
          <a:ln cap="flat" cmpd="sng" w="76200">
            <a:solidFill>
              <a:srgbClr val="00FF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114300</xdr:colOff>
      <xdr:row>20</xdr:row>
      <xdr:rowOff>66675</xdr:rowOff>
    </xdr:from>
    <xdr:ext cx="5276850" cy="2085975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742950</xdr:colOff>
      <xdr:row>4</xdr:row>
      <xdr:rowOff>9525</xdr:rowOff>
    </xdr:from>
    <xdr:ext cx="3209925" cy="1304925"/>
    <xdr:pic>
      <xdr:nvPicPr>
        <xdr:cNvPr id="0" name="image3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742950</xdr:colOff>
      <xdr:row>11</xdr:row>
      <xdr:rowOff>38100</xdr:rowOff>
    </xdr:from>
    <xdr:ext cx="2943225" cy="771525"/>
    <xdr:pic>
      <xdr:nvPicPr>
        <xdr:cNvPr id="0" name="image4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742950</xdr:colOff>
      <xdr:row>16</xdr:row>
      <xdr:rowOff>57150</xdr:rowOff>
    </xdr:from>
    <xdr:ext cx="3057525" cy="1438275"/>
    <xdr:pic>
      <xdr:nvPicPr>
        <xdr:cNvPr id="0" name="image2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762000</xdr:colOff>
      <xdr:row>27</xdr:row>
      <xdr:rowOff>200025</xdr:rowOff>
    </xdr:from>
    <xdr:ext cx="2019300" cy="685800"/>
    <xdr:pic>
      <xdr:nvPicPr>
        <xdr:cNvPr id="0" name="image4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762000</xdr:colOff>
      <xdr:row>36</xdr:row>
      <xdr:rowOff>142875</xdr:rowOff>
    </xdr:from>
    <xdr:ext cx="3543300" cy="2266950"/>
    <xdr:pic>
      <xdr:nvPicPr>
        <xdr:cNvPr id="0" name="image2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32</xdr:row>
      <xdr:rowOff>200025</xdr:rowOff>
    </xdr:from>
    <xdr:ext cx="1943100" cy="342900"/>
    <xdr:pic>
      <xdr:nvPicPr>
        <xdr:cNvPr id="0" name="image2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35</xdr:row>
      <xdr:rowOff>180975</xdr:rowOff>
    </xdr:from>
    <xdr:ext cx="1838325" cy="771525"/>
    <xdr:pic>
      <xdr:nvPicPr>
        <xdr:cNvPr id="0" name="image4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40</xdr:row>
      <xdr:rowOff>200025</xdr:rowOff>
    </xdr:from>
    <xdr:ext cx="2019300" cy="542925"/>
    <xdr:pic>
      <xdr:nvPicPr>
        <xdr:cNvPr id="0" name="image50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44</xdr:row>
      <xdr:rowOff>161925</xdr:rowOff>
    </xdr:from>
    <xdr:ext cx="1819275" cy="361950"/>
    <xdr:pic>
      <xdr:nvPicPr>
        <xdr:cNvPr id="0" name="image36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6</xdr:row>
      <xdr:rowOff>57150</xdr:rowOff>
    </xdr:from>
    <xdr:ext cx="2019300" cy="285750"/>
    <xdr:pic>
      <xdr:nvPicPr>
        <xdr:cNvPr id="0" name="image40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42</xdr:row>
      <xdr:rowOff>66675</xdr:rowOff>
    </xdr:from>
    <xdr:ext cx="2019300" cy="847725"/>
    <xdr:pic>
      <xdr:nvPicPr>
        <xdr:cNvPr id="0" name="image35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35</xdr:row>
      <xdr:rowOff>57150</xdr:rowOff>
    </xdr:from>
    <xdr:ext cx="885825" cy="733425"/>
    <xdr:pic>
      <xdr:nvPicPr>
        <xdr:cNvPr id="0" name="image30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35</xdr:row>
      <xdr:rowOff>180975</xdr:rowOff>
    </xdr:from>
    <xdr:ext cx="1476375" cy="285750"/>
    <xdr:pic>
      <xdr:nvPicPr>
        <xdr:cNvPr id="0" name="image38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390525</xdr:colOff>
      <xdr:row>34</xdr:row>
      <xdr:rowOff>190500</xdr:rowOff>
    </xdr:from>
    <xdr:ext cx="2333625" cy="752475"/>
    <xdr:pic>
      <xdr:nvPicPr>
        <xdr:cNvPr id="0" name="image39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47</xdr:row>
      <xdr:rowOff>85725</xdr:rowOff>
    </xdr:from>
    <xdr:ext cx="3209925" cy="361950"/>
    <xdr:pic>
      <xdr:nvPicPr>
        <xdr:cNvPr id="0" name="image42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49</xdr:row>
      <xdr:rowOff>200025</xdr:rowOff>
    </xdr:from>
    <xdr:ext cx="2667000" cy="542925"/>
    <xdr:pic>
      <xdr:nvPicPr>
        <xdr:cNvPr id="0" name="image23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52</xdr:row>
      <xdr:rowOff>200025</xdr:rowOff>
    </xdr:from>
    <xdr:ext cx="2990850" cy="419100"/>
    <xdr:pic>
      <xdr:nvPicPr>
        <xdr:cNvPr id="0" name="image37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55</xdr:row>
      <xdr:rowOff>200025</xdr:rowOff>
    </xdr:from>
    <xdr:ext cx="2990850" cy="342900"/>
    <xdr:pic>
      <xdr:nvPicPr>
        <xdr:cNvPr id="0" name="image32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1743075" cy="561975"/>
    <xdr:pic>
      <xdr:nvPicPr>
        <xdr:cNvPr id="0" name="image25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32</xdr:row>
      <xdr:rowOff>200025</xdr:rowOff>
    </xdr:from>
    <xdr:ext cx="1352550" cy="733425"/>
    <xdr:pic>
      <xdr:nvPicPr>
        <xdr:cNvPr id="0" name="image33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36</xdr:row>
      <xdr:rowOff>180975</xdr:rowOff>
    </xdr:from>
    <xdr:ext cx="1447800" cy="733425"/>
    <xdr:pic>
      <xdr:nvPicPr>
        <xdr:cNvPr id="0" name="image47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76</xdr:row>
      <xdr:rowOff>152400</xdr:rowOff>
    </xdr:from>
    <xdr:ext cx="6153150" cy="1266825"/>
    <xdr:pic>
      <xdr:nvPicPr>
        <xdr:cNvPr id="0" name="image26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895350</xdr:colOff>
      <xdr:row>76</xdr:row>
      <xdr:rowOff>38100</xdr:rowOff>
    </xdr:from>
    <xdr:ext cx="2847975" cy="1743075"/>
    <xdr:pic>
      <xdr:nvPicPr>
        <xdr:cNvPr id="0" name="image28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609600</xdr:colOff>
      <xdr:row>75</xdr:row>
      <xdr:rowOff>161925</xdr:rowOff>
    </xdr:from>
    <xdr:ext cx="1047750" cy="571500"/>
    <xdr:pic>
      <xdr:nvPicPr>
        <xdr:cNvPr id="0" name="image41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77</xdr:row>
      <xdr:rowOff>0</xdr:rowOff>
    </xdr:from>
    <xdr:ext cx="800100" cy="247650"/>
    <xdr:pic>
      <xdr:nvPicPr>
        <xdr:cNvPr id="0" name="image45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685800</xdr:colOff>
      <xdr:row>6</xdr:row>
      <xdr:rowOff>57150</xdr:rowOff>
    </xdr:from>
    <xdr:ext cx="2085975" cy="3067050"/>
    <xdr:pic>
      <xdr:nvPicPr>
        <xdr:cNvPr id="0" name="image49.jp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304800</xdr:colOff>
      <xdr:row>27</xdr:row>
      <xdr:rowOff>19050</xdr:rowOff>
    </xdr:from>
    <xdr:ext cx="2990850" cy="1743075"/>
    <xdr:pic>
      <xdr:nvPicPr>
        <xdr:cNvPr id="0" name="image48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43"/>
    <col customWidth="1" min="5" max="5" width="12.0"/>
    <col customWidth="1" min="6" max="26" width="11.43"/>
  </cols>
  <sheetData>
    <row r="1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/>
      <c r="B2" s="6"/>
      <c r="C2" s="6"/>
      <c r="D2" s="7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/>
      <c r="B4" s="8"/>
      <c r="C4" s="9"/>
      <c r="D4" s="4"/>
      <c r="E4" s="10" t="s">
        <v>1</v>
      </c>
      <c r="F4" s="10">
        <v>1.0E-7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/>
      <c r="B5" s="11"/>
      <c r="C5" s="12"/>
      <c r="D5" s="4"/>
      <c r="E5" s="10" t="s">
        <v>2</v>
      </c>
      <c r="F5" s="4">
        <v>48.0</v>
      </c>
      <c r="G5" s="4"/>
      <c r="H5" s="13" t="s">
        <v>3</v>
      </c>
      <c r="I5" s="14"/>
      <c r="J5" s="14"/>
      <c r="K5" s="14"/>
      <c r="L5" s="15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/>
      <c r="B6" s="11"/>
      <c r="C6" s="12"/>
      <c r="D6" s="4"/>
      <c r="E6" s="10" t="s">
        <v>4</v>
      </c>
      <c r="F6" s="4">
        <f>VLOOKUP(F5,B13:C48,2,FALSE)</f>
        <v>1635</v>
      </c>
      <c r="G6" s="4"/>
      <c r="H6" s="16"/>
      <c r="I6" s="17"/>
      <c r="J6" s="17"/>
      <c r="K6" s="17"/>
      <c r="L6" s="1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11"/>
      <c r="C7" s="12"/>
      <c r="D7" s="4"/>
      <c r="E7" s="4" t="s">
        <v>5</v>
      </c>
      <c r="F7" s="4">
        <v>15.0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19"/>
      <c r="C8" s="20"/>
      <c r="D8" s="4"/>
      <c r="E8" s="4" t="s">
        <v>6</v>
      </c>
      <c r="F8" s="4">
        <v>2.0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 t="s">
        <v>7</v>
      </c>
      <c r="F9" s="4">
        <f>F7*(1-(F8/100))</f>
        <v>14.7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21" t="s">
        <v>8</v>
      </c>
      <c r="C10" s="22"/>
      <c r="D10" s="4"/>
      <c r="E10" s="4" t="s">
        <v>9</v>
      </c>
      <c r="F10" s="4">
        <v>3329.0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 t="s">
        <v>10</v>
      </c>
      <c r="F11" s="4">
        <f>F10*9.81/1000</f>
        <v>32.65749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 t="s">
        <v>2</v>
      </c>
      <c r="C12" s="4" t="s">
        <v>11</v>
      </c>
      <c r="D12" s="4"/>
      <c r="E12" s="4" t="s">
        <v>12</v>
      </c>
      <c r="F12" s="10">
        <f>(3*F6*1000000*F9)/(F4*F11)</f>
        <v>2.20787E+16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>
        <v>20.0</v>
      </c>
      <c r="C13" s="4">
        <v>760.0</v>
      </c>
      <c r="D13" s="4"/>
      <c r="E13" s="4" t="s">
        <v>13</v>
      </c>
      <c r="F13" s="4">
        <v>5000.0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>
        <v>21.0</v>
      </c>
      <c r="C14" s="4">
        <v>770.0</v>
      </c>
      <c r="D14" s="4"/>
      <c r="E14" s="4" t="s">
        <v>14</v>
      </c>
      <c r="F14" s="4">
        <v>0.24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>
        <v>22.0</v>
      </c>
      <c r="C15" s="4">
        <v>785.0</v>
      </c>
      <c r="D15" s="4"/>
      <c r="E15" s="4" t="s">
        <v>15</v>
      </c>
      <c r="F15" s="4">
        <f>PI()*F14</f>
        <v>0.7539822369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>
        <v>23.0</v>
      </c>
      <c r="C16" s="4">
        <v>805.0</v>
      </c>
      <c r="D16" s="4"/>
      <c r="E16" s="4" t="s">
        <v>16</v>
      </c>
      <c r="F16" s="10">
        <f>F12/F15</f>
        <v>2.92828E+16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>
        <v>24.0</v>
      </c>
      <c r="C17" s="4">
        <v>825.0</v>
      </c>
      <c r="D17" s="4"/>
      <c r="E17" s="4" t="s">
        <v>17</v>
      </c>
      <c r="F17" s="10">
        <f>F16/F13</f>
        <v>5856557683616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>
        <v>25.0</v>
      </c>
      <c r="C18" s="4">
        <v>840.0</v>
      </c>
      <c r="D18" s="4"/>
      <c r="E18" s="4" t="s">
        <v>18</v>
      </c>
      <c r="F18" s="10">
        <f>F17/60</f>
        <v>97609294727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>
        <v>26.0</v>
      </c>
      <c r="C19" s="4">
        <v>860.0</v>
      </c>
      <c r="D19" s="4"/>
      <c r="E19" s="4" t="s">
        <v>19</v>
      </c>
      <c r="F19" s="10">
        <f>F17/90</f>
        <v>65072863151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>
        <v>27.0</v>
      </c>
      <c r="C20" s="4">
        <v>880.0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>
        <v>28.0</v>
      </c>
      <c r="C21" s="4">
        <v>910.0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>
        <v>29.0</v>
      </c>
      <c r="C22" s="4">
        <v>930.0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>
        <v>30.0</v>
      </c>
      <c r="C23" s="4">
        <v>950.0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>
        <v>31.0</v>
      </c>
      <c r="C24" s="4">
        <v>980.0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>
        <v>32.0</v>
      </c>
      <c r="C25" s="4">
        <v>1000.0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>
        <v>33.0</v>
      </c>
      <c r="C26" s="4">
        <v>1025.0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>
        <v>34.0</v>
      </c>
      <c r="C27" s="4">
        <v>1055.0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>
        <v>35.0</v>
      </c>
      <c r="C28" s="4">
        <v>1080.0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>
        <v>36.0</v>
      </c>
      <c r="C29" s="4">
        <v>1115.0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>
        <v>37.0</v>
      </c>
      <c r="C30" s="4">
        <v>1160.0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>
        <v>38.0</v>
      </c>
      <c r="C31" s="4">
        <v>1180.0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>
        <v>39.0</v>
      </c>
      <c r="C32" s="4">
        <v>1215.0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>
        <v>40.0</v>
      </c>
      <c r="C33" s="4">
        <v>1250.0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>
        <v>41.0</v>
      </c>
      <c r="C34" s="4">
        <v>1295.0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>
        <v>42.0</v>
      </c>
      <c r="C35" s="4">
        <v>1340.0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>
        <v>43.0</v>
      </c>
      <c r="C36" s="4">
        <v>1385.0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>
        <v>44.0</v>
      </c>
      <c r="C37" s="4">
        <v>1435.0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>
        <v>45.0</v>
      </c>
      <c r="C38" s="4">
        <v>1480.0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>
        <v>46.0</v>
      </c>
      <c r="C39" s="4">
        <v>1530.0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>
        <v>47.0</v>
      </c>
      <c r="C40" s="4">
        <v>1580.0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>
        <v>48.0</v>
      </c>
      <c r="C41" s="4">
        <v>1635.0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>
        <v>49.0</v>
      </c>
      <c r="C42" s="4">
        <v>1695.0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>
        <v>50.0</v>
      </c>
      <c r="C43" s="4">
        <v>1760.0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>
        <v>51.0</v>
      </c>
      <c r="C44" s="4">
        <v>1820.0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>
        <v>52.0</v>
      </c>
      <c r="C45" s="4">
        <v>1880.0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>
        <v>53.0</v>
      </c>
      <c r="C46" s="4">
        <v>1950.0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>
        <v>54.0</v>
      </c>
      <c r="C47" s="4">
        <v>2015.0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>
        <v>55.0</v>
      </c>
      <c r="C48" s="4">
        <v>2075.0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">
    <mergeCell ref="A1:D2"/>
    <mergeCell ref="H5:L6"/>
    <mergeCell ref="B10:C10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3" width="3.71"/>
    <col customWidth="1" min="4" max="4" width="13.0"/>
    <col customWidth="1" min="5" max="5" width="11.43"/>
    <col customWidth="1" min="6" max="7" width="3.71"/>
    <col customWidth="1" min="8" max="11" width="11.43"/>
    <col customWidth="1" min="12" max="12" width="18.14"/>
    <col customWidth="1" min="13" max="13" width="18.29"/>
    <col customWidth="1" min="14" max="14" width="14.0"/>
    <col customWidth="1" min="15" max="15" width="11.43"/>
    <col customWidth="1" min="16" max="16" width="21.71"/>
    <col customWidth="1" min="17" max="26" width="11.43"/>
  </cols>
  <sheetData>
    <row r="1">
      <c r="A1" s="23" t="s">
        <v>20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/>
      <c r="B2" s="6"/>
      <c r="C2" s="6"/>
      <c r="D2" s="6"/>
      <c r="E2" s="6"/>
      <c r="F2" s="6"/>
      <c r="G2" s="7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/>
      <c r="B4" s="4"/>
      <c r="C4" s="24" t="s">
        <v>21</v>
      </c>
      <c r="D4" s="25"/>
      <c r="E4" s="25"/>
      <c r="F4" s="22"/>
      <c r="G4" s="4"/>
      <c r="H4" s="4"/>
      <c r="I4" s="24" t="s">
        <v>22</v>
      </c>
      <c r="J4" s="22"/>
      <c r="K4" s="4"/>
      <c r="L4" s="26" t="s">
        <v>23</v>
      </c>
      <c r="M4" s="22"/>
      <c r="N4" s="4"/>
      <c r="O4" s="4"/>
      <c r="P4" s="26" t="s">
        <v>24</v>
      </c>
      <c r="Q4" s="22"/>
      <c r="R4" s="4"/>
      <c r="S4" s="4"/>
      <c r="T4" s="4"/>
      <c r="U4" s="4"/>
      <c r="V4" s="4"/>
      <c r="W4" s="4"/>
      <c r="X4" s="4"/>
      <c r="Y4" s="4"/>
      <c r="Z4" s="4"/>
    </row>
    <row r="5">
      <c r="A5" s="4"/>
      <c r="B5" s="4"/>
      <c r="C5" s="27" t="s">
        <v>25</v>
      </c>
      <c r="D5" s="28"/>
      <c r="E5" s="29">
        <f>E6*(E7*(2*PI())/60)</f>
        <v>217.8818134</v>
      </c>
      <c r="F5" s="28"/>
      <c r="G5" s="4"/>
      <c r="H5" s="4"/>
      <c r="I5" s="30" t="s">
        <v>26</v>
      </c>
      <c r="J5" s="12">
        <v>1.3</v>
      </c>
      <c r="K5" s="4"/>
      <c r="L5" s="30" t="s">
        <v>27</v>
      </c>
      <c r="M5" s="12" t="s">
        <v>28</v>
      </c>
      <c r="N5" s="4"/>
      <c r="O5" s="4"/>
      <c r="P5" s="30" t="s">
        <v>29</v>
      </c>
      <c r="Q5" s="9">
        <v>0.94</v>
      </c>
      <c r="R5" s="4"/>
      <c r="S5" s="4"/>
      <c r="T5" s="4"/>
      <c r="U5" s="4"/>
      <c r="V5" s="4"/>
      <c r="W5" s="4"/>
      <c r="X5" s="4"/>
      <c r="Y5" s="4"/>
      <c r="Z5" s="4"/>
    </row>
    <row r="6">
      <c r="A6" s="4"/>
      <c r="B6" s="4"/>
      <c r="C6" s="31" t="s">
        <v>30</v>
      </c>
      <c r="D6" s="32"/>
      <c r="E6" s="33">
        <f>Ejes!J27</f>
        <v>1.300386286</v>
      </c>
      <c r="F6" s="32"/>
      <c r="G6" s="4"/>
      <c r="H6" s="4"/>
      <c r="I6" s="34" t="s">
        <v>31</v>
      </c>
      <c r="J6" s="12">
        <f>J5*E5</f>
        <v>283.2463574</v>
      </c>
      <c r="K6" s="4"/>
      <c r="L6" s="34" t="s">
        <v>32</v>
      </c>
      <c r="M6" s="12">
        <v>15.0</v>
      </c>
      <c r="N6" s="4"/>
      <c r="O6" s="4"/>
      <c r="P6" s="34" t="s">
        <v>33</v>
      </c>
      <c r="Q6" s="35">
        <f>E6</f>
        <v>1.300386286</v>
      </c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31" t="s">
        <v>34</v>
      </c>
      <c r="D7" s="32"/>
      <c r="E7" s="36">
        <v>1600.0</v>
      </c>
      <c r="F7" s="32"/>
      <c r="G7" s="4"/>
      <c r="H7" s="4"/>
      <c r="I7" s="34" t="s">
        <v>35</v>
      </c>
      <c r="J7" s="37">
        <f>J6*0.00134102</f>
        <v>0.3798390302</v>
      </c>
      <c r="K7" s="4"/>
      <c r="L7" s="34" t="s">
        <v>36</v>
      </c>
      <c r="M7" s="12">
        <f>M6*25.4</f>
        <v>381</v>
      </c>
      <c r="N7" s="4"/>
      <c r="O7" s="4"/>
      <c r="P7" s="34" t="s">
        <v>37</v>
      </c>
      <c r="Q7" s="12">
        <f>(Q6/Q5)*(J18/M18)</f>
        <v>0.6916948327</v>
      </c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31" t="s">
        <v>38</v>
      </c>
      <c r="D8" s="32"/>
      <c r="E8" s="36">
        <f>(E6/E10)/Q5</f>
        <v>0.6916948327</v>
      </c>
      <c r="F8" s="32"/>
      <c r="G8" s="4"/>
      <c r="H8" s="4"/>
      <c r="I8" s="34" t="s">
        <v>39</v>
      </c>
      <c r="J8" s="12" t="s">
        <v>40</v>
      </c>
      <c r="K8" s="4"/>
      <c r="L8" s="34" t="s">
        <v>41</v>
      </c>
      <c r="M8" s="4">
        <v>0.38</v>
      </c>
      <c r="N8" s="38" t="s">
        <v>42</v>
      </c>
      <c r="O8" s="12"/>
      <c r="P8" s="20" t="s">
        <v>43</v>
      </c>
      <c r="Q8" s="20">
        <f>Q7*2/(J18/1000)</f>
        <v>42.77605128</v>
      </c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31" t="s">
        <v>44</v>
      </c>
      <c r="D9" s="32"/>
      <c r="E9" s="36">
        <f>(E5/E8)*(60/(2*PI()))</f>
        <v>3008</v>
      </c>
      <c r="F9" s="32"/>
      <c r="G9" s="4"/>
      <c r="H9" s="4"/>
      <c r="I9" s="34" t="s">
        <v>45</v>
      </c>
      <c r="J9" s="12">
        <v>0.2</v>
      </c>
      <c r="K9" s="4"/>
      <c r="L9" s="34" t="s">
        <v>46</v>
      </c>
      <c r="M9" s="4">
        <f>(J18/25.4)*(E9/1000)*(0.0916-((7.07*0.00001)*((J18/25.4)*(E9/1000))^2))/M8</f>
        <v>0.9127565642</v>
      </c>
      <c r="N9" s="34">
        <v>1.23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39" t="s">
        <v>47</v>
      </c>
      <c r="D10" s="40"/>
      <c r="E10" s="41">
        <v>2.0</v>
      </c>
      <c r="F10" s="40"/>
      <c r="G10" s="4"/>
      <c r="H10" s="4"/>
      <c r="I10" s="34" t="s">
        <v>48</v>
      </c>
      <c r="J10" s="12">
        <f>25.4*J9</f>
        <v>5.08</v>
      </c>
      <c r="K10" s="4"/>
      <c r="L10" s="34" t="s">
        <v>49</v>
      </c>
      <c r="M10" s="4">
        <f>J7/M9</f>
        <v>0.4161449451</v>
      </c>
      <c r="N10" s="34">
        <f>J7/N9</f>
        <v>0.3088122197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34" t="s">
        <v>50</v>
      </c>
      <c r="J11" s="12">
        <v>4.45</v>
      </c>
      <c r="K11" s="4"/>
      <c r="L11" s="42" t="s">
        <v>51</v>
      </c>
      <c r="M11" s="43">
        <f>IF(MAX(M10,0.25)=0.25,0.25,MAX(M10,0.38))</f>
        <v>0.4161449451</v>
      </c>
      <c r="N11" s="42">
        <v>0.37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2" t="s">
        <v>52</v>
      </c>
      <c r="J12" s="20">
        <f>(J11*25.4)/10</f>
        <v>11.303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4" t="s">
        <v>53</v>
      </c>
      <c r="J14" s="22"/>
      <c r="K14" s="4"/>
      <c r="L14" s="44" t="s">
        <v>54</v>
      </c>
      <c r="M14" s="22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30" t="s">
        <v>27</v>
      </c>
      <c r="J15" s="12" t="s">
        <v>55</v>
      </c>
      <c r="K15" s="4"/>
      <c r="L15" s="30" t="s">
        <v>56</v>
      </c>
      <c r="M15" s="12" t="s">
        <v>57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34" t="s">
        <v>58</v>
      </c>
      <c r="J16" s="12">
        <v>20.0</v>
      </c>
      <c r="K16" s="4"/>
      <c r="L16" s="34" t="s">
        <v>58</v>
      </c>
      <c r="M16" s="12">
        <v>40.0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34" t="s">
        <v>59</v>
      </c>
      <c r="J17" s="12">
        <f>0.871*25.4</f>
        <v>22.1234</v>
      </c>
      <c r="K17" s="4"/>
      <c r="L17" s="34" t="s">
        <v>59</v>
      </c>
      <c r="M17" s="12">
        <f>1.763*25.4</f>
        <v>44.7802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2" t="s">
        <v>60</v>
      </c>
      <c r="J18" s="20">
        <f>(($J$9*J16)/(PI()))*25.4</f>
        <v>32.34028444</v>
      </c>
      <c r="K18" s="4"/>
      <c r="L18" s="42" t="s">
        <v>60</v>
      </c>
      <c r="M18" s="20">
        <f>(($J$9*M16)/(PI()))*25.4</f>
        <v>64.68056887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5" t="s">
        <v>61</v>
      </c>
      <c r="J19" s="46">
        <f>((E9*2*PI()/60)*(J18/25.4)/12)*60</f>
        <v>2005.333333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26" t="s">
        <v>62</v>
      </c>
      <c r="M21" s="22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30" t="s">
        <v>63</v>
      </c>
      <c r="M22" s="9">
        <f>DEGREES(PI()-2*ASIN((-0.5*$J$18+0.5*$M$18)/($J$12*10)))</f>
        <v>163.5500195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2" t="s">
        <v>64</v>
      </c>
      <c r="M23" s="20">
        <f>DEGREES(PI()+2*ASIN((-0.5*$J$18+0.5*$M$18)/($J$12*10)))</f>
        <v>196.4499805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G2"/>
    <mergeCell ref="C4:F4"/>
    <mergeCell ref="I4:J4"/>
    <mergeCell ref="L4:M4"/>
    <mergeCell ref="P4:Q4"/>
    <mergeCell ref="C5:D5"/>
    <mergeCell ref="E5:F5"/>
    <mergeCell ref="C9:D9"/>
    <mergeCell ref="C10:D10"/>
    <mergeCell ref="I14:J14"/>
    <mergeCell ref="L14:M14"/>
    <mergeCell ref="L21:M21"/>
    <mergeCell ref="C6:D6"/>
    <mergeCell ref="E6:F6"/>
    <mergeCell ref="C7:D7"/>
    <mergeCell ref="E7:F7"/>
    <mergeCell ref="C8:D8"/>
    <mergeCell ref="E8:F8"/>
    <mergeCell ref="E9:F9"/>
    <mergeCell ref="E10:F10"/>
  </mergeCells>
  <conditionalFormatting sqref="M22">
    <cfRule type="cellIs" dxfId="0" priority="1" operator="between">
      <formula>90</formula>
      <formula>170</formula>
    </cfRule>
  </conditionalFormatting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7" t="s">
        <v>65</v>
      </c>
      <c r="B1" s="48" t="s">
        <v>66</v>
      </c>
      <c r="C1" s="49"/>
      <c r="D1" s="50" t="s">
        <v>67</v>
      </c>
      <c r="E1" s="51">
        <v>33.0</v>
      </c>
      <c r="F1" s="49"/>
      <c r="G1" s="49"/>
      <c r="H1" s="49"/>
      <c r="I1" s="49"/>
      <c r="J1" s="47" t="s">
        <v>68</v>
      </c>
      <c r="K1" s="52">
        <v>0.6667</v>
      </c>
      <c r="L1" s="49"/>
    </row>
    <row r="2">
      <c r="A2" s="53" t="s">
        <v>69</v>
      </c>
      <c r="B2" s="54">
        <v>50.0</v>
      </c>
      <c r="C2" s="49"/>
      <c r="D2" s="49"/>
      <c r="E2" s="49"/>
      <c r="F2" s="49"/>
      <c r="G2" s="49"/>
      <c r="H2" s="49"/>
      <c r="I2" s="49"/>
      <c r="J2" s="53" t="s">
        <v>70</v>
      </c>
      <c r="K2" s="54">
        <v>45.0</v>
      </c>
      <c r="L2" s="49"/>
    </row>
    <row r="3">
      <c r="A3" s="53" t="s">
        <v>71</v>
      </c>
      <c r="B3" s="54">
        <v>1305.0</v>
      </c>
      <c r="C3" s="49"/>
      <c r="D3" s="49"/>
      <c r="E3" s="49"/>
      <c r="F3" s="49"/>
      <c r="G3" s="49"/>
      <c r="H3" s="49"/>
      <c r="I3" s="49"/>
      <c r="J3" s="53" t="s">
        <v>72</v>
      </c>
      <c r="K3" s="54">
        <v>14.8148</v>
      </c>
      <c r="L3" s="49"/>
    </row>
    <row r="4">
      <c r="A4" s="53" t="s">
        <v>73</v>
      </c>
      <c r="B4" s="54">
        <v>1095.0</v>
      </c>
      <c r="C4" s="49"/>
      <c r="D4" s="49"/>
      <c r="E4" s="49"/>
      <c r="F4" s="49"/>
      <c r="G4" s="49"/>
      <c r="H4" s="49"/>
      <c r="I4" s="49"/>
      <c r="J4" s="53" t="s">
        <v>74</v>
      </c>
      <c r="K4" s="54">
        <v>4.05</v>
      </c>
      <c r="L4" s="48" t="s">
        <v>75</v>
      </c>
    </row>
    <row r="5">
      <c r="A5" s="53" t="s">
        <v>76</v>
      </c>
      <c r="B5" s="54">
        <v>10.0</v>
      </c>
      <c r="C5" s="49"/>
      <c r="D5" s="49"/>
      <c r="E5" s="49"/>
      <c r="F5" s="49"/>
      <c r="G5" s="49"/>
      <c r="H5" s="49"/>
      <c r="I5" s="49"/>
      <c r="J5" s="53" t="s">
        <v>77</v>
      </c>
      <c r="K5" s="54">
        <v>1.215</v>
      </c>
      <c r="L5" s="55">
        <v>0.3</v>
      </c>
    </row>
    <row r="6">
      <c r="A6" s="53" t="s">
        <v>78</v>
      </c>
      <c r="B6" s="54">
        <v>200.0</v>
      </c>
      <c r="C6" s="56">
        <v>2.0E11</v>
      </c>
      <c r="D6" s="49"/>
      <c r="E6" s="49"/>
      <c r="F6" s="49"/>
      <c r="G6" s="49"/>
      <c r="H6" s="49"/>
      <c r="I6" s="49"/>
      <c r="J6" s="53" t="s">
        <v>79</v>
      </c>
      <c r="K6" s="54">
        <v>2.835</v>
      </c>
      <c r="L6" s="55">
        <v>0.7</v>
      </c>
    </row>
    <row r="7">
      <c r="A7" s="53" t="s">
        <v>80</v>
      </c>
      <c r="B7" s="54">
        <v>7.74</v>
      </c>
      <c r="C7" s="49"/>
      <c r="D7" s="49"/>
      <c r="E7" s="49"/>
      <c r="F7" s="49"/>
      <c r="G7" s="49"/>
      <c r="H7" s="49"/>
      <c r="I7" s="49"/>
      <c r="J7" s="53" t="s">
        <v>81</v>
      </c>
      <c r="K7" s="54">
        <v>154.0</v>
      </c>
      <c r="L7" s="49"/>
    </row>
    <row r="8">
      <c r="A8" s="49"/>
      <c r="B8" s="49"/>
      <c r="C8" s="49"/>
      <c r="D8" s="49"/>
      <c r="E8" s="49"/>
      <c r="F8" s="49"/>
      <c r="G8" s="49"/>
      <c r="H8" s="49"/>
      <c r="I8" s="49"/>
      <c r="J8" s="53" t="s">
        <v>82</v>
      </c>
      <c r="K8" s="54">
        <v>0.5</v>
      </c>
      <c r="L8" s="49"/>
    </row>
    <row r="9">
      <c r="A9" s="49"/>
      <c r="B9" s="49"/>
      <c r="C9" s="49"/>
      <c r="D9" s="49"/>
      <c r="E9" s="49"/>
      <c r="F9" s="49"/>
      <c r="G9" s="49"/>
      <c r="H9" s="49"/>
      <c r="I9" s="49"/>
      <c r="J9" s="53" t="s">
        <v>83</v>
      </c>
      <c r="K9" s="54">
        <v>0.35273369</v>
      </c>
      <c r="L9" s="48" t="s">
        <v>84</v>
      </c>
    </row>
    <row r="10">
      <c r="A10" s="47" t="s">
        <v>85</v>
      </c>
      <c r="B10" s="57"/>
      <c r="C10" s="49"/>
      <c r="D10" s="47" t="s">
        <v>86</v>
      </c>
      <c r="E10" s="57"/>
      <c r="F10" s="49"/>
      <c r="G10" s="47" t="s">
        <v>87</v>
      </c>
      <c r="H10" s="57"/>
      <c r="I10" s="49"/>
      <c r="J10" s="53" t="s">
        <v>88</v>
      </c>
      <c r="K10" s="54">
        <v>10.5820106</v>
      </c>
      <c r="L10" s="54">
        <v>30.0</v>
      </c>
    </row>
    <row r="11">
      <c r="A11" s="58" t="s">
        <v>89</v>
      </c>
      <c r="B11" s="54">
        <v>40.0</v>
      </c>
      <c r="C11" s="49"/>
      <c r="D11" s="53" t="s">
        <v>90</v>
      </c>
      <c r="E11" s="54">
        <v>2.0</v>
      </c>
      <c r="F11" s="49"/>
      <c r="G11" s="53" t="s">
        <v>90</v>
      </c>
      <c r="H11" s="54">
        <v>2.0</v>
      </c>
      <c r="I11" s="49"/>
      <c r="J11" s="53" t="s">
        <v>91</v>
      </c>
      <c r="K11" s="54">
        <v>105.820106</v>
      </c>
      <c r="L11" s="49"/>
    </row>
    <row r="12">
      <c r="A12" s="58" t="s">
        <v>92</v>
      </c>
      <c r="B12" s="54">
        <v>2.5</v>
      </c>
      <c r="C12" s="49"/>
      <c r="D12" s="53" t="s">
        <v>93</v>
      </c>
      <c r="E12" s="54">
        <v>547.5</v>
      </c>
      <c r="F12" s="49"/>
      <c r="G12" s="53" t="s">
        <v>94</v>
      </c>
      <c r="H12" s="54">
        <v>0.1</v>
      </c>
      <c r="I12" s="49"/>
      <c r="J12" s="53" t="s">
        <v>95</v>
      </c>
      <c r="K12" s="54">
        <v>1010.50758</v>
      </c>
      <c r="L12" s="50" t="s">
        <v>96</v>
      </c>
    </row>
    <row r="13">
      <c r="A13" s="53" t="s">
        <v>97</v>
      </c>
      <c r="B13" s="54">
        <v>200.0</v>
      </c>
      <c r="C13" s="49"/>
      <c r="D13" s="53" t="s">
        <v>98</v>
      </c>
      <c r="E13" s="54">
        <v>0.060273973</v>
      </c>
      <c r="F13" s="49"/>
      <c r="G13" s="53" t="s">
        <v>99</v>
      </c>
      <c r="H13" s="54">
        <v>66.0</v>
      </c>
      <c r="I13" s="49"/>
      <c r="J13" s="59" t="s">
        <v>100</v>
      </c>
      <c r="K13" s="51">
        <v>2021.01515</v>
      </c>
      <c r="L13" s="50" t="s">
        <v>96</v>
      </c>
    </row>
    <row r="14">
      <c r="A14" s="49"/>
      <c r="B14" s="49"/>
      <c r="C14" s="49"/>
      <c r="D14" s="53" t="s">
        <v>101</v>
      </c>
      <c r="E14" s="60">
        <v>9.5929E-5</v>
      </c>
      <c r="F14" s="49"/>
      <c r="G14" s="53" t="s">
        <v>102</v>
      </c>
      <c r="H14" s="60">
        <v>3.3436E-13</v>
      </c>
      <c r="I14" s="49"/>
      <c r="J14" s="49"/>
      <c r="K14" s="49"/>
      <c r="L14" s="49"/>
    </row>
    <row r="15">
      <c r="A15" s="49"/>
      <c r="B15" s="49"/>
      <c r="C15" s="49"/>
      <c r="D15" s="49"/>
      <c r="E15" s="49"/>
      <c r="F15" s="49"/>
      <c r="G15" s="53" t="s">
        <v>101</v>
      </c>
      <c r="H15" s="54">
        <v>0.585403276</v>
      </c>
      <c r="I15" s="49"/>
      <c r="J15" s="49"/>
      <c r="K15" s="49"/>
      <c r="L15" s="49"/>
    </row>
    <row r="16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</row>
    <row r="17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</row>
    <row r="18">
      <c r="A18" s="49"/>
      <c r="B18" s="50" t="s">
        <v>103</v>
      </c>
      <c r="C18" s="51">
        <v>20.8</v>
      </c>
      <c r="D18" s="49"/>
      <c r="E18" s="49"/>
      <c r="F18" s="49"/>
      <c r="G18" s="49"/>
      <c r="H18" s="49"/>
      <c r="I18" s="49"/>
      <c r="J18" s="49"/>
      <c r="K18" s="49"/>
      <c r="L18" s="49"/>
    </row>
    <row r="19">
      <c r="A19" s="49"/>
      <c r="B19" s="50" t="s">
        <v>104</v>
      </c>
      <c r="C19" s="51">
        <v>0.69333333</v>
      </c>
      <c r="D19" s="51">
        <v>30.0</v>
      </c>
      <c r="E19" s="49"/>
      <c r="F19" s="49"/>
      <c r="G19" s="49"/>
      <c r="H19" s="49"/>
      <c r="I19" s="49"/>
      <c r="J19" s="49"/>
      <c r="K19" s="49"/>
      <c r="L19" s="49"/>
    </row>
    <row r="20">
      <c r="A20" s="49"/>
      <c r="B20" s="49"/>
      <c r="C20" s="49"/>
      <c r="D20" s="51">
        <v>88.09084757</v>
      </c>
      <c r="E20" s="49"/>
      <c r="F20" s="49"/>
      <c r="G20" s="49"/>
      <c r="H20" s="49"/>
      <c r="I20" s="49"/>
      <c r="J20" s="49"/>
      <c r="K20" s="49"/>
      <c r="L20" s="4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.71"/>
    <col customWidth="1" min="3" max="3" width="13.0"/>
    <col customWidth="1" min="4" max="4" width="12.86"/>
    <col customWidth="1" min="5" max="5" width="3.71"/>
    <col customWidth="1" min="6" max="6" width="21.71"/>
    <col customWidth="1" min="7" max="7" width="11.43"/>
    <col customWidth="1" min="8" max="8" width="3.71"/>
    <col customWidth="1" min="9" max="15" width="11.43"/>
    <col customWidth="1" min="16" max="16" width="3.71"/>
    <col customWidth="1" min="17" max="18" width="15.71"/>
    <col customWidth="1" min="19" max="19" width="3.71"/>
    <col customWidth="1" min="20" max="21" width="21.71"/>
    <col customWidth="1" min="22" max="25" width="17.0"/>
    <col customWidth="1" min="26" max="26" width="16.71"/>
    <col customWidth="1" min="27" max="27" width="16.14"/>
    <col customWidth="1" min="28" max="28" width="13.29"/>
    <col customWidth="1" min="29" max="29" width="14.43"/>
    <col customWidth="1" min="30" max="30" width="11.43"/>
    <col customWidth="1" min="31" max="31" width="15.71"/>
    <col customWidth="1" min="32" max="32" width="19.14"/>
    <col customWidth="1" min="33" max="33" width="18.43"/>
    <col customWidth="1" min="34" max="34" width="18.57"/>
    <col customWidth="1" min="35" max="44" width="11.43"/>
    <col customWidth="1" min="45" max="45" width="3.71"/>
    <col customWidth="1" min="46" max="50" width="11.43"/>
    <col customWidth="1" min="51" max="51" width="14.71"/>
    <col customWidth="1" min="52" max="55" width="11.43"/>
    <col customWidth="1" min="56" max="57" width="10.71"/>
    <col customWidth="1" min="58" max="63" width="11.43"/>
    <col customWidth="1" min="64" max="64" width="12.71"/>
    <col customWidth="1" min="65" max="65" width="13.86"/>
    <col customWidth="1" min="66" max="67" width="11.43"/>
    <col customWidth="1" min="68" max="68" width="16.43"/>
    <col customWidth="1" min="69" max="69" width="16.14"/>
    <col customWidth="1" min="70" max="70" width="11.43"/>
    <col customWidth="1" min="71" max="71" width="3.71"/>
    <col customWidth="1" min="72" max="75" width="11.43"/>
    <col customWidth="1" min="76" max="76" width="3.71"/>
    <col customWidth="1" min="77" max="79" width="11.43"/>
    <col customWidth="1" min="80" max="80" width="3.71"/>
    <col customWidth="1" min="81" max="81" width="11.43"/>
    <col customWidth="1" min="82" max="82" width="3.71"/>
    <col customWidth="1" min="83" max="83" width="20.29"/>
    <col customWidth="1" min="84" max="84" width="14.14"/>
    <col customWidth="1" min="85" max="88" width="11.43"/>
    <col customWidth="1" min="89" max="89" width="13.43"/>
    <col customWidth="1" min="90" max="90" width="18.0"/>
    <col customWidth="1" min="91" max="92" width="12.71"/>
    <col customWidth="1" min="93" max="93" width="12.0"/>
    <col customWidth="1" min="94" max="94" width="15.14"/>
    <col customWidth="1" min="95" max="97" width="11.43"/>
    <col customWidth="1" min="98" max="98" width="13.14"/>
    <col customWidth="1" min="99" max="101" width="11.43"/>
  </cols>
  <sheetData>
    <row r="1" ht="15.0" customHeight="1">
      <c r="A1" s="1" t="s">
        <v>105</v>
      </c>
      <c r="B1" s="2"/>
      <c r="C1" s="2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ht="15.75" customHeight="1">
      <c r="A2" s="5"/>
      <c r="B2" s="6"/>
      <c r="C2" s="6"/>
      <c r="D2" s="6"/>
      <c r="E2" s="7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</row>
    <row r="4" ht="15.75" customHeight="1">
      <c r="A4" s="4"/>
      <c r="B4" s="44" t="s">
        <v>106</v>
      </c>
      <c r="C4" s="25"/>
      <c r="D4" s="25"/>
      <c r="E4" s="25"/>
      <c r="F4" s="25"/>
      <c r="G4" s="25"/>
      <c r="H4" s="25"/>
      <c r="I4" s="25"/>
      <c r="J4" s="22"/>
      <c r="K4" s="4"/>
      <c r="L4" s="4"/>
      <c r="M4" s="4"/>
      <c r="N4" s="4"/>
      <c r="O4" s="4"/>
      <c r="P4" s="44" t="s">
        <v>107</v>
      </c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2"/>
      <c r="AM4" s="4"/>
      <c r="AN4" s="4"/>
      <c r="AO4" s="4"/>
      <c r="AP4" s="4"/>
      <c r="AQ4" s="4"/>
      <c r="AR4" s="4"/>
      <c r="AS4" s="44" t="s">
        <v>108</v>
      </c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2"/>
      <c r="CC4" s="4"/>
      <c r="CD4" s="44" t="s">
        <v>109</v>
      </c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2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</row>
    <row r="6">
      <c r="A6" s="4"/>
      <c r="B6" s="4"/>
      <c r="C6" s="24" t="s">
        <v>110</v>
      </c>
      <c r="D6" s="22"/>
      <c r="E6" s="4"/>
      <c r="F6" s="24" t="s">
        <v>111</v>
      </c>
      <c r="G6" s="22"/>
      <c r="H6" s="4"/>
      <c r="I6" s="24" t="s">
        <v>112</v>
      </c>
      <c r="J6" s="22"/>
      <c r="K6" s="4"/>
      <c r="L6" s="4"/>
      <c r="M6" s="4"/>
      <c r="N6" s="4"/>
      <c r="O6" s="4"/>
      <c r="P6" s="4"/>
      <c r="Q6" s="61" t="s">
        <v>113</v>
      </c>
      <c r="R6" s="22"/>
      <c r="S6" s="4"/>
      <c r="T6" s="62" t="s">
        <v>114</v>
      </c>
      <c r="U6" s="63" t="s">
        <v>115</v>
      </c>
      <c r="V6" s="63" t="s">
        <v>116</v>
      </c>
      <c r="W6" s="64" t="s">
        <v>117</v>
      </c>
      <c r="X6" s="65" t="s">
        <v>114</v>
      </c>
      <c r="Y6" s="66" t="s">
        <v>115</v>
      </c>
      <c r="Z6" s="66" t="s">
        <v>118</v>
      </c>
      <c r="AA6" s="66" t="s">
        <v>119</v>
      </c>
      <c r="AB6" s="66" t="s">
        <v>120</v>
      </c>
      <c r="AC6" s="67" t="s">
        <v>121</v>
      </c>
      <c r="AD6" s="4"/>
      <c r="AE6" s="62" t="s">
        <v>122</v>
      </c>
      <c r="AF6" s="63" t="s">
        <v>123</v>
      </c>
      <c r="AG6" s="68" t="s">
        <v>124</v>
      </c>
      <c r="AH6" s="69" t="s">
        <v>125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70" t="s">
        <v>126</v>
      </c>
      <c r="AU6" s="71"/>
      <c r="AV6" s="72" t="s">
        <v>127</v>
      </c>
      <c r="AW6" s="25"/>
      <c r="AX6" s="22"/>
      <c r="AY6" s="73" t="s">
        <v>128</v>
      </c>
      <c r="AZ6" s="73" t="s">
        <v>129</v>
      </c>
      <c r="BA6" s="73" t="s">
        <v>130</v>
      </c>
      <c r="BB6" s="73" t="s">
        <v>131</v>
      </c>
      <c r="BC6" s="73" t="s">
        <v>132</v>
      </c>
      <c r="BD6" s="70" t="s">
        <v>65</v>
      </c>
      <c r="BE6" s="22"/>
      <c r="BF6" s="73" t="s">
        <v>133</v>
      </c>
      <c r="BG6" s="73" t="s">
        <v>134</v>
      </c>
      <c r="BH6" s="73" t="s">
        <v>135</v>
      </c>
      <c r="BI6" s="70" t="s">
        <v>136</v>
      </c>
      <c r="BJ6" s="22"/>
      <c r="BK6" s="73" t="s">
        <v>137</v>
      </c>
      <c r="BL6" s="70" t="s">
        <v>138</v>
      </c>
      <c r="BM6" s="22"/>
      <c r="BN6" s="73" t="s">
        <v>139</v>
      </c>
      <c r="BO6" s="73" t="s">
        <v>140</v>
      </c>
      <c r="BP6" s="74" t="s">
        <v>141</v>
      </c>
      <c r="BQ6" s="73" t="s">
        <v>142</v>
      </c>
      <c r="BR6" s="75" t="s">
        <v>143</v>
      </c>
      <c r="BS6" s="4"/>
      <c r="BT6" s="4"/>
      <c r="BU6" s="76" t="s">
        <v>144</v>
      </c>
      <c r="BV6" s="25"/>
      <c r="BW6" s="22"/>
      <c r="BX6" s="4"/>
      <c r="BY6" s="77" t="s">
        <v>145</v>
      </c>
      <c r="BZ6" s="25"/>
      <c r="CA6" s="22"/>
      <c r="CB6" s="4"/>
      <c r="CC6" s="4"/>
      <c r="CD6" s="4"/>
      <c r="CE6" s="61" t="s">
        <v>146</v>
      </c>
      <c r="CF6" s="22"/>
      <c r="CG6" s="4"/>
      <c r="CH6" s="78" t="s">
        <v>113</v>
      </c>
      <c r="CI6" s="28"/>
      <c r="CJ6" s="4"/>
      <c r="CK6" s="62" t="s">
        <v>114</v>
      </c>
      <c r="CL6" s="63" t="s">
        <v>147</v>
      </c>
      <c r="CM6" s="63" t="s">
        <v>148</v>
      </c>
      <c r="CN6" s="63" t="s">
        <v>149</v>
      </c>
      <c r="CO6" s="63" t="s">
        <v>150</v>
      </c>
      <c r="CP6" s="64" t="s">
        <v>151</v>
      </c>
      <c r="CQ6" s="79" t="s">
        <v>152</v>
      </c>
      <c r="CR6" s="4"/>
      <c r="CS6" s="4"/>
      <c r="CT6" s="4"/>
      <c r="CU6" s="4"/>
      <c r="CV6" s="4"/>
      <c r="CW6" s="4"/>
    </row>
    <row r="7">
      <c r="A7" s="4"/>
      <c r="B7" s="4"/>
      <c r="C7" s="8" t="s">
        <v>153</v>
      </c>
      <c r="D7" s="9">
        <v>200.0</v>
      </c>
      <c r="E7" s="4"/>
      <c r="F7" s="11" t="s">
        <v>154</v>
      </c>
      <c r="G7" s="12">
        <v>775.0</v>
      </c>
      <c r="H7" s="4"/>
      <c r="I7" s="8" t="s">
        <v>155</v>
      </c>
      <c r="J7" s="9">
        <v>300.0</v>
      </c>
      <c r="K7" s="4"/>
      <c r="L7" s="4"/>
      <c r="M7" s="4"/>
      <c r="N7" s="4"/>
      <c r="O7" s="4"/>
      <c r="P7" s="4"/>
      <c r="Q7" s="30" t="s">
        <v>156</v>
      </c>
      <c r="R7" s="30">
        <v>0.03785</v>
      </c>
      <c r="S7" s="4"/>
      <c r="T7" s="30">
        <v>0.0</v>
      </c>
      <c r="U7" s="4">
        <f>(T7*1000)/25.4</f>
        <v>0</v>
      </c>
      <c r="V7" s="4">
        <v>0.0</v>
      </c>
      <c r="W7" s="12">
        <f>0</f>
        <v>0</v>
      </c>
      <c r="X7" s="46">
        <v>0.0</v>
      </c>
      <c r="Y7" s="4">
        <f t="shared" ref="Y7:Y22" si="3">(X7*1000)/25.4</f>
        <v>0</v>
      </c>
      <c r="Z7" s="4">
        <f t="shared" ref="Z7:Z20" si="4">IF(AND($X7&gt;=0,$X7&lt;=$R$7),-$X7*$V$8,IF(AND($X7&gt;$R$7,$X7&lt;=$R$8),$Z$11-($X7-$R$7)*$V$13,IF(AND($X7&gt;$R$8,$X7&lt;=$R$9),$Z$15-($X7-$R$8)*$V$18)))</f>
        <v>0</v>
      </c>
      <c r="AA7" s="4">
        <f t="shared" ref="AA7:AA21" si="5">IF(AND($X7&gt;=0,$X7&lt;=$R$7),-$X7*$W$8,IF(AND($X7&gt;$R$7,$X7&lt;=$R$8),$AA$11-($X7-$R$7)*$W$13,IF(AND($X7&gt;$R$8,$X7&lt;=$R$9),$AA$15-($X7-$R$8)*$W$18)))</f>
        <v>0</v>
      </c>
      <c r="AB7" s="4">
        <f t="shared" ref="AB7:AB21" si="6">SQRT(Z7^2 + AA7^2)</f>
        <v>0</v>
      </c>
      <c r="AC7" s="35">
        <f>G21</f>
        <v>1.300386286</v>
      </c>
      <c r="AD7" s="4"/>
      <c r="AE7" s="11">
        <f t="shared" ref="AE7:AF7" si="1">AB7*8.85075</f>
        <v>0</v>
      </c>
      <c r="AF7" s="4">
        <f t="shared" si="1"/>
        <v>11.50939392</v>
      </c>
      <c r="AG7" s="30">
        <f t="shared" ref="AG7:AG21" si="8">(((16*$R$29/(PI()*$R$26))*SQRT(4*(AE7^2) + 3*(AF7^2)))^(1/3))*25.4</f>
        <v>3.245519679</v>
      </c>
      <c r="AH7" s="9">
        <f t="shared" ref="AH7:AH21" si="9">(((32*$R$29/(PI()*$R$26))*SQRT((AE7^2) + (AF7^2)))^(1/3))*25.4</f>
        <v>3.404923584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80">
        <v>1.0</v>
      </c>
      <c r="AU7" s="15"/>
      <c r="AV7" s="81" t="s">
        <v>157</v>
      </c>
      <c r="AW7" s="14"/>
      <c r="AX7" s="82"/>
      <c r="AY7" s="83">
        <v>1.5</v>
      </c>
      <c r="AZ7" s="4">
        <f>BA7/25.4</f>
        <v>0.1566929134</v>
      </c>
      <c r="BA7" s="4">
        <v>3.98</v>
      </c>
      <c r="BB7" s="4">
        <f t="shared" ref="BB7:BC7" si="2">AE11</f>
        <v>14.33001514</v>
      </c>
      <c r="BC7" s="4">
        <f t="shared" si="2"/>
        <v>11.50939392</v>
      </c>
      <c r="BD7" s="84" t="s">
        <v>158</v>
      </c>
      <c r="BE7" s="3"/>
      <c r="BF7" s="4">
        <v>73000.0</v>
      </c>
      <c r="BG7" s="4">
        <v>83000.0</v>
      </c>
      <c r="BH7" s="4">
        <v>23000.0</v>
      </c>
      <c r="BI7" s="30" t="s">
        <v>159</v>
      </c>
      <c r="BJ7" s="12">
        <f>2.7*(BG7/1000)^(-0.265)</f>
        <v>0.8371592296</v>
      </c>
      <c r="BK7" s="4">
        <f>BH7*BJ7*BJ8*BJ9*BJ10*BJ11*BJ12</f>
        <v>16124.26153</v>
      </c>
      <c r="BL7" s="8" t="s">
        <v>160</v>
      </c>
      <c r="BM7" s="9">
        <v>0.25</v>
      </c>
      <c r="BN7" s="4">
        <f>BM17*32*BB7/(PI()*POWER(AZ7,3))</f>
        <v>46480.68759</v>
      </c>
      <c r="BO7" s="4">
        <f>BM18*16*BC7/(PI()*POWER(AZ7,3))</f>
        <v>17190.11929</v>
      </c>
      <c r="BP7" s="85">
        <f>1/((BN7/BK7)+(BO7/BG7))</f>
        <v>0.323649194</v>
      </c>
      <c r="BQ7" s="86">
        <f>SQRT(1/((BN7/BK7)^2+(BO7/BF7)^2))</f>
        <v>0.3457506944</v>
      </c>
      <c r="BR7" s="87">
        <f>BF7/(BN7+BO7)</f>
        <v>1.146522301</v>
      </c>
      <c r="BS7" s="4"/>
      <c r="BT7" s="4"/>
      <c r="BU7" s="88" t="s">
        <v>161</v>
      </c>
      <c r="BV7" s="89" t="s">
        <v>162</v>
      </c>
      <c r="BW7" s="89" t="s">
        <v>163</v>
      </c>
      <c r="BX7" s="4"/>
      <c r="BY7" s="90" t="s">
        <v>164</v>
      </c>
      <c r="BZ7" s="90" t="s">
        <v>165</v>
      </c>
      <c r="CA7" s="91" t="s">
        <v>90</v>
      </c>
      <c r="CB7" s="4"/>
      <c r="CC7" s="4"/>
      <c r="CD7" s="4"/>
      <c r="CE7" s="30" t="s">
        <v>166</v>
      </c>
      <c r="CF7" s="30">
        <f>SUM(CF8:CF12)</f>
        <v>0.0000001072219191</v>
      </c>
      <c r="CG7" s="4"/>
      <c r="CH7" s="8" t="s">
        <v>156</v>
      </c>
      <c r="CI7" s="30">
        <f t="shared" ref="CI7:CI9" si="10">R7</f>
        <v>0.03785</v>
      </c>
      <c r="CJ7" s="4"/>
      <c r="CK7" s="89">
        <f t="shared" ref="CK7:CK11" si="11">T8</f>
        <v>0</v>
      </c>
      <c r="CL7" s="88">
        <f>2*1000*BW9</f>
        <v>20</v>
      </c>
      <c r="CM7" s="92">
        <f t="shared" ref="CM7:CM21" si="12">1000*IF((CK7&lt;$CI$7),($CI$12*POWER(CK7,3) + 6*$CF$26*CK7 + 6*$CF$27)/(6*$CF$15*$CF$7),IF(AND(CK7&gt;=$CI$7,CK7&lt;=$CI$8),($CI$12*POWER(CK7,3) - $CI$18*POWER(CK7-$CI$7,3) + 6*$CF$26*CK7 + 6*$CF$27)/(6*$CF$15*$CF$7),IF((CK7&gt;$CI$8),($CI$12*POWER(CK7,3) - $CI$18*POWER(CK7-$CI$7,3) - $CI$20*POWER(CK7-$CI$8,3) + 6*$CF$26*CK7 + 6*$CF$27)/(6*$CF$15*$CF$7),)))</f>
        <v>-0.0002335978993</v>
      </c>
      <c r="CN7" s="93">
        <f t="shared" ref="CN7:CN21" si="13">IF((CK7&lt;$CI$7),($CI$12*POWER(CK7,2) + 2*$CF$26)/(2*$CF$15*$CF$7),IF(AND(CK7&gt;=$CI$7,CK7&lt;=$CI$8),($CI$12*POWER(CK7,2) - $CI$18*POWER(CK7-$CI$7,2) + 2*$CF$26)/(2*$CF$15*$CF$7),IF((CK7&gt;$CI$8),($CI$12*POWER(CK7,2) - $CI$18*POWER(CK7-$CI$7,2) - $CI$20*POWER(CK7-$CI$8,2) + 2*$CF$26)/(2*$CF$15*$CF$7),)))</f>
        <v>0.000007552213575</v>
      </c>
      <c r="CO7" s="93">
        <f t="shared" ref="CO7:CO21" si="14">1000*IF((CK7&lt;$CI$7),( 6*$CF$29*CK7 + 6*$CF$30)/(6*$CF$15*$CF$7),IF(AND(CK7&gt;=$CI$7,CK7&lt;=$CI$8),( -1*$CI$19*POWER(CK7-$CI$7,3) + 6*$CF$29*CK7 + 6*$CF$30)/(6*$CF$15*$CF$7),IF((CK7&gt;$CI$8),(-1*$CI$19*POWER(CK7-$CI$7,3) - $CI$21*POWER(CK7-$CI$8,3) + 6*$CF$29*CK7 + 6*$CF$30)/(6*$CF$15*$CF$7))))</f>
        <v>-0.000008480751087</v>
      </c>
      <c r="CP7" s="94">
        <f t="shared" ref="CP7:CP21" si="15">IF((CK7&lt;$CI$7),( 2*$CF$29)/(2*$CF$15*$CF$7),IF(AND(CK7&gt;=$CI$7,CK7&lt;=$CI$8),( -1*$CI$19*POWER(CK7-$CI$7,2) + 2*$CF$29)/(2*$CF$15*$CF$7),IF((CK7&gt;$CI$8),(-1*$CI$19*POWER(CK7-$CI$7,2) - $CI$21*POWER(CK7-$CI$8,2) + 2*$CF$29)/(2*$CF$15*$CF$7))))</f>
        <v>0.0000002240621159</v>
      </c>
      <c r="CQ7" s="34"/>
      <c r="CR7" s="4"/>
      <c r="CS7" s="4"/>
      <c r="CT7" s="4"/>
      <c r="CU7" s="4"/>
      <c r="CV7" s="4"/>
      <c r="CW7" s="4"/>
    </row>
    <row r="8">
      <c r="A8" s="4"/>
      <c r="B8" s="4"/>
      <c r="C8" s="11" t="s">
        <v>14</v>
      </c>
      <c r="D8" s="12">
        <f>D7/1000</f>
        <v>0.2</v>
      </c>
      <c r="E8" s="4"/>
      <c r="F8" s="11" t="s">
        <v>167</v>
      </c>
      <c r="G8" s="12">
        <v>42.0</v>
      </c>
      <c r="H8" s="4"/>
      <c r="I8" s="11" t="s">
        <v>163</v>
      </c>
      <c r="J8" s="12">
        <f>D8/2</f>
        <v>0.1</v>
      </c>
      <c r="K8" s="4"/>
      <c r="L8" s="4"/>
      <c r="M8" s="4"/>
      <c r="N8" s="4"/>
      <c r="O8" s="4"/>
      <c r="P8" s="4"/>
      <c r="Q8" s="34" t="s">
        <v>168</v>
      </c>
      <c r="R8" s="34">
        <v>0.10145</v>
      </c>
      <c r="S8" s="4"/>
      <c r="T8" s="42">
        <v>0.0</v>
      </c>
      <c r="U8" s="4">
        <v>0.0</v>
      </c>
      <c r="V8" s="4">
        <f>-R12</f>
        <v>42.77605128</v>
      </c>
      <c r="W8" s="12">
        <v>0.0</v>
      </c>
      <c r="X8" s="11">
        <v>0.01</v>
      </c>
      <c r="Y8" s="4">
        <f t="shared" si="3"/>
        <v>0.3937007874</v>
      </c>
      <c r="Z8" s="4">
        <f t="shared" si="4"/>
        <v>-0.4277605128</v>
      </c>
      <c r="AA8" s="4">
        <f t="shared" si="5"/>
        <v>0</v>
      </c>
      <c r="AB8" s="4">
        <f t="shared" si="6"/>
        <v>0.4277605128</v>
      </c>
      <c r="AC8" s="35">
        <f t="shared" ref="AC8:AC21" si="16">AC7</f>
        <v>1.300386286</v>
      </c>
      <c r="AD8" s="4"/>
      <c r="AE8" s="11">
        <f t="shared" ref="AE8:AF8" si="7">AB8*8.85075</f>
        <v>3.786001359</v>
      </c>
      <c r="AF8" s="4">
        <f t="shared" si="7"/>
        <v>11.50939392</v>
      </c>
      <c r="AG8" s="34">
        <f t="shared" si="8"/>
        <v>3.319245728</v>
      </c>
      <c r="AH8" s="12">
        <f t="shared" si="9"/>
        <v>3.463731387</v>
      </c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95"/>
      <c r="AU8" s="96"/>
      <c r="AV8" s="97"/>
      <c r="AX8" s="98"/>
      <c r="AY8" s="83"/>
      <c r="AZ8" s="4"/>
      <c r="BA8" s="4"/>
      <c r="BB8" s="4"/>
      <c r="BC8" s="4"/>
      <c r="BD8" s="95"/>
      <c r="BE8" s="98"/>
      <c r="BF8" s="4"/>
      <c r="BG8" s="4"/>
      <c r="BH8" s="4"/>
      <c r="BI8" s="34" t="s">
        <v>169</v>
      </c>
      <c r="BJ8" s="12">
        <f>IF(AND(AZ7&lt;=2,AZ7&gt;=0.11),POWER(AZ7/0.3,-0.107),0.91*POWER(AZ7,-0.157))</f>
        <v>1.071967684</v>
      </c>
      <c r="BK8" s="4"/>
      <c r="BL8" s="11" t="s">
        <v>164</v>
      </c>
      <c r="BM8" s="12">
        <v>1.2</v>
      </c>
      <c r="BN8" s="4"/>
      <c r="BO8" s="4"/>
      <c r="BP8" s="4"/>
      <c r="BQ8" s="4"/>
      <c r="BR8" s="12"/>
      <c r="BS8" s="4"/>
      <c r="BT8" s="4"/>
      <c r="BU8" s="30">
        <v>0.0</v>
      </c>
      <c r="BV8" s="30">
        <f>BU8</f>
        <v>0</v>
      </c>
      <c r="BW8" s="9">
        <f>BW9</f>
        <v>0.01</v>
      </c>
      <c r="BX8" s="4"/>
      <c r="BY8" s="99"/>
      <c r="BZ8" s="99"/>
      <c r="CA8" s="99"/>
      <c r="CB8" s="4"/>
      <c r="CC8" s="4"/>
      <c r="CD8" s="4"/>
      <c r="CE8" s="34" t="s">
        <v>170</v>
      </c>
      <c r="CF8" s="34">
        <f>PI()*POWER(BW9*2,4)/64</f>
        <v>0.000000007853981634</v>
      </c>
      <c r="CG8" s="4"/>
      <c r="CH8" s="11" t="s">
        <v>168</v>
      </c>
      <c r="CI8" s="34">
        <f t="shared" si="10"/>
        <v>0.10145</v>
      </c>
      <c r="CJ8" s="4"/>
      <c r="CK8" s="34">
        <f t="shared" si="11"/>
        <v>0.01</v>
      </c>
      <c r="CL8" s="11"/>
      <c r="CM8" s="100">
        <f t="shared" si="12"/>
        <v>-0.0001590394078</v>
      </c>
      <c r="CN8" s="10">
        <f t="shared" si="13"/>
        <v>0.000007263120273</v>
      </c>
      <c r="CO8" s="10">
        <f t="shared" si="14"/>
        <v>-0.000006240129928</v>
      </c>
      <c r="CP8" s="101">
        <f t="shared" si="15"/>
        <v>0.0000002240621159</v>
      </c>
      <c r="CQ8" s="34"/>
      <c r="CR8" s="4"/>
      <c r="CS8" s="4"/>
      <c r="CT8" s="4"/>
      <c r="CU8" s="4"/>
      <c r="CV8" s="4"/>
      <c r="CW8" s="4"/>
    </row>
    <row r="9">
      <c r="A9" s="4"/>
      <c r="B9" s="4"/>
      <c r="C9" s="11" t="s">
        <v>171</v>
      </c>
      <c r="D9" s="12">
        <v>3.0</v>
      </c>
      <c r="E9" s="4"/>
      <c r="F9" s="11" t="s">
        <v>172</v>
      </c>
      <c r="G9" s="12">
        <f>G8/1000</f>
        <v>0.042</v>
      </c>
      <c r="H9" s="4"/>
      <c r="I9" s="11" t="s">
        <v>173</v>
      </c>
      <c r="J9" s="12">
        <v>62.65</v>
      </c>
      <c r="K9" s="4"/>
      <c r="L9" s="4"/>
      <c r="M9" s="4"/>
      <c r="N9" s="4"/>
      <c r="O9" s="4"/>
      <c r="P9" s="4"/>
      <c r="Q9" s="42" t="s">
        <v>174</v>
      </c>
      <c r="R9" s="42">
        <v>0.21205</v>
      </c>
      <c r="S9" s="4"/>
      <c r="T9" s="11">
        <f t="shared" ref="T9:T11" si="18">X8</f>
        <v>0.01</v>
      </c>
      <c r="U9" s="4">
        <f t="shared" ref="U9:U25" si="19">(T9*1000)/25.4</f>
        <v>0.3937007874</v>
      </c>
      <c r="V9" s="4">
        <f t="shared" ref="V9:V12" si="20">V8</f>
        <v>42.77605128</v>
      </c>
      <c r="W9" s="12">
        <v>0.0</v>
      </c>
      <c r="X9" s="11">
        <v>0.02</v>
      </c>
      <c r="Y9" s="4">
        <f t="shared" si="3"/>
        <v>0.7874015748</v>
      </c>
      <c r="Z9" s="4">
        <f t="shared" si="4"/>
        <v>-0.8555210256</v>
      </c>
      <c r="AA9" s="4">
        <f t="shared" si="5"/>
        <v>0</v>
      </c>
      <c r="AB9" s="4">
        <f t="shared" si="6"/>
        <v>0.8555210256</v>
      </c>
      <c r="AC9" s="35">
        <f t="shared" si="16"/>
        <v>1.300386286</v>
      </c>
      <c r="AD9" s="4"/>
      <c r="AE9" s="11">
        <f t="shared" ref="AE9:AF9" si="17">AB9*8.85075</f>
        <v>7.572002717</v>
      </c>
      <c r="AF9" s="4">
        <f t="shared" si="17"/>
        <v>11.50939392</v>
      </c>
      <c r="AG9" s="34">
        <f t="shared" si="8"/>
        <v>3.501555757</v>
      </c>
      <c r="AH9" s="12">
        <f t="shared" si="9"/>
        <v>3.615262002</v>
      </c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95"/>
      <c r="AU9" s="96"/>
      <c r="AV9" s="97"/>
      <c r="AX9" s="98"/>
      <c r="AY9" s="83"/>
      <c r="AZ9" s="4"/>
      <c r="BA9" s="4"/>
      <c r="BB9" s="4"/>
      <c r="BC9" s="4"/>
      <c r="BD9" s="95"/>
      <c r="BE9" s="98"/>
      <c r="BF9" s="4"/>
      <c r="BG9" s="4"/>
      <c r="BH9" s="4"/>
      <c r="BI9" s="34" t="s">
        <v>175</v>
      </c>
      <c r="BJ9" s="12">
        <v>1.0</v>
      </c>
      <c r="BK9" s="4"/>
      <c r="BL9" s="11" t="s">
        <v>176</v>
      </c>
      <c r="BM9" s="12">
        <f>AZ7*BM8</f>
        <v>0.1880314961</v>
      </c>
      <c r="BN9" s="4"/>
      <c r="BO9" s="4"/>
      <c r="BP9" s="4"/>
      <c r="BQ9" s="4"/>
      <c r="BR9" s="12"/>
      <c r="BS9" s="4"/>
      <c r="BT9" s="102">
        <v>1.0</v>
      </c>
      <c r="BU9" s="42">
        <v>35.0</v>
      </c>
      <c r="BV9" s="34">
        <f t="shared" ref="BV9:BV17" si="22">BV8+BU9</f>
        <v>35</v>
      </c>
      <c r="BW9" s="20">
        <v>0.01</v>
      </c>
      <c r="BX9" s="4"/>
      <c r="BY9" s="91">
        <f>BW10/BW9</f>
        <v>1.25</v>
      </c>
      <c r="BZ9" s="91">
        <f>BM66*25.4</f>
        <v>1.4</v>
      </c>
      <c r="CA9" s="103">
        <f>MIN(BP63:BR63)</f>
        <v>37.25257932</v>
      </c>
      <c r="CB9" s="4"/>
      <c r="CC9" s="4"/>
      <c r="CD9" s="4"/>
      <c r="CE9" s="34" t="s">
        <v>177</v>
      </c>
      <c r="CF9" s="34">
        <f>PI()*POWER(BW11*2,4)/64</f>
        <v>0.00000001917475985</v>
      </c>
      <c r="CG9" s="4"/>
      <c r="CH9" s="19" t="s">
        <v>174</v>
      </c>
      <c r="CI9" s="42">
        <f t="shared" si="10"/>
        <v>0.21205</v>
      </c>
      <c r="CJ9" s="4"/>
      <c r="CK9" s="34">
        <f t="shared" si="11"/>
        <v>0.02</v>
      </c>
      <c r="CL9" s="11"/>
      <c r="CM9" s="100">
        <f t="shared" si="12"/>
        <v>-0.00009026278246</v>
      </c>
      <c r="CN9" s="10">
        <f t="shared" si="13"/>
        <v>0.000006395840368</v>
      </c>
      <c r="CO9" s="10">
        <f t="shared" si="14"/>
        <v>-0.000003999508769</v>
      </c>
      <c r="CP9" s="101">
        <f t="shared" si="15"/>
        <v>0.0000002240621159</v>
      </c>
      <c r="CQ9" s="34"/>
      <c r="CR9" s="4"/>
      <c r="CS9" s="4"/>
      <c r="CT9" s="4"/>
      <c r="CU9" s="4"/>
      <c r="CV9" s="4"/>
      <c r="CW9" s="4"/>
    </row>
    <row r="10">
      <c r="A10" s="4"/>
      <c r="B10" s="4"/>
      <c r="C10" s="11" t="s">
        <v>178</v>
      </c>
      <c r="D10" s="12">
        <f>D9/1000</f>
        <v>0.003</v>
      </c>
      <c r="E10" s="4"/>
      <c r="F10" s="11" t="s">
        <v>179</v>
      </c>
      <c r="G10" s="12">
        <v>32.0</v>
      </c>
      <c r="H10" s="4"/>
      <c r="I10" s="11" t="s">
        <v>180</v>
      </c>
      <c r="J10" s="12">
        <v>30.75</v>
      </c>
      <c r="K10" s="4"/>
      <c r="L10" s="4"/>
      <c r="M10" s="4"/>
      <c r="N10" s="4"/>
      <c r="O10" s="4"/>
      <c r="P10" s="4"/>
      <c r="Q10" s="4"/>
      <c r="R10" s="4"/>
      <c r="S10" s="4"/>
      <c r="T10" s="11">
        <f t="shared" si="18"/>
        <v>0.02</v>
      </c>
      <c r="U10" s="4">
        <f t="shared" si="19"/>
        <v>0.7874015748</v>
      </c>
      <c r="V10" s="4">
        <f t="shared" si="20"/>
        <v>42.77605128</v>
      </c>
      <c r="W10" s="12">
        <v>0.0</v>
      </c>
      <c r="X10" s="11">
        <v>0.03</v>
      </c>
      <c r="Y10" s="4">
        <f t="shared" si="3"/>
        <v>1.181102362</v>
      </c>
      <c r="Z10" s="4">
        <f t="shared" si="4"/>
        <v>-1.283281538</v>
      </c>
      <c r="AA10" s="4">
        <f t="shared" si="5"/>
        <v>0</v>
      </c>
      <c r="AB10" s="4">
        <f t="shared" si="6"/>
        <v>1.283281538</v>
      </c>
      <c r="AC10" s="35">
        <f t="shared" si="16"/>
        <v>1.300386286</v>
      </c>
      <c r="AD10" s="4"/>
      <c r="AE10" s="11">
        <f t="shared" ref="AE10:AF10" si="21">AB10*8.85075</f>
        <v>11.35800408</v>
      </c>
      <c r="AF10" s="4">
        <f t="shared" si="21"/>
        <v>11.50939392</v>
      </c>
      <c r="AG10" s="34">
        <f t="shared" si="8"/>
        <v>3.72841815</v>
      </c>
      <c r="AH10" s="12">
        <f t="shared" si="9"/>
        <v>3.81352831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95"/>
      <c r="AU10" s="96"/>
      <c r="AV10" s="97"/>
      <c r="AX10" s="98"/>
      <c r="AY10" s="83"/>
      <c r="AZ10" s="4"/>
      <c r="BA10" s="4"/>
      <c r="BB10" s="4"/>
      <c r="BC10" s="4"/>
      <c r="BD10" s="95"/>
      <c r="BE10" s="98"/>
      <c r="BF10" s="4"/>
      <c r="BG10" s="4"/>
      <c r="BH10" s="4"/>
      <c r="BI10" s="34" t="s">
        <v>181</v>
      </c>
      <c r="BJ10" s="12">
        <v>1.0</v>
      </c>
      <c r="BK10" s="4"/>
      <c r="BL10" s="11" t="s">
        <v>182</v>
      </c>
      <c r="BM10" s="12">
        <f>BM7*AZ7</f>
        <v>0.03917322835</v>
      </c>
      <c r="BN10" s="4"/>
      <c r="BO10" s="4"/>
      <c r="BP10" s="4"/>
      <c r="BQ10" s="4"/>
      <c r="BR10" s="12"/>
      <c r="BS10" s="4"/>
      <c r="BT10" s="104"/>
      <c r="BU10" s="30">
        <v>0.0</v>
      </c>
      <c r="BV10" s="34">
        <f t="shared" si="22"/>
        <v>35</v>
      </c>
      <c r="BW10" s="9">
        <f>BW11</f>
        <v>0.0125</v>
      </c>
      <c r="BX10" s="4"/>
      <c r="BY10" s="99"/>
      <c r="BZ10" s="99"/>
      <c r="CA10" s="99"/>
      <c r="CB10" s="4"/>
      <c r="CC10" s="4"/>
      <c r="CD10" s="4"/>
      <c r="CE10" s="34" t="s">
        <v>183</v>
      </c>
      <c r="CF10" s="34">
        <f>PI()*POWER(BW13*2,4)/64</f>
        <v>0.00000005147185404</v>
      </c>
      <c r="CG10" s="4"/>
      <c r="CH10" s="4"/>
      <c r="CI10" s="4"/>
      <c r="CJ10" s="4"/>
      <c r="CK10" s="34">
        <f t="shared" si="11"/>
        <v>0.03</v>
      </c>
      <c r="CL10" s="11"/>
      <c r="CM10" s="100">
        <f t="shared" si="12"/>
        <v>-0.00003304988915</v>
      </c>
      <c r="CN10" s="10">
        <f t="shared" si="13"/>
        <v>0.00000495037386</v>
      </c>
      <c r="CO10" s="10">
        <f t="shared" si="14"/>
        <v>-0.00000175888761</v>
      </c>
      <c r="CP10" s="101">
        <f t="shared" si="15"/>
        <v>0.0000002240621159</v>
      </c>
      <c r="CQ10" s="34"/>
      <c r="CR10" s="4"/>
      <c r="CS10" s="4"/>
      <c r="CT10" s="4"/>
      <c r="CU10" s="4"/>
      <c r="CV10" s="4"/>
      <c r="CW10" s="4"/>
    </row>
    <row r="11">
      <c r="A11" s="4"/>
      <c r="B11" s="4"/>
      <c r="C11" s="11" t="s">
        <v>65</v>
      </c>
      <c r="D11" s="12" t="s">
        <v>184</v>
      </c>
      <c r="E11" s="4"/>
      <c r="F11" s="11" t="s">
        <v>185</v>
      </c>
      <c r="G11" s="12">
        <f>G10/1000</f>
        <v>0.032</v>
      </c>
      <c r="H11" s="4"/>
      <c r="I11" s="11" t="s">
        <v>186</v>
      </c>
      <c r="J11" s="12">
        <f t="shared" ref="J11:J12" si="24">RADIANS(J9)</f>
        <v>1.093448776</v>
      </c>
      <c r="K11" s="4"/>
      <c r="L11" s="4"/>
      <c r="M11" s="4"/>
      <c r="N11" s="4"/>
      <c r="O11" s="4"/>
      <c r="P11" s="4"/>
      <c r="Q11" s="105" t="s">
        <v>187</v>
      </c>
      <c r="R11" s="22"/>
      <c r="S11" s="4"/>
      <c r="T11" s="11">
        <f t="shared" si="18"/>
        <v>0.03</v>
      </c>
      <c r="U11" s="4">
        <f t="shared" si="19"/>
        <v>1.181102362</v>
      </c>
      <c r="V11" s="4">
        <f t="shared" si="20"/>
        <v>42.77605128</v>
      </c>
      <c r="W11" s="12">
        <v>0.0</v>
      </c>
      <c r="X11" s="46">
        <f>R7</f>
        <v>0.03785</v>
      </c>
      <c r="Y11" s="4">
        <f t="shared" si="3"/>
        <v>1.49015748</v>
      </c>
      <c r="Z11" s="4">
        <f t="shared" si="4"/>
        <v>-1.619073541</v>
      </c>
      <c r="AA11" s="4">
        <f t="shared" si="5"/>
        <v>0</v>
      </c>
      <c r="AB11" s="4">
        <f t="shared" si="6"/>
        <v>1.619073541</v>
      </c>
      <c r="AC11" s="35">
        <f t="shared" si="16"/>
        <v>1.300386286</v>
      </c>
      <c r="AD11" s="4"/>
      <c r="AE11" s="11">
        <f t="shared" ref="AE11:AF11" si="23">AB11*8.85075</f>
        <v>14.33001514</v>
      </c>
      <c r="AF11" s="4">
        <f t="shared" si="23"/>
        <v>11.50939392</v>
      </c>
      <c r="AG11" s="34">
        <f t="shared" si="8"/>
        <v>3.912025797</v>
      </c>
      <c r="AH11" s="12">
        <f t="shared" si="9"/>
        <v>3.979878462</v>
      </c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95"/>
      <c r="AU11" s="96"/>
      <c r="AV11" s="97"/>
      <c r="AX11" s="98"/>
      <c r="AY11" s="83"/>
      <c r="AZ11" s="4"/>
      <c r="BA11" s="4"/>
      <c r="BB11" s="4"/>
      <c r="BC11" s="4"/>
      <c r="BD11" s="95"/>
      <c r="BE11" s="98"/>
      <c r="BF11" s="4"/>
      <c r="BG11" s="4"/>
      <c r="BH11" s="4"/>
      <c r="BI11" s="34" t="s">
        <v>188</v>
      </c>
      <c r="BJ11" s="12">
        <v>0.868</v>
      </c>
      <c r="BK11" s="4"/>
      <c r="BL11" s="11" t="s">
        <v>189</v>
      </c>
      <c r="BM11" s="12">
        <f>(BM9-AZ7)/2</f>
        <v>0.01566929134</v>
      </c>
      <c r="BN11" s="4"/>
      <c r="BO11" s="4"/>
      <c r="BP11" s="4"/>
      <c r="BQ11" s="4"/>
      <c r="BR11" s="12"/>
      <c r="BS11" s="4"/>
      <c r="BT11" s="102">
        <v>2.0</v>
      </c>
      <c r="BU11" s="42">
        <v>45.0</v>
      </c>
      <c r="BV11" s="34">
        <f t="shared" si="22"/>
        <v>80</v>
      </c>
      <c r="BW11" s="20">
        <v>0.0125</v>
      </c>
      <c r="BX11" s="4"/>
      <c r="BY11" s="91">
        <f>BW12/BW11</f>
        <v>1.28</v>
      </c>
      <c r="BZ11" s="91">
        <f>BM79*25.4</f>
        <v>0.5</v>
      </c>
      <c r="CA11" s="103">
        <f>MIN(BP76:BR76)</f>
        <v>14.68666013</v>
      </c>
      <c r="CB11" s="4"/>
      <c r="CC11" s="4"/>
      <c r="CD11" s="4"/>
      <c r="CE11" s="34" t="s">
        <v>190</v>
      </c>
      <c r="CF11" s="34">
        <f>PI()*POWER(BW15*2,4)/64</f>
        <v>0.00000001917475985</v>
      </c>
      <c r="CG11" s="4"/>
      <c r="CH11" s="105" t="s">
        <v>187</v>
      </c>
      <c r="CI11" s="22"/>
      <c r="CJ11" s="4"/>
      <c r="CK11" s="89">
        <f t="shared" si="11"/>
        <v>0.03785</v>
      </c>
      <c r="CL11" s="88">
        <f>2*1000*BW11</f>
        <v>25</v>
      </c>
      <c r="CM11" s="106">
        <f t="shared" si="12"/>
        <v>0</v>
      </c>
      <c r="CN11" s="93">
        <f t="shared" si="13"/>
        <v>0.00000341059789</v>
      </c>
      <c r="CO11" s="93">
        <f t="shared" si="14"/>
        <v>0</v>
      </c>
      <c r="CP11" s="94">
        <f t="shared" si="15"/>
        <v>0.0000002240621159</v>
      </c>
      <c r="CQ11" s="107">
        <f>CL11*POWER(CI22*MAX(ABS(CN11),ABS(CP11))/CF18,0.25)</f>
        <v>5.265348438</v>
      </c>
      <c r="CR11" s="4"/>
      <c r="CS11" s="4"/>
      <c r="CT11" s="4"/>
      <c r="CU11" s="4"/>
      <c r="CV11" s="4"/>
      <c r="CW11" s="4"/>
    </row>
    <row r="12">
      <c r="A12" s="4"/>
      <c r="B12" s="4"/>
      <c r="C12" s="11" t="s">
        <v>191</v>
      </c>
      <c r="D12" s="12">
        <v>7800.0</v>
      </c>
      <c r="E12" s="4"/>
      <c r="F12" s="11" t="s">
        <v>192</v>
      </c>
      <c r="G12" s="12">
        <f>0.25*PI()*G11*G11*G9</f>
        <v>0.00003377840421</v>
      </c>
      <c r="H12" s="4"/>
      <c r="I12" s="11" t="s">
        <v>193</v>
      </c>
      <c r="J12" s="12">
        <f t="shared" si="24"/>
        <v>0.536688745</v>
      </c>
      <c r="K12" s="4"/>
      <c r="L12" s="4"/>
      <c r="M12" s="4"/>
      <c r="N12" s="4"/>
      <c r="O12" s="4"/>
      <c r="P12" s="4"/>
      <c r="Q12" s="30" t="s">
        <v>194</v>
      </c>
      <c r="R12" s="30">
        <f>-G23</f>
        <v>-42.77605128</v>
      </c>
      <c r="S12" s="4"/>
      <c r="T12" s="30">
        <f>R7</f>
        <v>0.03785</v>
      </c>
      <c r="U12" s="4">
        <f t="shared" si="19"/>
        <v>1.49015748</v>
      </c>
      <c r="V12" s="4">
        <f t="shared" si="20"/>
        <v>42.77605128</v>
      </c>
      <c r="W12" s="12">
        <v>0.0</v>
      </c>
      <c r="X12" s="11">
        <v>0.05</v>
      </c>
      <c r="Y12" s="4">
        <f t="shared" si="3"/>
        <v>1.968503937</v>
      </c>
      <c r="Z12" s="4">
        <f t="shared" si="4"/>
        <v>-1.145915064</v>
      </c>
      <c r="AA12" s="4">
        <f t="shared" si="5"/>
        <v>-0.02987544596</v>
      </c>
      <c r="AB12" s="4">
        <f t="shared" si="6"/>
        <v>1.146304443</v>
      </c>
      <c r="AC12" s="35">
        <f t="shared" si="16"/>
        <v>1.300386286</v>
      </c>
      <c r="AD12" s="4"/>
      <c r="AE12" s="11">
        <f t="shared" ref="AE12:AF12" si="25">AB12*8.85075</f>
        <v>10.14565405</v>
      </c>
      <c r="AF12" s="4">
        <f t="shared" si="25"/>
        <v>11.50939392</v>
      </c>
      <c r="AG12" s="34">
        <f t="shared" si="8"/>
        <v>3.65384489</v>
      </c>
      <c r="AH12" s="12">
        <f t="shared" si="9"/>
        <v>3.747351496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95"/>
      <c r="AU12" s="96"/>
      <c r="AV12" s="97"/>
      <c r="AX12" s="98"/>
      <c r="AY12" s="83"/>
      <c r="AZ12" s="4"/>
      <c r="BA12" s="4"/>
      <c r="BB12" s="4"/>
      <c r="BC12" s="4"/>
      <c r="BD12" s="95"/>
      <c r="BE12" s="98"/>
      <c r="BF12" s="4"/>
      <c r="BG12" s="4"/>
      <c r="BH12" s="4"/>
      <c r="BI12" s="42" t="s">
        <v>195</v>
      </c>
      <c r="BJ12" s="20">
        <v>0.9</v>
      </c>
      <c r="BK12" s="4"/>
      <c r="BL12" s="11" t="s">
        <v>196</v>
      </c>
      <c r="BM12" s="4">
        <f>BM11/BM10</f>
        <v>0.4</v>
      </c>
      <c r="BN12" s="108"/>
      <c r="BO12" s="108" t="s">
        <v>197</v>
      </c>
      <c r="BP12" s="9" t="s">
        <v>198</v>
      </c>
      <c r="BQ12" s="4"/>
      <c r="BR12" s="12"/>
      <c r="BS12" s="4"/>
      <c r="BT12" s="104"/>
      <c r="BU12" s="30">
        <v>0.0</v>
      </c>
      <c r="BV12" s="34">
        <f t="shared" si="22"/>
        <v>80</v>
      </c>
      <c r="BW12" s="9">
        <f>BW13</f>
        <v>0.016</v>
      </c>
      <c r="BX12" s="4"/>
      <c r="BY12" s="99"/>
      <c r="BZ12" s="99"/>
      <c r="CA12" s="99"/>
      <c r="CB12" s="4"/>
      <c r="CC12" s="4"/>
      <c r="CD12" s="4"/>
      <c r="CE12" s="34" t="s">
        <v>199</v>
      </c>
      <c r="CF12" s="34">
        <f>PI()*POWER(BW17*2,4)/64</f>
        <v>0.000000009546563763</v>
      </c>
      <c r="CG12" s="4"/>
      <c r="CH12" s="30" t="s">
        <v>194</v>
      </c>
      <c r="CI12" s="30">
        <f t="shared" ref="CI12:CI17" si="27">R12</f>
        <v>-42.77605128</v>
      </c>
      <c r="CJ12" s="4"/>
      <c r="CK12" s="34">
        <f t="shared" ref="CK12:CK15" si="28">T14</f>
        <v>0.05</v>
      </c>
      <c r="CL12" s="11"/>
      <c r="CM12" s="100">
        <f t="shared" si="12"/>
        <v>0.00002685917338</v>
      </c>
      <c r="CN12" s="10">
        <f t="shared" si="13"/>
        <v>0.000001140173931</v>
      </c>
      <c r="CO12" s="10">
        <f t="shared" si="14"/>
        <v>0.000002623001239</v>
      </c>
      <c r="CP12" s="101">
        <f t="shared" si="15"/>
        <v>0.0000001995303952</v>
      </c>
      <c r="CQ12" s="34"/>
      <c r="CR12" s="4"/>
      <c r="CS12" s="4"/>
      <c r="CT12" s="79" t="s">
        <v>200</v>
      </c>
      <c r="CU12" s="4"/>
      <c r="CV12" s="4"/>
      <c r="CW12" s="4"/>
    </row>
    <row r="13">
      <c r="A13" s="4"/>
      <c r="B13" s="4"/>
      <c r="C13" s="11" t="s">
        <v>7</v>
      </c>
      <c r="D13" s="12">
        <f>89070.17*(1/1000)^3</f>
        <v>0.00008907017</v>
      </c>
      <c r="E13" s="4"/>
      <c r="F13" s="11" t="s">
        <v>65</v>
      </c>
      <c r="G13" s="12" t="s">
        <v>201</v>
      </c>
      <c r="H13" s="4"/>
      <c r="I13" s="89" t="s">
        <v>202</v>
      </c>
      <c r="J13" s="109">
        <f>J16/(D8/2)</f>
        <v>11.30770683</v>
      </c>
      <c r="K13" s="4"/>
      <c r="L13" s="4"/>
      <c r="M13" s="4"/>
      <c r="N13" s="4"/>
      <c r="O13" s="4"/>
      <c r="P13" s="4" t="s">
        <v>203</v>
      </c>
      <c r="Q13" s="34" t="s">
        <v>204</v>
      </c>
      <c r="R13" s="110">
        <f>G21</f>
        <v>1.300386286</v>
      </c>
      <c r="S13" s="4"/>
      <c r="T13" s="42">
        <f>T12</f>
        <v>0.03785</v>
      </c>
      <c r="U13" s="4">
        <f t="shared" si="19"/>
        <v>1.49015748</v>
      </c>
      <c r="V13" s="111">
        <f>V8+R18</f>
        <v>-38.94308454</v>
      </c>
      <c r="W13" s="37">
        <f>W8+R19</f>
        <v>2.458884441</v>
      </c>
      <c r="X13" s="11">
        <v>0.075</v>
      </c>
      <c r="Y13" s="4">
        <f t="shared" si="3"/>
        <v>2.952755906</v>
      </c>
      <c r="Z13" s="4">
        <f t="shared" si="4"/>
        <v>-0.1723379502</v>
      </c>
      <c r="AA13" s="4">
        <f t="shared" si="5"/>
        <v>-0.091347557</v>
      </c>
      <c r="AB13" s="4">
        <f t="shared" si="6"/>
        <v>0.1950506223</v>
      </c>
      <c r="AC13" s="35">
        <f t="shared" si="16"/>
        <v>1.300386286</v>
      </c>
      <c r="AD13" s="4"/>
      <c r="AE13" s="11">
        <f t="shared" ref="AE13:AF13" si="26">AB13*8.85075</f>
        <v>1.726344295</v>
      </c>
      <c r="AF13" s="4">
        <f t="shared" si="26"/>
        <v>11.50939392</v>
      </c>
      <c r="AG13" s="34">
        <f t="shared" si="8"/>
        <v>3.261546886</v>
      </c>
      <c r="AH13" s="12">
        <f t="shared" si="9"/>
        <v>3.417573023</v>
      </c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95"/>
      <c r="AU13" s="96"/>
      <c r="AV13" s="97"/>
      <c r="AX13" s="98"/>
      <c r="AY13" s="4"/>
      <c r="AZ13" s="4"/>
      <c r="BA13" s="4"/>
      <c r="BB13" s="4"/>
      <c r="BC13" s="4"/>
      <c r="BD13" s="95"/>
      <c r="BE13" s="98"/>
      <c r="BF13" s="4"/>
      <c r="BG13" s="4"/>
      <c r="BH13" s="4"/>
      <c r="BI13" s="4"/>
      <c r="BJ13" s="4"/>
      <c r="BK13" s="4"/>
      <c r="BL13" s="11" t="s">
        <v>197</v>
      </c>
      <c r="BM13" s="4">
        <f>BO13+BO14*(2*BM11/BM9)+BO15*(2*BM11/BM9)^2+BO16*(2*BM11/BM9)^3</f>
        <v>1.409284603</v>
      </c>
      <c r="BN13" s="4" t="s">
        <v>205</v>
      </c>
      <c r="BO13" s="4">
        <f>IF(BM12&gt;=2,1.232+0.832*SQRT(BM12)-0.008*BM12,0.947+1.206*SQRT(BM12)-0.131*BM12)</f>
        <v>1.657341372</v>
      </c>
      <c r="BP13" s="12">
        <f>0.905+0.783*SQRT(BM12)-0.075*BM12</f>
        <v>1.370212682</v>
      </c>
      <c r="BQ13" s="4"/>
      <c r="BR13" s="12"/>
      <c r="BS13" s="4"/>
      <c r="BT13" s="102">
        <v>3.0</v>
      </c>
      <c r="BU13" s="42">
        <v>35.0</v>
      </c>
      <c r="BV13" s="34">
        <f t="shared" si="22"/>
        <v>115</v>
      </c>
      <c r="BW13" s="20">
        <v>0.016</v>
      </c>
      <c r="BX13" s="4"/>
      <c r="BY13" s="91">
        <f>BW13/BW14</f>
        <v>1.28</v>
      </c>
      <c r="BZ13" s="91">
        <f>BM92*25.4</f>
        <v>0.5</v>
      </c>
      <c r="CA13" s="103">
        <f>MIN(BP89:BR89)</f>
        <v>22.18757518</v>
      </c>
      <c r="CB13" s="4"/>
      <c r="CC13" s="4"/>
      <c r="CD13" s="4"/>
      <c r="CE13" s="34" t="s">
        <v>65</v>
      </c>
      <c r="CF13" s="34" t="s">
        <v>206</v>
      </c>
      <c r="CG13" s="4"/>
      <c r="CH13" s="34" t="s">
        <v>204</v>
      </c>
      <c r="CI13" s="110">
        <f t="shared" si="27"/>
        <v>1.300386286</v>
      </c>
      <c r="CJ13" s="4"/>
      <c r="CK13" s="34">
        <f t="shared" si="28"/>
        <v>0.075</v>
      </c>
      <c r="CL13" s="11"/>
      <c r="CM13" s="100">
        <f t="shared" si="12"/>
        <v>0.00002066855878</v>
      </c>
      <c r="CN13" s="10">
        <f t="shared" si="13"/>
        <v>-0.000001087112745</v>
      </c>
      <c r="CO13" s="10">
        <f t="shared" si="14"/>
        <v>0.000005483827068</v>
      </c>
      <c r="CP13" s="101">
        <f t="shared" si="15"/>
        <v>-0.000000005284899313</v>
      </c>
      <c r="CQ13" s="34"/>
      <c r="CR13" s="4"/>
      <c r="CS13" s="112" t="s">
        <v>207</v>
      </c>
      <c r="CT13" s="30">
        <f>SQRT(9.81*(-CI12*CM7-CI18*CM11-CI20*CM15+CI14*CM21)/(CI12*CM7^2-CI18*CM11^2-CI20*CM15^2+CI14*CM21^2))</f>
        <v>353.4258915</v>
      </c>
      <c r="CU13" s="4"/>
      <c r="CV13" s="4"/>
      <c r="CW13" s="4"/>
    </row>
    <row r="14">
      <c r="A14" s="4"/>
      <c r="B14" s="4"/>
      <c r="C14" s="113" t="s">
        <v>208</v>
      </c>
      <c r="D14" s="114">
        <f>D12*D13</f>
        <v>0.694747326</v>
      </c>
      <c r="E14" s="4"/>
      <c r="F14" s="11" t="s">
        <v>191</v>
      </c>
      <c r="G14" s="12">
        <v>8960.0</v>
      </c>
      <c r="H14" s="4"/>
      <c r="I14" s="89" t="s">
        <v>209</v>
      </c>
      <c r="J14" s="109">
        <f>(J10+J9)/2</f>
        <v>46.7</v>
      </c>
      <c r="K14" s="4"/>
      <c r="L14" s="4"/>
      <c r="M14" s="4"/>
      <c r="N14" s="4"/>
      <c r="O14" s="4"/>
      <c r="P14" s="4"/>
      <c r="Q14" s="34" t="s">
        <v>210</v>
      </c>
      <c r="R14" s="34">
        <f>J13*COS(J15)</f>
        <v>7.755032874</v>
      </c>
      <c r="S14" s="4"/>
      <c r="T14" s="11">
        <f t="shared" ref="T14:T16" si="31">X12</f>
        <v>0.05</v>
      </c>
      <c r="U14" s="4">
        <f t="shared" si="19"/>
        <v>1.968503937</v>
      </c>
      <c r="V14" s="111">
        <f t="shared" ref="V14:W14" si="29">V13</f>
        <v>-38.94308454</v>
      </c>
      <c r="W14" s="37">
        <f t="shared" si="29"/>
        <v>2.458884441</v>
      </c>
      <c r="X14" s="11">
        <v>0.1</v>
      </c>
      <c r="Y14" s="4">
        <f t="shared" si="3"/>
        <v>3.937007874</v>
      </c>
      <c r="Z14" s="4">
        <f t="shared" si="4"/>
        <v>0.8012391633</v>
      </c>
      <c r="AA14" s="4">
        <f t="shared" si="5"/>
        <v>-0.152819668</v>
      </c>
      <c r="AB14" s="4">
        <f t="shared" si="6"/>
        <v>0.8156825655</v>
      </c>
      <c r="AC14" s="35">
        <f t="shared" si="16"/>
        <v>1.300386286</v>
      </c>
      <c r="AD14" s="4"/>
      <c r="AE14" s="11">
        <f t="shared" ref="AE14:AF14" si="30">AB14*8.85075</f>
        <v>7.219402467</v>
      </c>
      <c r="AF14" s="4">
        <f t="shared" si="30"/>
        <v>11.50939392</v>
      </c>
      <c r="AG14" s="34">
        <f t="shared" si="8"/>
        <v>3.481855105</v>
      </c>
      <c r="AH14" s="12">
        <f t="shared" si="9"/>
        <v>3.598512205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95"/>
      <c r="AU14" s="96"/>
      <c r="AV14" s="97"/>
      <c r="AX14" s="98"/>
      <c r="AY14" s="4"/>
      <c r="AZ14" s="4"/>
      <c r="BA14" s="4"/>
      <c r="BB14" s="4"/>
      <c r="BC14" s="4"/>
      <c r="BD14" s="95"/>
      <c r="BE14" s="98"/>
      <c r="BF14" s="4"/>
      <c r="BG14" s="4"/>
      <c r="BH14" s="4"/>
      <c r="BI14" s="4"/>
      <c r="BJ14" s="4"/>
      <c r="BK14" s="4"/>
      <c r="BL14" s="11" t="s">
        <v>198</v>
      </c>
      <c r="BM14" s="4">
        <f>BP13+BP14*(2*BM11/BM9)+BP15*(2*BM11/BM9)^2+BP16*(2*BM11/BM9)^3</f>
        <v>1.178121574</v>
      </c>
      <c r="BN14" s="4" t="s">
        <v>211</v>
      </c>
      <c r="BO14" s="4">
        <f>IF(BM12&gt;=2,-3.813+0.968*SQRT(BM12)-0.26*BM12,0.022-3.405*SQRT(BM12)+0.915*BM12)</f>
        <v>-1.765511087</v>
      </c>
      <c r="BP14" s="12">
        <f>-0.437-1.969*SQRT(BM12)+0.553*BM12</f>
        <v>-1.461104943</v>
      </c>
      <c r="BQ14" s="4"/>
      <c r="BR14" s="12"/>
      <c r="BS14" s="4"/>
      <c r="BT14" s="104"/>
      <c r="BU14" s="30">
        <v>0.0</v>
      </c>
      <c r="BV14" s="34">
        <f t="shared" si="22"/>
        <v>115</v>
      </c>
      <c r="BW14" s="9">
        <f>BW15</f>
        <v>0.0125</v>
      </c>
      <c r="BX14" s="4"/>
      <c r="BY14" s="99"/>
      <c r="BZ14" s="99"/>
      <c r="CA14" s="99"/>
      <c r="CB14" s="4"/>
      <c r="CC14" s="4"/>
      <c r="CD14" s="4"/>
      <c r="CE14" s="34" t="s">
        <v>212</v>
      </c>
      <c r="CF14" s="115">
        <f>10*10^3</f>
        <v>10000</v>
      </c>
      <c r="CG14" s="4"/>
      <c r="CH14" s="34" t="s">
        <v>210</v>
      </c>
      <c r="CI14" s="34">
        <f t="shared" si="27"/>
        <v>7.755032874</v>
      </c>
      <c r="CJ14" s="4"/>
      <c r="CK14" s="34">
        <f t="shared" si="28"/>
        <v>0.1</v>
      </c>
      <c r="CL14" s="11"/>
      <c r="CM14" s="100">
        <f t="shared" si="12"/>
        <v>-0.00000008094612267</v>
      </c>
      <c r="CN14" s="10">
        <f t="shared" si="13"/>
        <v>-0.0000000245372928</v>
      </c>
      <c r="CO14" s="10">
        <f t="shared" si="14"/>
        <v>0.0000006277277537</v>
      </c>
      <c r="CP14" s="101">
        <f t="shared" si="15"/>
        <v>-0.0000004178236162</v>
      </c>
      <c r="CQ14" s="34"/>
      <c r="CR14" s="4"/>
      <c r="CS14" s="116" t="s">
        <v>213</v>
      </c>
      <c r="CT14" s="34">
        <f>SQRT(9.81*(CI19*CO11+CI21*CO15-CI15*CO21+CI17*CO21)/(CI19*CO11^2+CI21*CO15^2+CI15*CO21^2-CI17*CO21^2))</f>
        <v>268.820391</v>
      </c>
      <c r="CU14" s="4"/>
      <c r="CV14" s="4"/>
      <c r="CW14" s="4"/>
    </row>
    <row r="15">
      <c r="A15" s="4"/>
      <c r="B15" s="4"/>
      <c r="C15" s="113" t="s">
        <v>214</v>
      </c>
      <c r="D15" s="114">
        <f>D14*9.81</f>
        <v>6.815471268</v>
      </c>
      <c r="E15" s="4"/>
      <c r="F15" s="11" t="s">
        <v>208</v>
      </c>
      <c r="G15" s="12">
        <f>G14*G12</f>
        <v>0.3026545017</v>
      </c>
      <c r="H15" s="4"/>
      <c r="I15" s="89" t="s">
        <v>215</v>
      </c>
      <c r="J15" s="109">
        <f>RADIANS(J14)</f>
        <v>0.8150687607</v>
      </c>
      <c r="K15" s="4"/>
      <c r="L15" s="4"/>
      <c r="M15" s="4"/>
      <c r="N15" s="4"/>
      <c r="O15" s="4"/>
      <c r="P15" s="4"/>
      <c r="Q15" s="34" t="s">
        <v>216</v>
      </c>
      <c r="R15" s="34">
        <f>J13*SIN(J15)</f>
        <v>8.229440983</v>
      </c>
      <c r="S15" s="4"/>
      <c r="T15" s="11">
        <f t="shared" si="31"/>
        <v>0.075</v>
      </c>
      <c r="U15" s="4">
        <f t="shared" si="19"/>
        <v>2.952755906</v>
      </c>
      <c r="V15" s="111">
        <f t="shared" ref="V15:W15" si="32">V14</f>
        <v>-38.94308454</v>
      </c>
      <c r="W15" s="37">
        <f t="shared" si="32"/>
        <v>2.458884441</v>
      </c>
      <c r="X15" s="117">
        <f>R8</f>
        <v>0.10145</v>
      </c>
      <c r="Y15" s="4">
        <f t="shared" si="3"/>
        <v>3.994094488</v>
      </c>
      <c r="Z15" s="4">
        <f t="shared" si="4"/>
        <v>0.8577066359</v>
      </c>
      <c r="AA15" s="4">
        <f t="shared" si="5"/>
        <v>-0.1563850505</v>
      </c>
      <c r="AB15" s="4">
        <f t="shared" si="6"/>
        <v>0.8718468657</v>
      </c>
      <c r="AC15" s="35">
        <f t="shared" si="16"/>
        <v>1.300386286</v>
      </c>
      <c r="AD15" s="4"/>
      <c r="AE15" s="11">
        <f t="shared" ref="AE15:AF15" si="33">AB15*8.85075</f>
        <v>7.716498647</v>
      </c>
      <c r="AF15" s="4">
        <f t="shared" si="33"/>
        <v>11.50939392</v>
      </c>
      <c r="AG15" s="34">
        <f t="shared" si="8"/>
        <v>3.509736004</v>
      </c>
      <c r="AH15" s="12">
        <f t="shared" si="9"/>
        <v>3.622241326</v>
      </c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95"/>
      <c r="AU15" s="96"/>
      <c r="AV15" s="97"/>
      <c r="AX15" s="98"/>
      <c r="AY15" s="4"/>
      <c r="AZ15" s="4"/>
      <c r="BA15" s="4"/>
      <c r="BB15" s="4"/>
      <c r="BC15" s="4"/>
      <c r="BD15" s="95"/>
      <c r="BE15" s="98"/>
      <c r="BF15" s="4"/>
      <c r="BG15" s="4"/>
      <c r="BH15" s="4"/>
      <c r="BI15" s="4"/>
      <c r="BJ15" s="4"/>
      <c r="BK15" s="4"/>
      <c r="BL15" s="11" t="s">
        <v>217</v>
      </c>
      <c r="BM15" s="4">
        <v>0.55</v>
      </c>
      <c r="BN15" s="4" t="s">
        <v>218</v>
      </c>
      <c r="BO15" s="4">
        <f>IF(BM12&lt;=2,0.869+1.777*SQRT(BM12)-0.555*BM12,7.423-4.868*SQRT(BM12)+0.869*BM12)</f>
        <v>1.77087348</v>
      </c>
      <c r="BP15" s="12">
        <f>1.557+1.073*SQRT(BM12)-0.578*BM12</f>
        <v>2.004424786</v>
      </c>
      <c r="BQ15" s="4"/>
      <c r="BR15" s="12"/>
      <c r="BS15" s="4"/>
      <c r="BT15" s="102">
        <v>4.0</v>
      </c>
      <c r="BU15" s="42">
        <v>112.0</v>
      </c>
      <c r="BV15" s="34">
        <f t="shared" si="22"/>
        <v>227</v>
      </c>
      <c r="BW15" s="20">
        <v>0.0125</v>
      </c>
      <c r="BX15" s="4"/>
      <c r="BY15" s="91">
        <f>BW15/BW16</f>
        <v>1.19047619</v>
      </c>
      <c r="BZ15" s="91">
        <f>BM105*25.4</f>
        <v>0.42</v>
      </c>
      <c r="CA15" s="118">
        <f>MIN(BP102:BR102)</f>
        <v>26.53300943</v>
      </c>
      <c r="CB15" s="4"/>
      <c r="CC15" s="4"/>
      <c r="CD15" s="4"/>
      <c r="CE15" s="42" t="s">
        <v>219</v>
      </c>
      <c r="CF15" s="119">
        <f>69*10^9</f>
        <v>69000000000</v>
      </c>
      <c r="CG15" s="4"/>
      <c r="CH15" s="34" t="s">
        <v>216</v>
      </c>
      <c r="CI15" s="34">
        <f t="shared" si="27"/>
        <v>8.229440983</v>
      </c>
      <c r="CJ15" s="4"/>
      <c r="CK15" s="89">
        <f t="shared" si="28"/>
        <v>0.10145</v>
      </c>
      <c r="CL15" s="88">
        <f>2*1000*BW15</f>
        <v>25</v>
      </c>
      <c r="CM15" s="106">
        <f t="shared" si="12"/>
        <v>0</v>
      </c>
      <c r="CN15" s="93">
        <f t="shared" si="13"/>
        <v>0.0000001380316332</v>
      </c>
      <c r="CO15" s="93">
        <f t="shared" si="14"/>
        <v>0</v>
      </c>
      <c r="CP15" s="94">
        <f t="shared" si="15"/>
        <v>-0.0000004481242318</v>
      </c>
      <c r="CQ15" s="107">
        <f>CL15*POWER(CI22*MAX(ABS(CN15),ABS(CP15))/CF19,0.25)</f>
        <v>3.170071762</v>
      </c>
      <c r="CR15" s="4"/>
      <c r="CS15" s="120" t="s">
        <v>220</v>
      </c>
      <c r="CT15" s="42">
        <f>SQRT(CT13^2+CT14^2)</f>
        <v>444.0430874</v>
      </c>
      <c r="CU15" s="4"/>
      <c r="CV15" s="4"/>
      <c r="CW15" s="4"/>
    </row>
    <row r="16">
      <c r="A16" s="4"/>
      <c r="B16" s="4"/>
      <c r="C16" s="19" t="s">
        <v>221</v>
      </c>
      <c r="D16" s="20">
        <v>8190.852</v>
      </c>
      <c r="E16" s="4"/>
      <c r="F16" s="11" t="s">
        <v>222</v>
      </c>
      <c r="G16" s="12">
        <f>0.5*G15*(G11/2)^2</f>
        <v>0.00003873977622</v>
      </c>
      <c r="H16" s="4"/>
      <c r="I16" s="89" t="s">
        <v>30</v>
      </c>
      <c r="J16" s="109">
        <f>-J7*J8^2*(SIN(J12)-SIN(J11))</f>
        <v>1.130770683</v>
      </c>
      <c r="K16" s="4"/>
      <c r="L16" s="4"/>
      <c r="M16" s="4"/>
      <c r="N16" s="4"/>
      <c r="O16" s="4"/>
      <c r="P16" s="4"/>
      <c r="Q16" s="34" t="s">
        <v>223</v>
      </c>
      <c r="R16" s="34">
        <f>J16</f>
        <v>1.130770683</v>
      </c>
      <c r="S16" s="4"/>
      <c r="T16" s="11">
        <f t="shared" si="31"/>
        <v>0.1</v>
      </c>
      <c r="U16" s="4">
        <f t="shared" si="19"/>
        <v>3.937007874</v>
      </c>
      <c r="V16" s="111">
        <f t="shared" ref="V16:W16" si="34">V15</f>
        <v>-38.94308454</v>
      </c>
      <c r="W16" s="37">
        <f t="shared" si="34"/>
        <v>2.458884441</v>
      </c>
      <c r="X16" s="121">
        <v>0.125</v>
      </c>
      <c r="Y16" s="4">
        <f t="shared" si="3"/>
        <v>4.921259843</v>
      </c>
      <c r="Z16" s="4">
        <f t="shared" si="4"/>
        <v>0.6750756117</v>
      </c>
      <c r="AA16" s="4">
        <f t="shared" si="5"/>
        <v>-0.1230860637</v>
      </c>
      <c r="AB16" s="4">
        <f t="shared" si="6"/>
        <v>0.6862049698</v>
      </c>
      <c r="AC16" s="35">
        <f t="shared" si="16"/>
        <v>1.300386286</v>
      </c>
      <c r="AD16" s="4"/>
      <c r="AE16" s="11">
        <f t="shared" ref="AE16:AF16" si="35">AB16*8.85075</f>
        <v>6.073428636</v>
      </c>
      <c r="AF16" s="4">
        <f t="shared" si="35"/>
        <v>11.50939392</v>
      </c>
      <c r="AG16" s="34">
        <f t="shared" si="8"/>
        <v>3.420886066</v>
      </c>
      <c r="AH16" s="12">
        <f t="shared" si="9"/>
        <v>3.547223601</v>
      </c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95"/>
      <c r="AU16" s="96"/>
      <c r="AV16" s="97"/>
      <c r="AX16" s="98"/>
      <c r="AY16" s="4"/>
      <c r="AZ16" s="4"/>
      <c r="BA16" s="4"/>
      <c r="BB16" s="4"/>
      <c r="BC16" s="4"/>
      <c r="BD16" s="95"/>
      <c r="BE16" s="98"/>
      <c r="BF16" s="4"/>
      <c r="BG16" s="4"/>
      <c r="BH16" s="4"/>
      <c r="BI16" s="4"/>
      <c r="BJ16" s="4"/>
      <c r="BK16" s="4"/>
      <c r="BL16" s="11" t="s">
        <v>224</v>
      </c>
      <c r="BM16" s="4">
        <v>0.72</v>
      </c>
      <c r="BN16" s="43" t="s">
        <v>225</v>
      </c>
      <c r="BO16" s="43">
        <f>IF(BM12&lt;=2,-0.81+0.422*SQRT(BM12)-0.26*BM12,-3.839+3.07*SQRT(BM12)-0.6*BM12)</f>
        <v>-0.6471037655</v>
      </c>
      <c r="BP16" s="20">
        <f>-1.061+0.171*SQRT(BM12)+0.086*BM12</f>
        <v>-0.918450104</v>
      </c>
      <c r="BQ16" s="4"/>
      <c r="BR16" s="12"/>
      <c r="BS16" s="4"/>
      <c r="BT16" s="104"/>
      <c r="BU16" s="30">
        <v>0.0</v>
      </c>
      <c r="BV16" s="34">
        <f t="shared" si="22"/>
        <v>227</v>
      </c>
      <c r="BW16" s="9">
        <f>BW17</f>
        <v>0.0105</v>
      </c>
      <c r="BX16" s="4"/>
      <c r="BY16" s="99"/>
      <c r="BZ16" s="99"/>
      <c r="CA16" s="99"/>
      <c r="CB16" s="4"/>
      <c r="CC16" s="4"/>
      <c r="CD16" s="4"/>
      <c r="CE16" s="4"/>
      <c r="CF16" s="4"/>
      <c r="CG16" s="4"/>
      <c r="CH16" s="34" t="s">
        <v>223</v>
      </c>
      <c r="CI16" s="34">
        <f t="shared" si="27"/>
        <v>1.130770683</v>
      </c>
      <c r="CJ16" s="4"/>
      <c r="CK16" s="110">
        <f t="shared" ref="CK16:CK21" si="38">T19</f>
        <v>0.125</v>
      </c>
      <c r="CL16" s="121"/>
      <c r="CM16" s="100">
        <f t="shared" si="12"/>
        <v>0.00003311716577</v>
      </c>
      <c r="CN16" s="10">
        <f t="shared" si="13"/>
        <v>0.000002577575943</v>
      </c>
      <c r="CO16" s="10">
        <f t="shared" si="14"/>
        <v>-0.00001599886749</v>
      </c>
      <c r="CP16" s="101">
        <f t="shared" si="15"/>
        <v>-0.000000892924638</v>
      </c>
      <c r="CQ16" s="34"/>
      <c r="CR16" s="4"/>
      <c r="CS16" s="89" t="s">
        <v>226</v>
      </c>
      <c r="CT16" s="122">
        <f>CT15*30/PI()</f>
        <v>4240.299138</v>
      </c>
      <c r="CU16" s="4"/>
      <c r="CV16" s="4"/>
      <c r="CW16" s="4"/>
    </row>
    <row r="17">
      <c r="A17" s="4"/>
      <c r="B17" s="4"/>
      <c r="C17" s="4"/>
      <c r="D17" s="4"/>
      <c r="E17" s="4"/>
      <c r="F17" s="19" t="s">
        <v>227</v>
      </c>
      <c r="G17" s="20">
        <v>7.9</v>
      </c>
      <c r="H17" s="4"/>
      <c r="I17" s="11" t="s">
        <v>228</v>
      </c>
      <c r="J17" s="12">
        <v>0.25</v>
      </c>
      <c r="K17" s="4"/>
      <c r="L17" s="4"/>
      <c r="M17" s="4"/>
      <c r="N17" s="4"/>
      <c r="O17" s="4"/>
      <c r="P17" s="4"/>
      <c r="Q17" s="42" t="s">
        <v>214</v>
      </c>
      <c r="R17" s="42">
        <f>D15</f>
        <v>6.815471268</v>
      </c>
      <c r="S17" s="4"/>
      <c r="T17" s="30">
        <f>R8</f>
        <v>0.10145</v>
      </c>
      <c r="U17" s="4">
        <f t="shared" si="19"/>
        <v>3.994094488</v>
      </c>
      <c r="V17" s="111">
        <f t="shared" ref="V17:W17" si="36">V16</f>
        <v>-38.94308454</v>
      </c>
      <c r="W17" s="37">
        <f t="shared" si="36"/>
        <v>2.458884441</v>
      </c>
      <c r="X17" s="121">
        <v>0.15</v>
      </c>
      <c r="Y17" s="4">
        <f t="shared" si="3"/>
        <v>5.905511811</v>
      </c>
      <c r="Z17" s="4">
        <f t="shared" si="4"/>
        <v>0.4811997898</v>
      </c>
      <c r="AA17" s="4">
        <f t="shared" si="5"/>
        <v>-0.08773682081</v>
      </c>
      <c r="AB17" s="4">
        <f t="shared" si="6"/>
        <v>0.4891328935</v>
      </c>
      <c r="AC17" s="35">
        <f t="shared" si="16"/>
        <v>1.300386286</v>
      </c>
      <c r="AD17" s="4"/>
      <c r="AE17" s="11">
        <f t="shared" ref="AE17:AF17" si="37">AB17*8.85075</f>
        <v>4.329192957</v>
      </c>
      <c r="AF17" s="4">
        <f t="shared" si="37"/>
        <v>11.50939392</v>
      </c>
      <c r="AG17" s="34">
        <f t="shared" si="8"/>
        <v>3.34035793</v>
      </c>
      <c r="AH17" s="12">
        <f t="shared" si="9"/>
        <v>3.480853204</v>
      </c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95"/>
      <c r="AU17" s="96"/>
      <c r="AV17" s="97"/>
      <c r="AX17" s="98"/>
      <c r="AY17" s="4"/>
      <c r="AZ17" s="4"/>
      <c r="BA17" s="4"/>
      <c r="BB17" s="4"/>
      <c r="BC17" s="4"/>
      <c r="BD17" s="95"/>
      <c r="BE17" s="98"/>
      <c r="BF17" s="4"/>
      <c r="BG17" s="4"/>
      <c r="BH17" s="4"/>
      <c r="BI17" s="4"/>
      <c r="BJ17" s="4"/>
      <c r="BK17" s="4"/>
      <c r="BL17" s="11" t="s">
        <v>229</v>
      </c>
      <c r="BM17" s="12">
        <f t="shared" ref="BM17:BM18" si="40"> 1+(BM15*(BM13-1))</f>
        <v>1.225106532</v>
      </c>
      <c r="BN17" s="4"/>
      <c r="BO17" s="4"/>
      <c r="BP17" s="4"/>
      <c r="BQ17" s="4"/>
      <c r="BR17" s="12"/>
      <c r="BS17" s="4"/>
      <c r="BT17" s="102">
        <v>5.0</v>
      </c>
      <c r="BU17" s="42">
        <v>23.0</v>
      </c>
      <c r="BV17" s="42">
        <f t="shared" si="22"/>
        <v>250</v>
      </c>
      <c r="BW17" s="20">
        <v>0.0105</v>
      </c>
      <c r="BX17" s="4"/>
      <c r="BY17" s="123" t="s">
        <v>230</v>
      </c>
      <c r="BZ17" s="109">
        <v>0.07</v>
      </c>
      <c r="CA17" s="4"/>
      <c r="CB17" s="4"/>
      <c r="CC17" s="4"/>
      <c r="CD17" s="4"/>
      <c r="CE17" s="124" t="s">
        <v>231</v>
      </c>
      <c r="CF17" s="22"/>
      <c r="CG17" s="4"/>
      <c r="CH17" s="42" t="s">
        <v>214</v>
      </c>
      <c r="CI17" s="34">
        <f t="shared" si="27"/>
        <v>6.815471268</v>
      </c>
      <c r="CJ17" s="4"/>
      <c r="CK17" s="110">
        <f t="shared" si="38"/>
        <v>0.15</v>
      </c>
      <c r="CL17" s="121"/>
      <c r="CM17" s="100">
        <f t="shared" si="12"/>
        <v>0.0001233415974</v>
      </c>
      <c r="CN17" s="10">
        <f t="shared" si="13"/>
        <v>0.000004531189375</v>
      </c>
      <c r="CO17" s="10">
        <f t="shared" si="14"/>
        <v>-0.00004302335047</v>
      </c>
      <c r="CP17" s="101">
        <f t="shared" si="15"/>
        <v>-0.000001249125607</v>
      </c>
      <c r="CQ17" s="34"/>
      <c r="CR17" s="4"/>
      <c r="CS17" s="4"/>
      <c r="CT17" s="4"/>
      <c r="CU17" s="4"/>
      <c r="CV17" s="4"/>
      <c r="CW17" s="4"/>
    </row>
    <row r="18">
      <c r="A18" s="4"/>
      <c r="B18" s="4"/>
      <c r="C18" s="24" t="s">
        <v>232</v>
      </c>
      <c r="D18" s="22"/>
      <c r="E18" s="4"/>
      <c r="F18" s="4"/>
      <c r="G18" s="4"/>
      <c r="H18" s="4"/>
      <c r="I18" s="11" t="s">
        <v>219</v>
      </c>
      <c r="J18" s="101">
        <v>1000000.0</v>
      </c>
      <c r="K18" s="4"/>
      <c r="L18" s="4"/>
      <c r="M18" s="4"/>
      <c r="N18" s="4"/>
      <c r="O18" s="4"/>
      <c r="P18" s="4"/>
      <c r="Q18" s="112" t="s">
        <v>233</v>
      </c>
      <c r="R18" s="125">
        <f>R14+R12-R20</f>
        <v>-81.71913582</v>
      </c>
      <c r="S18" s="4"/>
      <c r="T18" s="42">
        <f>T17</f>
        <v>0.10145</v>
      </c>
      <c r="U18" s="4">
        <f t="shared" si="19"/>
        <v>3.994094488</v>
      </c>
      <c r="V18" s="111">
        <f>V13+R20</f>
        <v>7.755032874</v>
      </c>
      <c r="W18" s="37">
        <f>W13+R21</f>
        <v>-1.413969715</v>
      </c>
      <c r="X18" s="121">
        <v>0.175</v>
      </c>
      <c r="Y18" s="4">
        <f t="shared" si="3"/>
        <v>6.88976378</v>
      </c>
      <c r="Z18" s="4">
        <f t="shared" si="4"/>
        <v>0.287323968</v>
      </c>
      <c r="AA18" s="4">
        <f t="shared" si="5"/>
        <v>-0.05238757794</v>
      </c>
      <c r="AB18" s="4">
        <f t="shared" si="6"/>
        <v>0.2920608171</v>
      </c>
      <c r="AC18" s="35">
        <f t="shared" si="16"/>
        <v>1.300386286</v>
      </c>
      <c r="AD18" s="4"/>
      <c r="AE18" s="11">
        <f t="shared" ref="AE18:AF18" si="39">AB18*8.85075</f>
        <v>2.584957277</v>
      </c>
      <c r="AF18" s="4">
        <f t="shared" si="39"/>
        <v>11.50939392</v>
      </c>
      <c r="AG18" s="34">
        <f t="shared" si="8"/>
        <v>3.280921059</v>
      </c>
      <c r="AH18" s="12">
        <f t="shared" si="9"/>
        <v>3.432965657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5"/>
      <c r="AU18" s="126"/>
      <c r="AV18" s="127"/>
      <c r="AW18" s="6"/>
      <c r="AX18" s="7"/>
      <c r="AY18" s="43"/>
      <c r="AZ18" s="43"/>
      <c r="BA18" s="43"/>
      <c r="BB18" s="43"/>
      <c r="BC18" s="43"/>
      <c r="BD18" s="5"/>
      <c r="BE18" s="7"/>
      <c r="BF18" s="43"/>
      <c r="BG18" s="43"/>
      <c r="BH18" s="43"/>
      <c r="BI18" s="43"/>
      <c r="BJ18" s="43"/>
      <c r="BK18" s="43"/>
      <c r="BL18" s="19" t="s">
        <v>234</v>
      </c>
      <c r="BM18" s="20">
        <f t="shared" si="40"/>
        <v>1.128247533</v>
      </c>
      <c r="BN18" s="43"/>
      <c r="BO18" s="43"/>
      <c r="BP18" s="43"/>
      <c r="BQ18" s="43"/>
      <c r="BR18" s="20"/>
      <c r="BS18" s="4"/>
      <c r="BT18" s="4"/>
      <c r="BU18" s="4"/>
      <c r="BV18" s="45">
        <v>250.0</v>
      </c>
      <c r="BW18" s="46">
        <v>0.0</v>
      </c>
      <c r="BX18" s="4"/>
      <c r="BY18" s="123" t="s">
        <v>235</v>
      </c>
      <c r="BZ18" s="109">
        <v>0.02</v>
      </c>
      <c r="CA18" s="4"/>
      <c r="CB18" s="4"/>
      <c r="CC18" s="4"/>
      <c r="CD18" s="4"/>
      <c r="CE18" s="30" t="s">
        <v>236</v>
      </c>
      <c r="CF18" s="128">
        <v>0.0026</v>
      </c>
      <c r="CG18" s="4"/>
      <c r="CH18" s="112" t="s">
        <v>233</v>
      </c>
      <c r="CI18" s="125">
        <f>CI14+CI12-CI20</f>
        <v>-81.71913582</v>
      </c>
      <c r="CJ18" s="4"/>
      <c r="CK18" s="110">
        <f t="shared" si="38"/>
        <v>0.175</v>
      </c>
      <c r="CL18" s="121"/>
      <c r="CM18" s="100">
        <f t="shared" si="12"/>
        <v>0.0002542171738</v>
      </c>
      <c r="CN18" s="10">
        <f t="shared" si="13"/>
        <v>0.000005829667518</v>
      </c>
      <c r="CO18" s="10">
        <f t="shared" si="14"/>
        <v>-0.00007745972821</v>
      </c>
      <c r="CP18" s="101">
        <f t="shared" si="15"/>
        <v>-0.000001485876218</v>
      </c>
      <c r="CQ18" s="34"/>
      <c r="CR18" s="4"/>
      <c r="CS18" s="4"/>
      <c r="CT18" s="4"/>
      <c r="CU18" s="4"/>
      <c r="CV18" s="4"/>
      <c r="CW18" s="4"/>
    </row>
    <row r="19">
      <c r="A19" s="4"/>
      <c r="B19" s="4"/>
      <c r="C19" s="8" t="s">
        <v>237</v>
      </c>
      <c r="D19" s="9">
        <v>50.0</v>
      </c>
      <c r="E19" s="4"/>
      <c r="F19" s="26" t="s">
        <v>24</v>
      </c>
      <c r="G19" s="22"/>
      <c r="H19" s="4"/>
      <c r="I19" s="11" t="s">
        <v>178</v>
      </c>
      <c r="J19" s="12">
        <f>D10</f>
        <v>0.003</v>
      </c>
      <c r="K19" s="4"/>
      <c r="L19" s="4"/>
      <c r="M19" s="4"/>
      <c r="N19" s="4"/>
      <c r="O19" s="4"/>
      <c r="P19" s="4"/>
      <c r="Q19" s="116" t="s">
        <v>238</v>
      </c>
      <c r="R19" s="129">
        <f>R17-R21-R15</f>
        <v>2.458884441</v>
      </c>
      <c r="S19" s="4"/>
      <c r="T19" s="121">
        <f t="shared" ref="T19:T23" si="43">X16</f>
        <v>0.125</v>
      </c>
      <c r="U19" s="4">
        <f t="shared" si="19"/>
        <v>4.921259843</v>
      </c>
      <c r="V19" s="111">
        <f t="shared" ref="V19:W19" si="41">V18</f>
        <v>7.755032874</v>
      </c>
      <c r="W19" s="37">
        <f t="shared" si="41"/>
        <v>-1.413969715</v>
      </c>
      <c r="X19" s="121">
        <v>0.19</v>
      </c>
      <c r="Y19" s="4">
        <f t="shared" si="3"/>
        <v>7.480314961</v>
      </c>
      <c r="Z19" s="4">
        <f t="shared" si="4"/>
        <v>0.1709984749</v>
      </c>
      <c r="AA19" s="4">
        <f t="shared" si="5"/>
        <v>-0.03117803221</v>
      </c>
      <c r="AB19" s="4">
        <f t="shared" si="6"/>
        <v>0.1738175713</v>
      </c>
      <c r="AC19" s="35">
        <f t="shared" si="16"/>
        <v>1.300386286</v>
      </c>
      <c r="AD19" s="4"/>
      <c r="AE19" s="11">
        <f t="shared" ref="AE19:AF19" si="42">AB19*8.85075</f>
        <v>1.538415869</v>
      </c>
      <c r="AF19" s="4">
        <f t="shared" si="42"/>
        <v>11.50939392</v>
      </c>
      <c r="AG19" s="34">
        <f t="shared" si="8"/>
        <v>3.258279494</v>
      </c>
      <c r="AH19" s="12">
        <f t="shared" si="9"/>
        <v>3.414988002</v>
      </c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123" t="s">
        <v>239</v>
      </c>
      <c r="BZ19" s="109">
        <v>0.02</v>
      </c>
      <c r="CA19" s="4"/>
      <c r="CB19" s="4"/>
      <c r="CC19" s="4"/>
      <c r="CD19" s="4"/>
      <c r="CE19" s="42" t="s">
        <v>240</v>
      </c>
      <c r="CF19" s="130">
        <v>0.0026</v>
      </c>
      <c r="CG19" s="4"/>
      <c r="CH19" s="116" t="s">
        <v>238</v>
      </c>
      <c r="CI19" s="129">
        <f>CI17-CI21-CI15</f>
        <v>2.458884441</v>
      </c>
      <c r="CJ19" s="4"/>
      <c r="CK19" s="110">
        <f t="shared" si="38"/>
        <v>0.19</v>
      </c>
      <c r="CL19" s="121"/>
      <c r="CM19" s="100">
        <f t="shared" si="12"/>
        <v>0.000345441662</v>
      </c>
      <c r="CN19" s="10">
        <f t="shared" si="13"/>
        <v>0.000006294289465</v>
      </c>
      <c r="CO19" s="10">
        <f t="shared" si="14"/>
        <v>-0.0001004369806</v>
      </c>
      <c r="CP19" s="101">
        <f t="shared" si="15"/>
        <v>-0.000001570590413</v>
      </c>
      <c r="CQ19" s="34"/>
      <c r="CR19" s="4"/>
      <c r="CS19" s="4"/>
      <c r="CT19" s="4"/>
      <c r="CU19" s="4"/>
      <c r="CV19" s="4"/>
      <c r="CW19" s="4"/>
    </row>
    <row r="20">
      <c r="A20" s="4"/>
      <c r="B20" s="4"/>
      <c r="C20" s="11" t="s">
        <v>241</v>
      </c>
      <c r="D20" s="12">
        <v>8.0</v>
      </c>
      <c r="E20" s="4"/>
      <c r="F20" s="30" t="s">
        <v>29</v>
      </c>
      <c r="G20" s="9">
        <v>0.94</v>
      </c>
      <c r="H20" s="4"/>
      <c r="I20" s="11" t="s">
        <v>242</v>
      </c>
      <c r="J20" s="12">
        <v>0.154</v>
      </c>
      <c r="K20" s="4"/>
      <c r="L20" s="4"/>
      <c r="M20" s="4"/>
      <c r="N20" s="4"/>
      <c r="O20" s="4"/>
      <c r="P20" s="4"/>
      <c r="Q20" s="116" t="s">
        <v>243</v>
      </c>
      <c r="R20" s="129">
        <f>(R14*(R9-R7)-R12*R7)/(R8-R7)</f>
        <v>46.69811742</v>
      </c>
      <c r="S20" s="4"/>
      <c r="T20" s="121">
        <f t="shared" si="43"/>
        <v>0.15</v>
      </c>
      <c r="U20" s="4">
        <f t="shared" si="19"/>
        <v>5.905511811</v>
      </c>
      <c r="V20" s="111">
        <f t="shared" ref="V20:W20" si="44">V19</f>
        <v>7.755032874</v>
      </c>
      <c r="W20" s="37">
        <f t="shared" si="44"/>
        <v>-1.413969715</v>
      </c>
      <c r="X20" s="121">
        <v>0.2</v>
      </c>
      <c r="Y20" s="4">
        <f t="shared" si="3"/>
        <v>7.874015748</v>
      </c>
      <c r="Z20" s="4">
        <f t="shared" si="4"/>
        <v>0.09344814613</v>
      </c>
      <c r="AA20" s="4">
        <f t="shared" si="5"/>
        <v>-0.01703833507</v>
      </c>
      <c r="AB20" s="4">
        <f t="shared" si="6"/>
        <v>0.09498874079</v>
      </c>
      <c r="AC20" s="35">
        <f t="shared" si="16"/>
        <v>1.300386286</v>
      </c>
      <c r="AD20" s="4"/>
      <c r="AE20" s="11">
        <f t="shared" ref="AE20:AF20" si="45">AB20*8.85075</f>
        <v>0.8407215976</v>
      </c>
      <c r="AF20" s="4">
        <f t="shared" si="45"/>
        <v>11.50939392</v>
      </c>
      <c r="AG20" s="34">
        <f t="shared" si="8"/>
        <v>3.249356641</v>
      </c>
      <c r="AH20" s="12">
        <f t="shared" si="9"/>
        <v>3.407944872</v>
      </c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70" t="s">
        <v>126</v>
      </c>
      <c r="AU20" s="71"/>
      <c r="AV20" s="72" t="s">
        <v>127</v>
      </c>
      <c r="AW20" s="25"/>
      <c r="AX20" s="22"/>
      <c r="AY20" s="73" t="s">
        <v>128</v>
      </c>
      <c r="AZ20" s="73" t="s">
        <v>129</v>
      </c>
      <c r="BA20" s="73" t="s">
        <v>130</v>
      </c>
      <c r="BB20" s="73" t="s">
        <v>131</v>
      </c>
      <c r="BC20" s="73" t="s">
        <v>132</v>
      </c>
      <c r="BD20" s="70" t="s">
        <v>65</v>
      </c>
      <c r="BE20" s="22"/>
      <c r="BF20" s="73" t="s">
        <v>133</v>
      </c>
      <c r="BG20" s="73" t="s">
        <v>134</v>
      </c>
      <c r="BH20" s="73" t="s">
        <v>135</v>
      </c>
      <c r="BI20" s="70" t="s">
        <v>136</v>
      </c>
      <c r="BJ20" s="22"/>
      <c r="BK20" s="73" t="s">
        <v>137</v>
      </c>
      <c r="BL20" s="70" t="s">
        <v>138</v>
      </c>
      <c r="BM20" s="22"/>
      <c r="BN20" s="73" t="s">
        <v>139</v>
      </c>
      <c r="BO20" s="73" t="s">
        <v>140</v>
      </c>
      <c r="BP20" s="74" t="s">
        <v>141</v>
      </c>
      <c r="BQ20" s="73" t="s">
        <v>142</v>
      </c>
      <c r="BR20" s="75" t="s">
        <v>143</v>
      </c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16" t="s">
        <v>243</v>
      </c>
      <c r="CI20" s="129">
        <f>(CI14*(CI9-CI7)-CI12*CI7)/(CI8-CI7)</f>
        <v>46.69811742</v>
      </c>
      <c r="CJ20" s="4"/>
      <c r="CK20" s="110">
        <f t="shared" si="38"/>
        <v>0.2</v>
      </c>
      <c r="CL20" s="121"/>
      <c r="CM20" s="100">
        <f t="shared" si="12"/>
        <v>0.0004093655126</v>
      </c>
      <c r="CN20" s="10">
        <f t="shared" si="13"/>
        <v>0.000006473010372</v>
      </c>
      <c r="CO20" s="10">
        <f t="shared" si="14"/>
        <v>-0.0001163217417</v>
      </c>
      <c r="CP20" s="101">
        <f t="shared" si="15"/>
        <v>-0.00000160317647</v>
      </c>
      <c r="CQ20" s="34"/>
      <c r="CR20" s="4"/>
      <c r="CS20" s="4"/>
      <c r="CT20" s="4"/>
      <c r="CU20" s="4"/>
      <c r="CV20" s="4"/>
      <c r="CW20" s="4"/>
    </row>
    <row r="21" ht="15.75" customHeight="1">
      <c r="A21" s="4"/>
      <c r="B21" s="4"/>
      <c r="C21" s="11" t="s">
        <v>221</v>
      </c>
      <c r="D21" s="12">
        <v>545.585</v>
      </c>
      <c r="E21" s="4"/>
      <c r="F21" s="34" t="s">
        <v>33</v>
      </c>
      <c r="G21" s="35">
        <f>Flexible!Q6</f>
        <v>1.300386286</v>
      </c>
      <c r="H21" s="4"/>
      <c r="I21" s="11" t="s">
        <v>244</v>
      </c>
      <c r="J21" s="12">
        <v>0.064066</v>
      </c>
      <c r="K21" s="4"/>
      <c r="L21" s="4"/>
      <c r="M21" s="4"/>
      <c r="N21" s="4"/>
      <c r="O21" s="4"/>
      <c r="P21" s="4"/>
      <c r="Q21" s="120" t="s">
        <v>245</v>
      </c>
      <c r="R21" s="87">
        <f>(R17-R15)*(R9-R7)/(R8-R7)</f>
        <v>-3.872854156</v>
      </c>
      <c r="S21" s="4"/>
      <c r="T21" s="121">
        <f t="shared" si="43"/>
        <v>0.175</v>
      </c>
      <c r="U21" s="4">
        <f t="shared" si="19"/>
        <v>6.88976378</v>
      </c>
      <c r="V21" s="111">
        <f t="shared" ref="V21:W21" si="46">V20</f>
        <v>7.755032874</v>
      </c>
      <c r="W21" s="37">
        <f t="shared" si="46"/>
        <v>-1.413969715</v>
      </c>
      <c r="X21" s="131">
        <f>R9</f>
        <v>0.21205</v>
      </c>
      <c r="Y21" s="4">
        <f t="shared" si="3"/>
        <v>8.348425197</v>
      </c>
      <c r="Z21" s="132">
        <f>IF(AND(X21&gt;=0,X21&lt;=$R$7),-X21*$V$8,IF(AND(X21&gt;$R$7,X21&lt;=$R$8),$Z$11-(X21-$R$7)*$V$13,IF(AND(X21&gt;$R$8,X21&lt;=$R$9),$Z$15-(X21-$R$8)*$V$18)))</f>
        <v>0</v>
      </c>
      <c r="AA21" s="132">
        <f t="shared" si="5"/>
        <v>0</v>
      </c>
      <c r="AB21" s="133">
        <f t="shared" si="6"/>
        <v>0</v>
      </c>
      <c r="AC21" s="35">
        <f t="shared" si="16"/>
        <v>1.300386286</v>
      </c>
      <c r="AD21" s="4"/>
      <c r="AE21" s="134">
        <f t="shared" ref="AE21:AF21" si="47">AB21*8.85075</f>
        <v>0</v>
      </c>
      <c r="AF21" s="43">
        <f t="shared" si="47"/>
        <v>11.50939392</v>
      </c>
      <c r="AG21" s="42">
        <f t="shared" si="8"/>
        <v>3.245519679</v>
      </c>
      <c r="AH21" s="20">
        <f t="shared" si="9"/>
        <v>3.404923584</v>
      </c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80">
        <v>2.0</v>
      </c>
      <c r="AU21" s="15"/>
      <c r="AV21" s="81" t="s">
        <v>157</v>
      </c>
      <c r="AW21" s="14"/>
      <c r="AX21" s="82"/>
      <c r="AY21" s="83">
        <v>1.5</v>
      </c>
      <c r="AZ21" s="4">
        <f>BA21/25.4</f>
        <v>0.9842519685</v>
      </c>
      <c r="BA21" s="4">
        <v>25.0</v>
      </c>
      <c r="BB21" s="4">
        <f t="shared" ref="BB21:BC21" si="48">BB7</f>
        <v>14.33001514</v>
      </c>
      <c r="BC21" s="4">
        <f t="shared" si="48"/>
        <v>11.50939392</v>
      </c>
      <c r="BD21" s="84" t="s">
        <v>158</v>
      </c>
      <c r="BE21" s="3"/>
      <c r="BF21" s="4">
        <v>73000.0</v>
      </c>
      <c r="BG21" s="4">
        <v>83000.0</v>
      </c>
      <c r="BH21" s="4">
        <v>23000.0</v>
      </c>
      <c r="BI21" s="30" t="s">
        <v>159</v>
      </c>
      <c r="BJ21" s="12">
        <f>2.7*(BG21/1000)^(-0.265)</f>
        <v>0.8371592296</v>
      </c>
      <c r="BK21" s="4">
        <f>BH21*BJ21*BJ22*BJ23*BJ24*BJ25*BJ26</f>
        <v>13246.09121</v>
      </c>
      <c r="BL21" s="8" t="s">
        <v>160</v>
      </c>
      <c r="BM21" s="9">
        <v>0.25</v>
      </c>
      <c r="BN21" s="4">
        <f>BM31*32*BB21/(PI()*POWER(AZ21,3))</f>
        <v>187.543378</v>
      </c>
      <c r="BO21" s="4">
        <f>BM32*16*BC21/(PI()*POWER(AZ21,3))</f>
        <v>69.35983969</v>
      </c>
      <c r="BP21" s="85">
        <f>1/((BN21/BK21)+(BO21/BG21))</f>
        <v>66.69310075</v>
      </c>
      <c r="BQ21" s="86">
        <f>SQRT(1/((BN21/BK21)^2+(BO21/BF21)^2))</f>
        <v>70.47097778</v>
      </c>
      <c r="BR21" s="87">
        <f>BF21/(BN21+BO21)</f>
        <v>284.1537006</v>
      </c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124" t="s">
        <v>246</v>
      </c>
      <c r="CF21" s="22"/>
      <c r="CG21" s="4"/>
      <c r="CH21" s="120" t="s">
        <v>245</v>
      </c>
      <c r="CI21" s="87">
        <f>(CI17-CI15)*(CI9-CI7)/(CI8-CI7)</f>
        <v>-3.872854156</v>
      </c>
      <c r="CJ21" s="4"/>
      <c r="CK21" s="135">
        <f t="shared" si="38"/>
        <v>0.21205</v>
      </c>
      <c r="CL21" s="136" t="s">
        <v>247</v>
      </c>
      <c r="CM21" s="92">
        <f t="shared" si="12"/>
        <v>0.0004879766389</v>
      </c>
      <c r="CN21" s="93">
        <f t="shared" si="13"/>
        <v>0.000006549112197</v>
      </c>
      <c r="CO21" s="93">
        <f t="shared" si="14"/>
        <v>-0.0001357514855</v>
      </c>
      <c r="CP21" s="94">
        <f t="shared" si="15"/>
        <v>-0.000001617052063</v>
      </c>
      <c r="CQ21" s="42"/>
      <c r="CR21" s="4"/>
      <c r="CS21" s="4"/>
      <c r="CT21" s="4"/>
      <c r="CU21" s="4"/>
      <c r="CV21" s="4"/>
      <c r="CW21" s="4"/>
    </row>
    <row r="22" ht="15.75" customHeight="1">
      <c r="A22" s="4"/>
      <c r="B22" s="4"/>
      <c r="C22" s="11" t="s">
        <v>65</v>
      </c>
      <c r="D22" s="12" t="s">
        <v>248</v>
      </c>
      <c r="E22" s="4"/>
      <c r="F22" s="34" t="s">
        <v>37</v>
      </c>
      <c r="G22" s="12">
        <f>Flexible!Q7</f>
        <v>0.6916948327</v>
      </c>
      <c r="H22" s="4"/>
      <c r="I22" s="11" t="s">
        <v>249</v>
      </c>
      <c r="J22" s="12">
        <f>J8-J21</f>
        <v>0.035934</v>
      </c>
      <c r="K22" s="4"/>
      <c r="L22" s="4"/>
      <c r="M22" s="4"/>
      <c r="N22" s="4"/>
      <c r="O22" s="4"/>
      <c r="P22" s="4"/>
      <c r="Q22" s="4"/>
      <c r="R22" s="4"/>
      <c r="S22" s="4"/>
      <c r="T22" s="121">
        <f t="shared" si="43"/>
        <v>0.19</v>
      </c>
      <c r="U22" s="4">
        <f t="shared" si="19"/>
        <v>7.480314961</v>
      </c>
      <c r="V22" s="111">
        <f t="shared" ref="V22:X22" si="49">V21</f>
        <v>7.755032874</v>
      </c>
      <c r="W22" s="37">
        <f t="shared" si="49"/>
        <v>-1.413969715</v>
      </c>
      <c r="X22" s="137">
        <f t="shared" si="49"/>
        <v>0.21205</v>
      </c>
      <c r="Y22" s="43">
        <f t="shared" si="3"/>
        <v>8.348425197</v>
      </c>
      <c r="Z22" s="43"/>
      <c r="AA22" s="43"/>
      <c r="AB22" s="43"/>
      <c r="AC22" s="138">
        <f>AC21-J27</f>
        <v>0</v>
      </c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95"/>
      <c r="AU22" s="96"/>
      <c r="AV22" s="97"/>
      <c r="AX22" s="98"/>
      <c r="AY22" s="83"/>
      <c r="AZ22" s="4"/>
      <c r="BA22" s="4"/>
      <c r="BB22" s="4"/>
      <c r="BC22" s="4"/>
      <c r="BD22" s="95"/>
      <c r="BE22" s="98"/>
      <c r="BF22" s="4"/>
      <c r="BG22" s="4"/>
      <c r="BH22" s="4"/>
      <c r="BI22" s="34" t="s">
        <v>169</v>
      </c>
      <c r="BJ22" s="12">
        <f>IF(AND(AZ21&lt;=2,AZ21&gt;=0.11),POWER(AZ21/0.3,-0.107),0.91*POWER(AZ21,-0.157))</f>
        <v>0.880622142</v>
      </c>
      <c r="BK22" s="4"/>
      <c r="BL22" s="11" t="s">
        <v>164</v>
      </c>
      <c r="BM22" s="12">
        <v>1.2</v>
      </c>
      <c r="BN22" s="4"/>
      <c r="BO22" s="4"/>
      <c r="BP22" s="4"/>
      <c r="BQ22" s="4"/>
      <c r="BR22" s="12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30" t="s">
        <v>250</v>
      </c>
      <c r="CF22" s="9">
        <v>0.0</v>
      </c>
      <c r="CG22" s="4"/>
      <c r="CH22" s="79" t="s">
        <v>90</v>
      </c>
      <c r="CI22" s="139">
        <v>1.5</v>
      </c>
      <c r="CJ22" s="4"/>
      <c r="CK22" s="133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</row>
    <row r="23" ht="15.75" customHeight="1">
      <c r="A23" s="4"/>
      <c r="B23" s="4"/>
      <c r="C23" s="11" t="s">
        <v>208</v>
      </c>
      <c r="D23" s="12">
        <v>1.38</v>
      </c>
      <c r="E23" s="4"/>
      <c r="F23" s="42" t="s">
        <v>43</v>
      </c>
      <c r="G23" s="20">
        <f>Flexible!Q8</f>
        <v>42.77605128</v>
      </c>
      <c r="H23" s="4"/>
      <c r="I23" s="11" t="s">
        <v>251</v>
      </c>
      <c r="J23" s="101">
        <f>J17*J18*(J19/J20)*J22</f>
        <v>175.0032468</v>
      </c>
      <c r="K23" s="4"/>
      <c r="L23" s="4"/>
      <c r="M23" s="4"/>
      <c r="N23" s="4"/>
      <c r="O23" s="4"/>
      <c r="P23" s="4"/>
      <c r="Q23" s="44" t="s">
        <v>252</v>
      </c>
      <c r="R23" s="22"/>
      <c r="S23" s="4"/>
      <c r="T23" s="121">
        <f t="shared" si="43"/>
        <v>0.2</v>
      </c>
      <c r="U23" s="4">
        <f t="shared" si="19"/>
        <v>7.874015748</v>
      </c>
      <c r="V23" s="111">
        <f t="shared" ref="V23:W23" si="50">V22</f>
        <v>7.755032874</v>
      </c>
      <c r="W23" s="37">
        <f t="shared" si="50"/>
        <v>-1.413969715</v>
      </c>
      <c r="X23" s="111"/>
      <c r="Y23" s="111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95"/>
      <c r="AU23" s="96"/>
      <c r="AV23" s="97"/>
      <c r="AX23" s="98"/>
      <c r="AY23" s="83"/>
      <c r="AZ23" s="4"/>
      <c r="BA23" s="4"/>
      <c r="BB23" s="4"/>
      <c r="BC23" s="4"/>
      <c r="BD23" s="95"/>
      <c r="BE23" s="98"/>
      <c r="BF23" s="4"/>
      <c r="BG23" s="4"/>
      <c r="BH23" s="4"/>
      <c r="BI23" s="34" t="s">
        <v>175</v>
      </c>
      <c r="BJ23" s="12">
        <v>1.0</v>
      </c>
      <c r="BK23" s="4"/>
      <c r="BL23" s="11" t="s">
        <v>176</v>
      </c>
      <c r="BM23" s="12">
        <f>AZ21*BM22</f>
        <v>1.181102362</v>
      </c>
      <c r="BN23" s="4"/>
      <c r="BO23" s="4"/>
      <c r="BP23" s="4"/>
      <c r="BQ23" s="4"/>
      <c r="BR23" s="12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2" t="s">
        <v>253</v>
      </c>
      <c r="CF23" s="20">
        <v>0.0</v>
      </c>
      <c r="CG23" s="4"/>
      <c r="CH23" s="4"/>
      <c r="CI23" s="10"/>
      <c r="CJ23" s="4"/>
      <c r="CK23" s="133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</row>
    <row r="24" ht="15.75" customHeight="1">
      <c r="A24" s="4"/>
      <c r="B24" s="4"/>
      <c r="C24" s="11" t="s">
        <v>36</v>
      </c>
      <c r="D24" s="12">
        <v>280.0</v>
      </c>
      <c r="E24" s="4"/>
      <c r="F24" s="4"/>
      <c r="G24" s="4"/>
      <c r="H24" s="4"/>
      <c r="I24" s="11" t="s">
        <v>254</v>
      </c>
      <c r="J24" s="12">
        <f>0.05*0.154</f>
        <v>0.0077</v>
      </c>
      <c r="K24" s="4"/>
      <c r="L24" s="4"/>
      <c r="M24" s="4"/>
      <c r="N24" s="4"/>
      <c r="O24" s="4"/>
      <c r="P24" s="4"/>
      <c r="Q24" s="30" t="s">
        <v>65</v>
      </c>
      <c r="R24" s="12" t="s">
        <v>255</v>
      </c>
      <c r="S24" s="4"/>
      <c r="T24" s="30">
        <f>R9</f>
        <v>0.21205</v>
      </c>
      <c r="U24" s="4">
        <f t="shared" si="19"/>
        <v>8.348425197</v>
      </c>
      <c r="V24" s="111">
        <f t="shared" ref="V24:W24" si="51">V21</f>
        <v>7.755032874</v>
      </c>
      <c r="W24" s="37">
        <f t="shared" si="51"/>
        <v>-1.413969715</v>
      </c>
      <c r="X24" s="111"/>
      <c r="Y24" s="111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95"/>
      <c r="AU24" s="96"/>
      <c r="AV24" s="97"/>
      <c r="AX24" s="98"/>
      <c r="AY24" s="83"/>
      <c r="AZ24" s="4"/>
      <c r="BA24" s="4"/>
      <c r="BB24" s="4"/>
      <c r="BC24" s="4"/>
      <c r="BD24" s="95"/>
      <c r="BE24" s="98"/>
      <c r="BF24" s="4"/>
      <c r="BG24" s="4"/>
      <c r="BH24" s="4"/>
      <c r="BI24" s="34" t="s">
        <v>181</v>
      </c>
      <c r="BJ24" s="12">
        <v>1.0</v>
      </c>
      <c r="BK24" s="4"/>
      <c r="BL24" s="11" t="s">
        <v>182</v>
      </c>
      <c r="BM24" s="12">
        <f>BM21*AZ21</f>
        <v>0.2460629921</v>
      </c>
      <c r="BN24" s="4"/>
      <c r="BO24" s="4"/>
      <c r="BP24" s="4"/>
      <c r="BQ24" s="4"/>
      <c r="BR24" s="12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</row>
    <row r="25" ht="15.75" customHeight="1">
      <c r="A25" s="4"/>
      <c r="B25" s="4"/>
      <c r="C25" s="11" t="s">
        <v>256</v>
      </c>
      <c r="D25" s="12">
        <f>D24/1000</f>
        <v>0.28</v>
      </c>
      <c r="E25" s="4"/>
      <c r="F25" s="4"/>
      <c r="G25" s="4"/>
      <c r="H25" s="4"/>
      <c r="I25" s="140" t="s">
        <v>257</v>
      </c>
      <c r="J25" s="141">
        <f>J16*(J26-1)</f>
        <v>0.1696156025</v>
      </c>
      <c r="K25" s="4"/>
      <c r="L25" s="4"/>
      <c r="M25" s="4"/>
      <c r="N25" s="4"/>
      <c r="O25" s="4"/>
      <c r="P25" s="4"/>
      <c r="Q25" s="34" t="s">
        <v>134</v>
      </c>
      <c r="R25" s="12">
        <v>83000.0</v>
      </c>
      <c r="S25" s="4"/>
      <c r="T25" s="42">
        <f>T24</f>
        <v>0.21205</v>
      </c>
      <c r="U25" s="43">
        <f t="shared" si="19"/>
        <v>8.348425197</v>
      </c>
      <c r="V25" s="142">
        <f>V18-R14</f>
        <v>0</v>
      </c>
      <c r="W25" s="143">
        <f>W24+R15-R17</f>
        <v>0</v>
      </c>
      <c r="X25" s="111"/>
      <c r="Y25" s="111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95"/>
      <c r="AU25" s="96"/>
      <c r="AV25" s="97"/>
      <c r="AX25" s="98"/>
      <c r="AY25" s="83"/>
      <c r="AZ25" s="4"/>
      <c r="BA25" s="4"/>
      <c r="BB25" s="4"/>
      <c r="BC25" s="4"/>
      <c r="BD25" s="95"/>
      <c r="BE25" s="98"/>
      <c r="BF25" s="4"/>
      <c r="BG25" s="4"/>
      <c r="BH25" s="4"/>
      <c r="BI25" s="34" t="s">
        <v>188</v>
      </c>
      <c r="BJ25" s="12">
        <v>0.868</v>
      </c>
      <c r="BK25" s="4"/>
      <c r="BL25" s="11" t="s">
        <v>189</v>
      </c>
      <c r="BM25" s="12">
        <f>(BM23-AZ21)/2</f>
        <v>0.09842519685</v>
      </c>
      <c r="BN25" s="4"/>
      <c r="BO25" s="4"/>
      <c r="BP25" s="4"/>
      <c r="BQ25" s="4"/>
      <c r="BR25" s="12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76" t="s">
        <v>258</v>
      </c>
      <c r="CF25" s="22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</row>
    <row r="26" ht="15.75" customHeight="1">
      <c r="A26" s="4"/>
      <c r="B26" s="4"/>
      <c r="C26" s="19" t="s">
        <v>259</v>
      </c>
      <c r="D26" s="20">
        <f>0.15764</f>
        <v>0.15764</v>
      </c>
      <c r="E26" s="4"/>
      <c r="F26" s="4"/>
      <c r="G26" s="4"/>
      <c r="H26" s="4"/>
      <c r="I26" s="113" t="s">
        <v>260</v>
      </c>
      <c r="J26" s="35">
        <v>1.15</v>
      </c>
      <c r="K26" s="4"/>
      <c r="L26" s="4"/>
      <c r="M26" s="4"/>
      <c r="N26" s="4"/>
      <c r="O26" s="4"/>
      <c r="P26" s="4"/>
      <c r="Q26" s="34" t="s">
        <v>133</v>
      </c>
      <c r="R26" s="12">
        <v>73000.0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95"/>
      <c r="AU26" s="96"/>
      <c r="AV26" s="97"/>
      <c r="AX26" s="98"/>
      <c r="AY26" s="83"/>
      <c r="AZ26" s="4"/>
      <c r="BA26" s="4"/>
      <c r="BB26" s="4"/>
      <c r="BC26" s="4"/>
      <c r="BD26" s="95"/>
      <c r="BE26" s="98"/>
      <c r="BF26" s="4"/>
      <c r="BG26" s="4"/>
      <c r="BH26" s="4"/>
      <c r="BI26" s="42" t="s">
        <v>195</v>
      </c>
      <c r="BJ26" s="20">
        <v>0.9</v>
      </c>
      <c r="BK26" s="4"/>
      <c r="BL26" s="11" t="s">
        <v>196</v>
      </c>
      <c r="BM26" s="4">
        <f>BM25/BM24</f>
        <v>0.4</v>
      </c>
      <c r="BN26" s="108"/>
      <c r="BO26" s="108" t="s">
        <v>197</v>
      </c>
      <c r="BP26" s="9" t="s">
        <v>198</v>
      </c>
      <c r="BQ26" s="4"/>
      <c r="BR26" s="12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30" t="s">
        <v>261</v>
      </c>
      <c r="CF26" s="144">
        <f>((CI12*(CI7^3-CI8^3))/(6*(CI8-CI7)))+((CI18*POWER(CI8-CI7,3))/(6*(CI8-CI7)))</f>
        <v>0.05587363549</v>
      </c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145" t="s">
        <v>262</v>
      </c>
      <c r="J27" s="138">
        <f>(J16+J25)</f>
        <v>1.300386286</v>
      </c>
      <c r="K27" s="4"/>
      <c r="L27" s="4"/>
      <c r="M27" s="4"/>
      <c r="N27" s="4"/>
      <c r="O27" s="4"/>
      <c r="P27" s="4"/>
      <c r="Q27" s="34" t="s">
        <v>135</v>
      </c>
      <c r="R27" s="12">
        <v>23000.0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95"/>
      <c r="AU27" s="96"/>
      <c r="AV27" s="97"/>
      <c r="AX27" s="98"/>
      <c r="AY27" s="4"/>
      <c r="AZ27" s="4"/>
      <c r="BA27" s="4"/>
      <c r="BB27" s="4"/>
      <c r="BC27" s="4"/>
      <c r="BD27" s="95"/>
      <c r="BE27" s="98"/>
      <c r="BF27" s="4"/>
      <c r="BG27" s="4"/>
      <c r="BH27" s="4"/>
      <c r="BI27" s="4"/>
      <c r="BJ27" s="4"/>
      <c r="BK27" s="4"/>
      <c r="BL27" s="11" t="s">
        <v>197</v>
      </c>
      <c r="BM27" s="4">
        <f>BO27+BO28*(2*BM25/BM23)+BO29*(2*BM25/BM23)^2+BO30*(2*BM25/BM23)^3</f>
        <v>1.409284603</v>
      </c>
      <c r="BN27" s="4" t="s">
        <v>205</v>
      </c>
      <c r="BO27" s="4">
        <f>IF(BM26&gt;=2,1.232+0.832*SQRT(BM26)-0.008*BM26,0.947+1.206*SQRT(BM26)-0.131*BM26)</f>
        <v>1.657341372</v>
      </c>
      <c r="BP27" s="12">
        <f>0.905+0.783*SQRT(BM26)-0.075*BM26</f>
        <v>1.370212682</v>
      </c>
      <c r="BQ27" s="4"/>
      <c r="BR27" s="12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2" t="s">
        <v>263</v>
      </c>
      <c r="CF27" s="20">
        <f>-((CI12*POWER(CI7,3))/6)-(CF26*CI7)</f>
        <v>-0.001728230239</v>
      </c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34" t="s">
        <v>212</v>
      </c>
      <c r="R28" s="12">
        <v>10400.0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95"/>
      <c r="AU28" s="96"/>
      <c r="AV28" s="97"/>
      <c r="AX28" s="98"/>
      <c r="AY28" s="4"/>
      <c r="AZ28" s="4"/>
      <c r="BA28" s="4"/>
      <c r="BB28" s="4"/>
      <c r="BC28" s="4"/>
      <c r="BD28" s="95"/>
      <c r="BE28" s="98"/>
      <c r="BF28" s="4"/>
      <c r="BG28" s="4"/>
      <c r="BH28" s="4"/>
      <c r="BI28" s="4"/>
      <c r="BJ28" s="4"/>
      <c r="BK28" s="4"/>
      <c r="BL28" s="11" t="s">
        <v>198</v>
      </c>
      <c r="BM28" s="4">
        <f>BP27+BP28*(2*BM25/BM23)+BP29*(2*BM25/BM23)^2+BP30*(2*BM25/BM23)^3</f>
        <v>1.178121574</v>
      </c>
      <c r="BN28" s="4" t="s">
        <v>211</v>
      </c>
      <c r="BO28" s="4">
        <f>IF(BM26&gt;=2,-3.813+0.968*SQRT(BM26)-0.26*BM26,0.022-3.405*SQRT(BM26)+0.915*BM26)</f>
        <v>-1.765511087</v>
      </c>
      <c r="BP28" s="12">
        <f>-0.437-1.969*SQRT(BM26)+0.553*BM26</f>
        <v>-1.461104943</v>
      </c>
      <c r="BQ28" s="4"/>
      <c r="BR28" s="12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76" t="s">
        <v>264</v>
      </c>
      <c r="CF28" s="22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2" t="s">
        <v>90</v>
      </c>
      <c r="R29" s="20">
        <v>1.5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95"/>
      <c r="AU29" s="96"/>
      <c r="AV29" s="97"/>
      <c r="AX29" s="98"/>
      <c r="AY29" s="4"/>
      <c r="AZ29" s="4"/>
      <c r="BA29" s="4"/>
      <c r="BB29" s="4"/>
      <c r="BC29" s="4"/>
      <c r="BD29" s="95"/>
      <c r="BE29" s="98"/>
      <c r="BF29" s="4"/>
      <c r="BG29" s="4"/>
      <c r="BH29" s="4"/>
      <c r="BI29" s="4"/>
      <c r="BJ29" s="4"/>
      <c r="BK29" s="4"/>
      <c r="BL29" s="11" t="s">
        <v>217</v>
      </c>
      <c r="BM29" s="4">
        <v>0.55</v>
      </c>
      <c r="BN29" s="4" t="s">
        <v>218</v>
      </c>
      <c r="BO29" s="4">
        <f>IF(BM26&lt;=2,0.869+1.777*SQRT(BM26)-0.555*BM26,7.423-4.868*SQRT(BM26)+0.869*BM26)</f>
        <v>1.77087348</v>
      </c>
      <c r="BP29" s="12">
        <f>1.557+1.073*SQRT(BM26)-0.578*BM26</f>
        <v>2.004424786</v>
      </c>
      <c r="BQ29" s="4"/>
      <c r="BR29" s="12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30" t="s">
        <v>261</v>
      </c>
      <c r="CF29" s="144">
        <f>((CI19*POWER(CI8-CI7,3))/(6*(CI8-CI7)))</f>
        <v>0.001657681535</v>
      </c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95"/>
      <c r="AU30" s="96"/>
      <c r="AV30" s="97"/>
      <c r="AX30" s="98"/>
      <c r="AY30" s="4"/>
      <c r="AZ30" s="4"/>
      <c r="BA30" s="4"/>
      <c r="BB30" s="4"/>
      <c r="BC30" s="4"/>
      <c r="BD30" s="95"/>
      <c r="BE30" s="98"/>
      <c r="BF30" s="4"/>
      <c r="BG30" s="4"/>
      <c r="BH30" s="4"/>
      <c r="BI30" s="4"/>
      <c r="BJ30" s="4"/>
      <c r="BK30" s="4"/>
      <c r="BL30" s="11" t="s">
        <v>224</v>
      </c>
      <c r="BM30" s="4">
        <v>0.72</v>
      </c>
      <c r="BN30" s="43" t="s">
        <v>225</v>
      </c>
      <c r="BO30" s="43">
        <f>IF(BM26&lt;=2,-0.81+0.422*SQRT(BM26)-0.26*BM26,-3.839+3.07*SQRT(BM26)-0.6*BM26)</f>
        <v>-0.6471037655</v>
      </c>
      <c r="BP30" s="20">
        <f>-1.061+0.171*SQRT(BM26)+0.086*BM26</f>
        <v>-0.918450104</v>
      </c>
      <c r="BQ30" s="4"/>
      <c r="BR30" s="12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2" t="s">
        <v>263</v>
      </c>
      <c r="CF30" s="20">
        <f>-CF29*CI7</f>
        <v>-0.0000627432461</v>
      </c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95"/>
      <c r="AU31" s="96"/>
      <c r="AV31" s="97"/>
      <c r="AX31" s="98"/>
      <c r="AY31" s="4"/>
      <c r="AZ31" s="4"/>
      <c r="BA31" s="4"/>
      <c r="BB31" s="4"/>
      <c r="BC31" s="4"/>
      <c r="BD31" s="95"/>
      <c r="BE31" s="98"/>
      <c r="BF31" s="4"/>
      <c r="BG31" s="4"/>
      <c r="BH31" s="4"/>
      <c r="BI31" s="4"/>
      <c r="BJ31" s="4"/>
      <c r="BK31" s="4"/>
      <c r="BL31" s="11" t="s">
        <v>229</v>
      </c>
      <c r="BM31" s="12">
        <f t="shared" ref="BM31:BM32" si="52"> 1+(BM29*(BM27-1))</f>
        <v>1.225106532</v>
      </c>
      <c r="BN31" s="4"/>
      <c r="BO31" s="4"/>
      <c r="BP31" s="4"/>
      <c r="BQ31" s="4"/>
      <c r="BR31" s="12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5"/>
      <c r="AU32" s="126"/>
      <c r="AV32" s="127"/>
      <c r="AW32" s="6"/>
      <c r="AX32" s="7"/>
      <c r="AY32" s="43"/>
      <c r="AZ32" s="43"/>
      <c r="BA32" s="43"/>
      <c r="BB32" s="43"/>
      <c r="BC32" s="43"/>
      <c r="BD32" s="5"/>
      <c r="BE32" s="7"/>
      <c r="BF32" s="43"/>
      <c r="BG32" s="43"/>
      <c r="BH32" s="43"/>
      <c r="BI32" s="43"/>
      <c r="BJ32" s="43"/>
      <c r="BK32" s="43"/>
      <c r="BL32" s="19" t="s">
        <v>234</v>
      </c>
      <c r="BM32" s="20">
        <f t="shared" si="52"/>
        <v>1.128247533</v>
      </c>
      <c r="BN32" s="43"/>
      <c r="BO32" s="43"/>
      <c r="BP32" s="43"/>
      <c r="BQ32" s="43"/>
      <c r="BR32" s="20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70" t="s">
        <v>126</v>
      </c>
      <c r="AU34" s="71"/>
      <c r="AV34" s="72" t="s">
        <v>127</v>
      </c>
      <c r="AW34" s="25"/>
      <c r="AX34" s="22"/>
      <c r="AY34" s="73" t="s">
        <v>128</v>
      </c>
      <c r="AZ34" s="73" t="s">
        <v>129</v>
      </c>
      <c r="BA34" s="73" t="s">
        <v>130</v>
      </c>
      <c r="BB34" s="73" t="s">
        <v>131</v>
      </c>
      <c r="BC34" s="73" t="s">
        <v>132</v>
      </c>
      <c r="BD34" s="70" t="s">
        <v>65</v>
      </c>
      <c r="BE34" s="22"/>
      <c r="BF34" s="73" t="s">
        <v>133</v>
      </c>
      <c r="BG34" s="73" t="s">
        <v>134</v>
      </c>
      <c r="BH34" s="73" t="s">
        <v>135</v>
      </c>
      <c r="BI34" s="70" t="s">
        <v>136</v>
      </c>
      <c r="BJ34" s="22"/>
      <c r="BK34" s="73" t="s">
        <v>137</v>
      </c>
      <c r="BL34" s="70" t="s">
        <v>138</v>
      </c>
      <c r="BM34" s="22"/>
      <c r="BN34" s="73" t="s">
        <v>139</v>
      </c>
      <c r="BO34" s="73" t="s">
        <v>140</v>
      </c>
      <c r="BP34" s="74" t="s">
        <v>141</v>
      </c>
      <c r="BQ34" s="73" t="s">
        <v>142</v>
      </c>
      <c r="BR34" s="75" t="s">
        <v>143</v>
      </c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80">
        <v>3.0</v>
      </c>
      <c r="AU35" s="15"/>
      <c r="AV35" s="81" t="s">
        <v>157</v>
      </c>
      <c r="AW35" s="14"/>
      <c r="AX35" s="82"/>
      <c r="AY35" s="83">
        <v>1.5</v>
      </c>
      <c r="AZ35" s="4">
        <f>BA35/25.4</f>
        <v>0.9842519685</v>
      </c>
      <c r="BA35" s="4">
        <v>25.0</v>
      </c>
      <c r="BB35" s="4">
        <f t="shared" ref="BB35:BC35" si="53">BB21</f>
        <v>14.33001514</v>
      </c>
      <c r="BC35" s="4">
        <f t="shared" si="53"/>
        <v>11.50939392</v>
      </c>
      <c r="BD35" s="84" t="s">
        <v>265</v>
      </c>
      <c r="BE35" s="3"/>
      <c r="BF35" s="4">
        <v>6000.0</v>
      </c>
      <c r="BG35" s="4">
        <v>16000.0</v>
      </c>
      <c r="BH35" s="4">
        <v>7000.0</v>
      </c>
      <c r="BI35" s="30" t="s">
        <v>159</v>
      </c>
      <c r="BJ35" s="12">
        <f>2.7*(BG35/1000)^(-0.265)</f>
        <v>1.295006561</v>
      </c>
      <c r="BK35" s="4">
        <f>BH35*BJ35*BJ36*BJ37*BJ38*BJ39*BJ40</f>
        <v>6236.225983</v>
      </c>
      <c r="BL35" s="8" t="s">
        <v>160</v>
      </c>
      <c r="BM35" s="9">
        <v>0.25</v>
      </c>
      <c r="BN35" s="4">
        <f>BM45*32*BB35/(PI()*POWER(AZ35,3))</f>
        <v>187.543378</v>
      </c>
      <c r="BO35" s="4">
        <f>BM46*16*BC35/(PI()*POWER(AZ35,3))</f>
        <v>69.35983969</v>
      </c>
      <c r="BP35" s="85">
        <f>1/((BN35/BK35)+(BO35/BG35))</f>
        <v>29.06283368</v>
      </c>
      <c r="BQ35" s="86">
        <f>SQRT(1/((BN35/BK35)^2+(BO35/BF35)^2))</f>
        <v>31.03807376</v>
      </c>
      <c r="BR35" s="87">
        <f>BF35/(BN35+BO35)</f>
        <v>23.35509868</v>
      </c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95"/>
      <c r="AU36" s="96"/>
      <c r="AV36" s="97"/>
      <c r="AX36" s="98"/>
      <c r="AY36" s="83"/>
      <c r="AZ36" s="4"/>
      <c r="BA36" s="4"/>
      <c r="BB36" s="4"/>
      <c r="BC36" s="4"/>
      <c r="BD36" s="95"/>
      <c r="BE36" s="98"/>
      <c r="BF36" s="4"/>
      <c r="BG36" s="4"/>
      <c r="BH36" s="4"/>
      <c r="BI36" s="34" t="s">
        <v>169</v>
      </c>
      <c r="BJ36" s="12">
        <f>IF(AND(AZ35&lt;=2,AZ35&gt;=0.11),POWER(AZ35/0.3,-0.107),0.91*POWER(AZ35,-0.157))</f>
        <v>0.880622142</v>
      </c>
      <c r="BK36" s="4"/>
      <c r="BL36" s="11" t="s">
        <v>164</v>
      </c>
      <c r="BM36" s="12">
        <v>1.2</v>
      </c>
      <c r="BN36" s="4"/>
      <c r="BO36" s="4"/>
      <c r="BP36" s="4"/>
      <c r="BQ36" s="4"/>
      <c r="BR36" s="12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95"/>
      <c r="AU37" s="96"/>
      <c r="AV37" s="97"/>
      <c r="AX37" s="98"/>
      <c r="AY37" s="83"/>
      <c r="AZ37" s="4"/>
      <c r="BA37" s="4"/>
      <c r="BB37" s="4"/>
      <c r="BC37" s="4"/>
      <c r="BD37" s="95"/>
      <c r="BE37" s="98"/>
      <c r="BF37" s="4"/>
      <c r="BG37" s="4"/>
      <c r="BH37" s="4"/>
      <c r="BI37" s="34" t="s">
        <v>175</v>
      </c>
      <c r="BJ37" s="12">
        <v>1.0</v>
      </c>
      <c r="BK37" s="4"/>
      <c r="BL37" s="11" t="s">
        <v>176</v>
      </c>
      <c r="BM37" s="12">
        <f>AZ35*BM36</f>
        <v>1.181102362</v>
      </c>
      <c r="BN37" s="4"/>
      <c r="BO37" s="4"/>
      <c r="BP37" s="4"/>
      <c r="BQ37" s="4"/>
      <c r="BR37" s="12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95"/>
      <c r="AU38" s="96"/>
      <c r="AV38" s="97"/>
      <c r="AX38" s="98"/>
      <c r="AY38" s="83"/>
      <c r="AZ38" s="4"/>
      <c r="BA38" s="4"/>
      <c r="BB38" s="4"/>
      <c r="BC38" s="4"/>
      <c r="BD38" s="95"/>
      <c r="BE38" s="98"/>
      <c r="BF38" s="4"/>
      <c r="BG38" s="4"/>
      <c r="BH38" s="4"/>
      <c r="BI38" s="34" t="s">
        <v>181</v>
      </c>
      <c r="BJ38" s="12">
        <v>1.0</v>
      </c>
      <c r="BK38" s="4"/>
      <c r="BL38" s="11" t="s">
        <v>182</v>
      </c>
      <c r="BM38" s="12">
        <f>BM35*AZ35</f>
        <v>0.2460629921</v>
      </c>
      <c r="BN38" s="4"/>
      <c r="BO38" s="4"/>
      <c r="BP38" s="4"/>
      <c r="BQ38" s="4"/>
      <c r="BR38" s="12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95"/>
      <c r="AU39" s="96"/>
      <c r="AV39" s="97"/>
      <c r="AX39" s="98"/>
      <c r="AY39" s="83"/>
      <c r="AZ39" s="4"/>
      <c r="BA39" s="4"/>
      <c r="BB39" s="4"/>
      <c r="BC39" s="4"/>
      <c r="BD39" s="95"/>
      <c r="BE39" s="98"/>
      <c r="BF39" s="4"/>
      <c r="BG39" s="4"/>
      <c r="BH39" s="4"/>
      <c r="BI39" s="34" t="s">
        <v>188</v>
      </c>
      <c r="BJ39" s="12">
        <v>0.868</v>
      </c>
      <c r="BK39" s="4"/>
      <c r="BL39" s="11" t="s">
        <v>189</v>
      </c>
      <c r="BM39" s="12">
        <f>(BM37-AZ35)/2</f>
        <v>0.09842519685</v>
      </c>
      <c r="BN39" s="4"/>
      <c r="BO39" s="4"/>
      <c r="BP39" s="4"/>
      <c r="BQ39" s="4"/>
      <c r="BR39" s="12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95"/>
      <c r="AU40" s="96"/>
      <c r="AV40" s="97"/>
      <c r="AX40" s="98"/>
      <c r="AY40" s="83"/>
      <c r="AZ40" s="4"/>
      <c r="BA40" s="4"/>
      <c r="BB40" s="4"/>
      <c r="BC40" s="4"/>
      <c r="BD40" s="95"/>
      <c r="BE40" s="98"/>
      <c r="BF40" s="4"/>
      <c r="BG40" s="4"/>
      <c r="BH40" s="4"/>
      <c r="BI40" s="42" t="s">
        <v>195</v>
      </c>
      <c r="BJ40" s="20">
        <v>0.9</v>
      </c>
      <c r="BK40" s="4"/>
      <c r="BL40" s="11" t="s">
        <v>196</v>
      </c>
      <c r="BM40" s="4">
        <f>BM39/BM38</f>
        <v>0.4</v>
      </c>
      <c r="BN40" s="108"/>
      <c r="BO40" s="108" t="s">
        <v>197</v>
      </c>
      <c r="BP40" s="9" t="s">
        <v>198</v>
      </c>
      <c r="BQ40" s="4"/>
      <c r="BR40" s="12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95"/>
      <c r="AU41" s="96"/>
      <c r="AV41" s="97"/>
      <c r="AX41" s="98"/>
      <c r="AY41" s="4"/>
      <c r="AZ41" s="4"/>
      <c r="BA41" s="4"/>
      <c r="BB41" s="4"/>
      <c r="BC41" s="4"/>
      <c r="BD41" s="95"/>
      <c r="BE41" s="98"/>
      <c r="BF41" s="4"/>
      <c r="BG41" s="4"/>
      <c r="BH41" s="4"/>
      <c r="BI41" s="4"/>
      <c r="BJ41" s="4"/>
      <c r="BK41" s="4"/>
      <c r="BL41" s="11" t="s">
        <v>197</v>
      </c>
      <c r="BM41" s="4">
        <f>BO41+BO42*(2*BM39/BM37)+BO43*(2*BM39/BM37)^2+BO44*(2*BM39/BM37)^3</f>
        <v>1.409284603</v>
      </c>
      <c r="BN41" s="4" t="s">
        <v>205</v>
      </c>
      <c r="BO41" s="4">
        <f>IF(BM40&gt;=2,1.232+0.832*SQRT(BM40)-0.008*BM40,0.947+1.206*SQRT(BM40)-0.131*BM40)</f>
        <v>1.657341372</v>
      </c>
      <c r="BP41" s="12">
        <f>0.905+0.783*SQRT(BM40)-0.075*BM40</f>
        <v>1.370212682</v>
      </c>
      <c r="BQ41" s="4"/>
      <c r="BR41" s="12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95"/>
      <c r="AU42" s="96"/>
      <c r="AV42" s="97"/>
      <c r="AX42" s="98"/>
      <c r="AY42" s="4"/>
      <c r="AZ42" s="4"/>
      <c r="BA42" s="4"/>
      <c r="BB42" s="4"/>
      <c r="BC42" s="4"/>
      <c r="BD42" s="95"/>
      <c r="BE42" s="98"/>
      <c r="BF42" s="4"/>
      <c r="BG42" s="4"/>
      <c r="BH42" s="4"/>
      <c r="BI42" s="4"/>
      <c r="BJ42" s="4"/>
      <c r="BK42" s="4"/>
      <c r="BL42" s="11" t="s">
        <v>198</v>
      </c>
      <c r="BM42" s="4">
        <f>BP41+BP42*(2*BM39/BM37)+BP43*(2*BM39/BM37)^2+BP44*(2*BM39/BM37)^3</f>
        <v>1.178121574</v>
      </c>
      <c r="BN42" s="4" t="s">
        <v>211</v>
      </c>
      <c r="BO42" s="4">
        <f>IF(BM40&gt;=2,-3.813+0.968*SQRT(BM40)-0.26*BM40,0.022-3.405*SQRT(BM40)+0.915*BM40)</f>
        <v>-1.765511087</v>
      </c>
      <c r="BP42" s="12">
        <f>-0.437-1.969*SQRT(BM40)+0.553*BM40</f>
        <v>-1.461104943</v>
      </c>
      <c r="BQ42" s="4"/>
      <c r="BR42" s="12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95"/>
      <c r="AU43" s="96"/>
      <c r="AV43" s="97"/>
      <c r="AX43" s="98"/>
      <c r="AY43" s="4"/>
      <c r="AZ43" s="4"/>
      <c r="BA43" s="4"/>
      <c r="BB43" s="4"/>
      <c r="BC43" s="4"/>
      <c r="BD43" s="95"/>
      <c r="BE43" s="98"/>
      <c r="BF43" s="4"/>
      <c r="BG43" s="4"/>
      <c r="BH43" s="4"/>
      <c r="BI43" s="4"/>
      <c r="BJ43" s="4"/>
      <c r="BK43" s="4"/>
      <c r="BL43" s="11" t="s">
        <v>217</v>
      </c>
      <c r="BM43" s="4">
        <v>0.55</v>
      </c>
      <c r="BN43" s="4" t="s">
        <v>218</v>
      </c>
      <c r="BO43" s="4">
        <f>IF(BM40&lt;=2,0.869+1.777*SQRT(BM40)-0.555*BM40,7.423-4.868*SQRT(BM40)+0.869*BM40)</f>
        <v>1.77087348</v>
      </c>
      <c r="BP43" s="12">
        <f>1.557+1.073*SQRT(BM40)-0.578*BM40</f>
        <v>2.004424786</v>
      </c>
      <c r="BQ43" s="4"/>
      <c r="BR43" s="12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95"/>
      <c r="AU44" s="96"/>
      <c r="AV44" s="97"/>
      <c r="AX44" s="98"/>
      <c r="AY44" s="4"/>
      <c r="AZ44" s="4"/>
      <c r="BA44" s="4"/>
      <c r="BB44" s="4"/>
      <c r="BC44" s="4"/>
      <c r="BD44" s="95"/>
      <c r="BE44" s="98"/>
      <c r="BF44" s="4"/>
      <c r="BG44" s="4"/>
      <c r="BH44" s="4"/>
      <c r="BI44" s="4"/>
      <c r="BJ44" s="4"/>
      <c r="BK44" s="4"/>
      <c r="BL44" s="11" t="s">
        <v>224</v>
      </c>
      <c r="BM44" s="4">
        <v>0.72</v>
      </c>
      <c r="BN44" s="43" t="s">
        <v>225</v>
      </c>
      <c r="BO44" s="43">
        <f>IF(BM40&lt;=2,-0.81+0.422*SQRT(BM40)-0.26*BM40,-3.839+3.07*SQRT(BM40)-0.6*BM40)</f>
        <v>-0.6471037655</v>
      </c>
      <c r="BP44" s="20">
        <f>-1.061+0.171*SQRT(BM40)+0.086*BM40</f>
        <v>-0.918450104</v>
      </c>
      <c r="BQ44" s="4"/>
      <c r="BR44" s="12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95"/>
      <c r="AU45" s="96"/>
      <c r="AV45" s="97"/>
      <c r="AX45" s="98"/>
      <c r="AY45" s="4"/>
      <c r="AZ45" s="4"/>
      <c r="BA45" s="4"/>
      <c r="BB45" s="4"/>
      <c r="BC45" s="4"/>
      <c r="BD45" s="95"/>
      <c r="BE45" s="98"/>
      <c r="BF45" s="4"/>
      <c r="BG45" s="4"/>
      <c r="BH45" s="4"/>
      <c r="BI45" s="4"/>
      <c r="BJ45" s="4"/>
      <c r="BK45" s="4"/>
      <c r="BL45" s="11" t="s">
        <v>229</v>
      </c>
      <c r="BM45" s="12">
        <f t="shared" ref="BM45:BM46" si="54"> 1+(BM43*(BM41-1))</f>
        <v>1.225106532</v>
      </c>
      <c r="BN45" s="4"/>
      <c r="BO45" s="4"/>
      <c r="BP45" s="4"/>
      <c r="BQ45" s="4"/>
      <c r="BR45" s="12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5"/>
      <c r="AU46" s="126"/>
      <c r="AV46" s="127"/>
      <c r="AW46" s="6"/>
      <c r="AX46" s="7"/>
      <c r="AY46" s="43"/>
      <c r="AZ46" s="43"/>
      <c r="BA46" s="43"/>
      <c r="BB46" s="43"/>
      <c r="BC46" s="43"/>
      <c r="BD46" s="5"/>
      <c r="BE46" s="7"/>
      <c r="BF46" s="43"/>
      <c r="BG46" s="43"/>
      <c r="BH46" s="43"/>
      <c r="BI46" s="43"/>
      <c r="BJ46" s="43"/>
      <c r="BK46" s="43"/>
      <c r="BL46" s="19" t="s">
        <v>234</v>
      </c>
      <c r="BM46" s="20">
        <f t="shared" si="54"/>
        <v>1.128247533</v>
      </c>
      <c r="BN46" s="43"/>
      <c r="BO46" s="43"/>
      <c r="BP46" s="43"/>
      <c r="BQ46" s="43"/>
      <c r="BR46" s="20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70" t="s">
        <v>126</v>
      </c>
      <c r="AU48" s="71"/>
      <c r="AV48" s="72" t="s">
        <v>127</v>
      </c>
      <c r="AW48" s="25"/>
      <c r="AX48" s="22"/>
      <c r="AY48" s="73" t="s">
        <v>128</v>
      </c>
      <c r="AZ48" s="73" t="s">
        <v>129</v>
      </c>
      <c r="BA48" s="73" t="s">
        <v>130</v>
      </c>
      <c r="BB48" s="73" t="s">
        <v>131</v>
      </c>
      <c r="BC48" s="73" t="s">
        <v>132</v>
      </c>
      <c r="BD48" s="70" t="s">
        <v>65</v>
      </c>
      <c r="BE48" s="22"/>
      <c r="BF48" s="73" t="s">
        <v>133</v>
      </c>
      <c r="BG48" s="73" t="s">
        <v>134</v>
      </c>
      <c r="BH48" s="73" t="s">
        <v>135</v>
      </c>
      <c r="BI48" s="70" t="s">
        <v>136</v>
      </c>
      <c r="BJ48" s="22"/>
      <c r="BK48" s="73" t="s">
        <v>137</v>
      </c>
      <c r="BL48" s="70" t="s">
        <v>138</v>
      </c>
      <c r="BM48" s="22"/>
      <c r="BN48" s="73" t="s">
        <v>139</v>
      </c>
      <c r="BO48" s="73" t="s">
        <v>140</v>
      </c>
      <c r="BP48" s="74" t="s">
        <v>141</v>
      </c>
      <c r="BQ48" s="73" t="s">
        <v>142</v>
      </c>
      <c r="BR48" s="75" t="s">
        <v>143</v>
      </c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80">
        <v>4.0</v>
      </c>
      <c r="AU49" s="15"/>
      <c r="AV49" s="81" t="s">
        <v>157</v>
      </c>
      <c r="AW49" s="14"/>
      <c r="AX49" s="82"/>
      <c r="AY49" s="83">
        <v>1.5</v>
      </c>
      <c r="AZ49" s="4">
        <f>BA49/25.4</f>
        <v>0.9842519685</v>
      </c>
      <c r="BA49" s="4">
        <v>25.0</v>
      </c>
      <c r="BB49" s="4">
        <f t="shared" ref="BB49:BC49" si="55">BB35</f>
        <v>14.33001514</v>
      </c>
      <c r="BC49" s="4">
        <f t="shared" si="55"/>
        <v>11.50939392</v>
      </c>
      <c r="BD49" s="84" t="s">
        <v>266</v>
      </c>
      <c r="BE49" s="3"/>
      <c r="BF49" s="4">
        <v>40000.0</v>
      </c>
      <c r="BG49" s="4">
        <v>45000.0</v>
      </c>
      <c r="BH49" s="4">
        <v>14000.0</v>
      </c>
      <c r="BI49" s="30" t="s">
        <v>159</v>
      </c>
      <c r="BJ49" s="12">
        <f>2.7*(BG49/1000)^(-0.265)</f>
        <v>0.9846059321</v>
      </c>
      <c r="BK49" s="4">
        <f>BH49*BJ49*BJ50*BJ51*BJ52*BJ53*BJ54</f>
        <v>9482.925078</v>
      </c>
      <c r="BL49" s="8" t="s">
        <v>160</v>
      </c>
      <c r="BM49" s="9">
        <v>0.25</v>
      </c>
      <c r="BN49" s="4">
        <f>BM59*32*BB49/(PI()*POWER(AZ49,3))</f>
        <v>187.543378</v>
      </c>
      <c r="BO49" s="4">
        <f>BM60*16*BC49/(PI()*POWER(AZ49,3))</f>
        <v>69.35983969</v>
      </c>
      <c r="BP49" s="85">
        <f>1/((BN49/BK49)+(BO49/BG49))</f>
        <v>46.90809009</v>
      </c>
      <c r="BQ49" s="86">
        <f>SQRT(1/((BN49/BK49)^2+(BO49/BF49)^2))</f>
        <v>50.37066438</v>
      </c>
      <c r="BR49" s="87">
        <f>BF49/(BN49+BO49)</f>
        <v>155.7006579</v>
      </c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95"/>
      <c r="AU50" s="96"/>
      <c r="AV50" s="97"/>
      <c r="AX50" s="98"/>
      <c r="AY50" s="83"/>
      <c r="AZ50" s="4"/>
      <c r="BA50" s="4"/>
      <c r="BB50" s="4"/>
      <c r="BC50" s="4"/>
      <c r="BD50" s="95"/>
      <c r="BE50" s="98"/>
      <c r="BF50" s="4"/>
      <c r="BG50" s="4"/>
      <c r="BH50" s="4"/>
      <c r="BI50" s="34" t="s">
        <v>169</v>
      </c>
      <c r="BJ50" s="12">
        <f>IF(AND(AZ49&lt;=2,AZ49&gt;=0.11),POWER(AZ49/0.3,-0.107),0.91*POWER(AZ49,-0.157))</f>
        <v>0.880622142</v>
      </c>
      <c r="BK50" s="4"/>
      <c r="BL50" s="11" t="s">
        <v>164</v>
      </c>
      <c r="BM50" s="12">
        <v>1.2</v>
      </c>
      <c r="BN50" s="4"/>
      <c r="BO50" s="4"/>
      <c r="BP50" s="4"/>
      <c r="BQ50" s="4"/>
      <c r="BR50" s="12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95"/>
      <c r="AU51" s="96"/>
      <c r="AV51" s="97"/>
      <c r="AX51" s="98"/>
      <c r="AY51" s="83"/>
      <c r="AZ51" s="4"/>
      <c r="BA51" s="4"/>
      <c r="BB51" s="4"/>
      <c r="BC51" s="4"/>
      <c r="BD51" s="95"/>
      <c r="BE51" s="98"/>
      <c r="BF51" s="4"/>
      <c r="BG51" s="4"/>
      <c r="BH51" s="4"/>
      <c r="BI51" s="34" t="s">
        <v>175</v>
      </c>
      <c r="BJ51" s="12">
        <v>1.0</v>
      </c>
      <c r="BK51" s="4"/>
      <c r="BL51" s="11" t="s">
        <v>176</v>
      </c>
      <c r="BM51" s="12">
        <f>AZ49*BM50</f>
        <v>1.181102362</v>
      </c>
      <c r="BN51" s="4"/>
      <c r="BO51" s="4"/>
      <c r="BP51" s="4"/>
      <c r="BQ51" s="4"/>
      <c r="BR51" s="12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95"/>
      <c r="AU52" s="96"/>
      <c r="AV52" s="97"/>
      <c r="AX52" s="98"/>
      <c r="AY52" s="83"/>
      <c r="AZ52" s="4"/>
      <c r="BA52" s="4"/>
      <c r="BB52" s="4"/>
      <c r="BC52" s="4"/>
      <c r="BD52" s="95"/>
      <c r="BE52" s="98"/>
      <c r="BF52" s="4"/>
      <c r="BG52" s="4"/>
      <c r="BH52" s="4"/>
      <c r="BI52" s="34" t="s">
        <v>181</v>
      </c>
      <c r="BJ52" s="12">
        <v>1.0</v>
      </c>
      <c r="BK52" s="4"/>
      <c r="BL52" s="11" t="s">
        <v>182</v>
      </c>
      <c r="BM52" s="12">
        <f>BM49*AZ49</f>
        <v>0.2460629921</v>
      </c>
      <c r="BN52" s="4"/>
      <c r="BO52" s="4"/>
      <c r="BP52" s="4"/>
      <c r="BQ52" s="4"/>
      <c r="BR52" s="12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95"/>
      <c r="AU53" s="96"/>
      <c r="AV53" s="97"/>
      <c r="AX53" s="98"/>
      <c r="AY53" s="83"/>
      <c r="AZ53" s="4"/>
      <c r="BA53" s="4"/>
      <c r="BB53" s="4"/>
      <c r="BC53" s="4"/>
      <c r="BD53" s="95"/>
      <c r="BE53" s="98"/>
      <c r="BF53" s="4"/>
      <c r="BG53" s="4"/>
      <c r="BH53" s="4"/>
      <c r="BI53" s="34" t="s">
        <v>188</v>
      </c>
      <c r="BJ53" s="12">
        <v>0.868</v>
      </c>
      <c r="BK53" s="4"/>
      <c r="BL53" s="11" t="s">
        <v>189</v>
      </c>
      <c r="BM53" s="12">
        <f>(BM51-AZ49)/2</f>
        <v>0.09842519685</v>
      </c>
      <c r="BN53" s="4"/>
      <c r="BO53" s="4"/>
      <c r="BP53" s="4"/>
      <c r="BQ53" s="4"/>
      <c r="BR53" s="12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95"/>
      <c r="AU54" s="96"/>
      <c r="AV54" s="97"/>
      <c r="AX54" s="98"/>
      <c r="AY54" s="83"/>
      <c r="AZ54" s="4"/>
      <c r="BA54" s="4"/>
      <c r="BB54" s="4"/>
      <c r="BC54" s="4"/>
      <c r="BD54" s="95"/>
      <c r="BE54" s="98"/>
      <c r="BF54" s="4"/>
      <c r="BG54" s="4"/>
      <c r="BH54" s="4"/>
      <c r="BI54" s="42" t="s">
        <v>195</v>
      </c>
      <c r="BJ54" s="20">
        <v>0.9</v>
      </c>
      <c r="BK54" s="4"/>
      <c r="BL54" s="11" t="s">
        <v>196</v>
      </c>
      <c r="BM54" s="4">
        <f>BM53/BM52</f>
        <v>0.4</v>
      </c>
      <c r="BN54" s="108"/>
      <c r="BO54" s="108" t="s">
        <v>197</v>
      </c>
      <c r="BP54" s="9" t="s">
        <v>198</v>
      </c>
      <c r="BQ54" s="4"/>
      <c r="BR54" s="12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95"/>
      <c r="AU55" s="96"/>
      <c r="AV55" s="97"/>
      <c r="AX55" s="98"/>
      <c r="AY55" s="4"/>
      <c r="AZ55" s="4"/>
      <c r="BA55" s="4"/>
      <c r="BB55" s="4"/>
      <c r="BC55" s="4"/>
      <c r="BD55" s="95"/>
      <c r="BE55" s="98"/>
      <c r="BF55" s="4"/>
      <c r="BG55" s="4"/>
      <c r="BH55" s="4"/>
      <c r="BI55" s="4"/>
      <c r="BJ55" s="4"/>
      <c r="BK55" s="4"/>
      <c r="BL55" s="11" t="s">
        <v>197</v>
      </c>
      <c r="BM55" s="4">
        <f>BO55+BO56*(2*BM53/BM51)+BO57*(2*BM53/BM51)^2+BO58*(2*BM53/BM51)^3</f>
        <v>1.409284603</v>
      </c>
      <c r="BN55" s="4" t="s">
        <v>205</v>
      </c>
      <c r="BO55" s="4">
        <f>IF(BM54&gt;=2,1.232+0.832*SQRT(BM54)-0.008*BM54,0.947+1.206*SQRT(BM54)-0.131*BM54)</f>
        <v>1.657341372</v>
      </c>
      <c r="BP55" s="12">
        <f>0.905+0.783*SQRT(BM54)-0.075*BM54</f>
        <v>1.370212682</v>
      </c>
      <c r="BQ55" s="4"/>
      <c r="BR55" s="12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95"/>
      <c r="AU56" s="96"/>
      <c r="AV56" s="97"/>
      <c r="AX56" s="98"/>
      <c r="AY56" s="4"/>
      <c r="AZ56" s="4"/>
      <c r="BA56" s="4"/>
      <c r="BB56" s="4"/>
      <c r="BC56" s="4"/>
      <c r="BD56" s="95"/>
      <c r="BE56" s="98"/>
      <c r="BF56" s="4"/>
      <c r="BG56" s="4"/>
      <c r="BH56" s="4"/>
      <c r="BI56" s="4"/>
      <c r="BJ56" s="4"/>
      <c r="BK56" s="4"/>
      <c r="BL56" s="11" t="s">
        <v>198</v>
      </c>
      <c r="BM56" s="4">
        <f>BP55+BP56*(2*BM53/BM51)+BP57*(2*BM53/BM51)^2+BP58*(2*BM53/BM51)^3</f>
        <v>1.178121574</v>
      </c>
      <c r="BN56" s="4" t="s">
        <v>211</v>
      </c>
      <c r="BO56" s="4">
        <f>IF(BM54&gt;=2,-3.813+0.968*SQRT(BM54)-0.26*BM54,0.022-3.405*SQRT(BM54)+0.915*BM54)</f>
        <v>-1.765511087</v>
      </c>
      <c r="BP56" s="12">
        <f>-0.437-1.969*SQRT(BM54)+0.553*BM54</f>
        <v>-1.461104943</v>
      </c>
      <c r="BQ56" s="4"/>
      <c r="BR56" s="12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95"/>
      <c r="AU57" s="96"/>
      <c r="AV57" s="97"/>
      <c r="AX57" s="98"/>
      <c r="AY57" s="4"/>
      <c r="AZ57" s="4"/>
      <c r="BA57" s="4"/>
      <c r="BB57" s="4"/>
      <c r="BC57" s="4"/>
      <c r="BD57" s="95"/>
      <c r="BE57" s="98"/>
      <c r="BF57" s="4"/>
      <c r="BG57" s="4"/>
      <c r="BH57" s="4"/>
      <c r="BI57" s="4"/>
      <c r="BJ57" s="4"/>
      <c r="BK57" s="4"/>
      <c r="BL57" s="11" t="s">
        <v>217</v>
      </c>
      <c r="BM57" s="4">
        <v>0.55</v>
      </c>
      <c r="BN57" s="4" t="s">
        <v>218</v>
      </c>
      <c r="BO57" s="4">
        <f>IF(BM54&lt;=2,0.869+1.777*SQRT(BM54)-0.555*BM54,7.423-4.868*SQRT(BM54)+0.869*BM54)</f>
        <v>1.77087348</v>
      </c>
      <c r="BP57" s="12">
        <f>1.557+1.073*SQRT(BM54)-0.578*BM54</f>
        <v>2.004424786</v>
      </c>
      <c r="BQ57" s="4"/>
      <c r="BR57" s="12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95"/>
      <c r="AU58" s="96"/>
      <c r="AV58" s="97"/>
      <c r="AX58" s="98"/>
      <c r="AY58" s="4"/>
      <c r="AZ58" s="4"/>
      <c r="BA58" s="4"/>
      <c r="BB58" s="4"/>
      <c r="BC58" s="4"/>
      <c r="BD58" s="95"/>
      <c r="BE58" s="98"/>
      <c r="BF58" s="4"/>
      <c r="BG58" s="4"/>
      <c r="BH58" s="4"/>
      <c r="BI58" s="4"/>
      <c r="BJ58" s="4"/>
      <c r="BK58" s="4"/>
      <c r="BL58" s="11" t="s">
        <v>224</v>
      </c>
      <c r="BM58" s="4">
        <v>0.72</v>
      </c>
      <c r="BN58" s="43" t="s">
        <v>225</v>
      </c>
      <c r="BO58" s="43">
        <f>IF(BM54&lt;=2,-0.81+0.422*SQRT(BM54)-0.26*BM54,-3.839+3.07*SQRT(BM54)-0.6*BM54)</f>
        <v>-0.6471037655</v>
      </c>
      <c r="BP58" s="20">
        <f>-1.061+0.171*SQRT(BM54)+0.086*BM54</f>
        <v>-0.918450104</v>
      </c>
      <c r="BQ58" s="4"/>
      <c r="BR58" s="12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95"/>
      <c r="AU59" s="96"/>
      <c r="AV59" s="97"/>
      <c r="AX59" s="98"/>
      <c r="AY59" s="4"/>
      <c r="AZ59" s="4"/>
      <c r="BA59" s="4"/>
      <c r="BB59" s="4"/>
      <c r="BC59" s="4"/>
      <c r="BD59" s="95"/>
      <c r="BE59" s="98"/>
      <c r="BF59" s="4"/>
      <c r="BG59" s="4"/>
      <c r="BH59" s="4"/>
      <c r="BI59" s="4"/>
      <c r="BJ59" s="4"/>
      <c r="BK59" s="4"/>
      <c r="BL59" s="11" t="s">
        <v>229</v>
      </c>
      <c r="BM59" s="12">
        <f t="shared" ref="BM59:BM60" si="56"> 1+(BM57*(BM55-1))</f>
        <v>1.225106532</v>
      </c>
      <c r="BN59" s="4"/>
      <c r="BO59" s="4"/>
      <c r="BP59" s="4"/>
      <c r="BQ59" s="4"/>
      <c r="BR59" s="12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5"/>
      <c r="AU60" s="126"/>
      <c r="AV60" s="127"/>
      <c r="AW60" s="6"/>
      <c r="AX60" s="7"/>
      <c r="AY60" s="43"/>
      <c r="AZ60" s="43"/>
      <c r="BA60" s="43"/>
      <c r="BB60" s="43"/>
      <c r="BC60" s="43"/>
      <c r="BD60" s="5"/>
      <c r="BE60" s="7"/>
      <c r="BF60" s="43"/>
      <c r="BG60" s="43"/>
      <c r="BH60" s="43"/>
      <c r="BI60" s="43"/>
      <c r="BJ60" s="43"/>
      <c r="BK60" s="43"/>
      <c r="BL60" s="19" t="s">
        <v>234</v>
      </c>
      <c r="BM60" s="20">
        <f t="shared" si="56"/>
        <v>1.128247533</v>
      </c>
      <c r="BN60" s="43"/>
      <c r="BO60" s="43"/>
      <c r="BP60" s="43"/>
      <c r="BQ60" s="43"/>
      <c r="BR60" s="20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146" t="s">
        <v>126</v>
      </c>
      <c r="AU62" s="71"/>
      <c r="AV62" s="147" t="s">
        <v>127</v>
      </c>
      <c r="AW62" s="25"/>
      <c r="AX62" s="22"/>
      <c r="AY62" s="148" t="s">
        <v>128</v>
      </c>
      <c r="AZ62" s="148" t="s">
        <v>129</v>
      </c>
      <c r="BA62" s="148" t="s">
        <v>130</v>
      </c>
      <c r="BB62" s="148" t="s">
        <v>131</v>
      </c>
      <c r="BC62" s="148" t="s">
        <v>132</v>
      </c>
      <c r="BD62" s="146" t="s">
        <v>65</v>
      </c>
      <c r="BE62" s="22"/>
      <c r="BF62" s="148" t="s">
        <v>133</v>
      </c>
      <c r="BG62" s="148" t="s">
        <v>134</v>
      </c>
      <c r="BH62" s="148" t="s">
        <v>135</v>
      </c>
      <c r="BI62" s="146" t="s">
        <v>136</v>
      </c>
      <c r="BJ62" s="22"/>
      <c r="BK62" s="148" t="s">
        <v>137</v>
      </c>
      <c r="BL62" s="146" t="s">
        <v>138</v>
      </c>
      <c r="BM62" s="22"/>
      <c r="BN62" s="148" t="s">
        <v>139</v>
      </c>
      <c r="BO62" s="148" t="s">
        <v>140</v>
      </c>
      <c r="BP62" s="149" t="s">
        <v>141</v>
      </c>
      <c r="BQ62" s="148" t="s">
        <v>142</v>
      </c>
      <c r="BR62" s="150" t="s">
        <v>143</v>
      </c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80" t="s">
        <v>267</v>
      </c>
      <c r="AU63" s="15"/>
      <c r="AV63" s="81" t="s">
        <v>268</v>
      </c>
      <c r="AW63" s="14"/>
      <c r="AX63" s="82"/>
      <c r="AY63" s="83">
        <v>1.5</v>
      </c>
      <c r="AZ63" s="4">
        <f>BA63/25.4</f>
        <v>0.7874015748</v>
      </c>
      <c r="BA63" s="4">
        <f>BW9*2000</f>
        <v>20</v>
      </c>
      <c r="BB63" s="4">
        <v>0.0</v>
      </c>
      <c r="BC63" s="4">
        <f>BC49</f>
        <v>11.50939392</v>
      </c>
      <c r="BD63" s="84" t="s">
        <v>265</v>
      </c>
      <c r="BE63" s="3"/>
      <c r="BF63" s="4">
        <v>6000.0</v>
      </c>
      <c r="BG63" s="4">
        <v>16000.0</v>
      </c>
      <c r="BH63" s="4">
        <v>7000.0</v>
      </c>
      <c r="BI63" s="30" t="s">
        <v>159</v>
      </c>
      <c r="BJ63" s="12">
        <f>2.7*(BG63/1000)^(-0.265)</f>
        <v>1.295006561</v>
      </c>
      <c r="BK63" s="4">
        <f>BH63*BJ63*BJ64*BJ65*BJ66*BJ67*BJ68</f>
        <v>6386.916167</v>
      </c>
      <c r="BL63" s="8" t="s">
        <v>160</v>
      </c>
      <c r="BM63" s="9">
        <f>BZ17</f>
        <v>0.07</v>
      </c>
      <c r="BN63" s="4">
        <f>BM73*32*BB63/(PI()*POWER(AZ63,3))</f>
        <v>0</v>
      </c>
      <c r="BO63" s="4">
        <f>BM74*16*BC63/(PI()*POWER(AZ63,3))</f>
        <v>161.062673</v>
      </c>
      <c r="BP63" s="85">
        <f>1/((BN63/BK63)+(BO63/BG63))</f>
        <v>99.34021152</v>
      </c>
      <c r="BQ63" s="86">
        <f>SQRT(1/((BN63/BK63)^2+(BO63/BF63)^2))</f>
        <v>37.25257932</v>
      </c>
      <c r="BR63" s="87">
        <f>BF63/(BN63+BO63)</f>
        <v>37.25257932</v>
      </c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95"/>
      <c r="AU64" s="96"/>
      <c r="AV64" s="97"/>
      <c r="AX64" s="98"/>
      <c r="AY64" s="83"/>
      <c r="AZ64" s="4"/>
      <c r="BA64" s="4"/>
      <c r="BB64" s="4"/>
      <c r="BC64" s="4"/>
      <c r="BD64" s="95"/>
      <c r="BE64" s="98"/>
      <c r="BF64" s="4"/>
      <c r="BG64" s="4"/>
      <c r="BH64" s="4"/>
      <c r="BI64" s="34" t="s">
        <v>169</v>
      </c>
      <c r="BJ64" s="12">
        <f>IF(AND(AZ63&lt;=2,AZ63&gt;=0.11),POWER(AZ63/0.3,-0.107),0.91*POWER(AZ63,-0.157))</f>
        <v>0.9019012159</v>
      </c>
      <c r="BK64" s="4"/>
      <c r="BL64" s="11" t="s">
        <v>164</v>
      </c>
      <c r="BM64" s="12">
        <f>BY9</f>
        <v>1.25</v>
      </c>
      <c r="BN64" s="4"/>
      <c r="BO64" s="4"/>
      <c r="BP64" s="4"/>
      <c r="BQ64" s="4"/>
      <c r="BR64" s="12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95"/>
      <c r="AU65" s="96"/>
      <c r="AV65" s="97"/>
      <c r="AX65" s="98"/>
      <c r="AY65" s="83"/>
      <c r="AZ65" s="4"/>
      <c r="BA65" s="4"/>
      <c r="BB65" s="4"/>
      <c r="BC65" s="4"/>
      <c r="BD65" s="95"/>
      <c r="BE65" s="98"/>
      <c r="BF65" s="4"/>
      <c r="BG65" s="4"/>
      <c r="BH65" s="4"/>
      <c r="BI65" s="34" t="s">
        <v>175</v>
      </c>
      <c r="BJ65" s="12">
        <v>1.0</v>
      </c>
      <c r="BK65" s="4"/>
      <c r="BL65" s="11" t="s">
        <v>176</v>
      </c>
      <c r="BM65" s="12">
        <f>AZ63*BM64</f>
        <v>0.9842519685</v>
      </c>
      <c r="BN65" s="4"/>
      <c r="BO65" s="4"/>
      <c r="BP65" s="4"/>
      <c r="BQ65" s="4"/>
      <c r="BR65" s="12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95"/>
      <c r="AU66" s="96"/>
      <c r="AV66" s="97"/>
      <c r="AX66" s="98"/>
      <c r="AY66" s="83"/>
      <c r="AZ66" s="4"/>
      <c r="BA66" s="4"/>
      <c r="BB66" s="4"/>
      <c r="BC66" s="4"/>
      <c r="BD66" s="95"/>
      <c r="BE66" s="98"/>
      <c r="BF66" s="4"/>
      <c r="BG66" s="4"/>
      <c r="BH66" s="4"/>
      <c r="BI66" s="34" t="s">
        <v>181</v>
      </c>
      <c r="BJ66" s="12">
        <v>1.0</v>
      </c>
      <c r="BK66" s="4"/>
      <c r="BL66" s="11" t="s">
        <v>182</v>
      </c>
      <c r="BM66" s="12">
        <f>BM63*AZ63</f>
        <v>0.05511811024</v>
      </c>
      <c r="BN66" s="4"/>
      <c r="BO66" s="4"/>
      <c r="BP66" s="4"/>
      <c r="BQ66" s="4"/>
      <c r="BR66" s="12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95"/>
      <c r="AU67" s="96"/>
      <c r="AV67" s="97"/>
      <c r="AX67" s="98"/>
      <c r="AY67" s="83"/>
      <c r="AZ67" s="4"/>
      <c r="BA67" s="4"/>
      <c r="BB67" s="4"/>
      <c r="BC67" s="4"/>
      <c r="BD67" s="95"/>
      <c r="BE67" s="98"/>
      <c r="BF67" s="4"/>
      <c r="BG67" s="4"/>
      <c r="BH67" s="4"/>
      <c r="BI67" s="34" t="s">
        <v>188</v>
      </c>
      <c r="BJ67" s="12">
        <v>0.868</v>
      </c>
      <c r="BK67" s="4"/>
      <c r="BL67" s="11" t="s">
        <v>189</v>
      </c>
      <c r="BM67" s="12">
        <f>(BM65-AZ63)/2</f>
        <v>0.09842519685</v>
      </c>
      <c r="BN67" s="4"/>
      <c r="BO67" s="4"/>
      <c r="BP67" s="4"/>
      <c r="BQ67" s="4"/>
      <c r="BR67" s="12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95"/>
      <c r="AU68" s="96"/>
      <c r="AV68" s="97"/>
      <c r="AX68" s="98"/>
      <c r="AY68" s="83"/>
      <c r="AZ68" s="4"/>
      <c r="BA68" s="4"/>
      <c r="BB68" s="4"/>
      <c r="BC68" s="4"/>
      <c r="BD68" s="95"/>
      <c r="BE68" s="98"/>
      <c r="BF68" s="4"/>
      <c r="BG68" s="4"/>
      <c r="BH68" s="4"/>
      <c r="BI68" s="42" t="s">
        <v>195</v>
      </c>
      <c r="BJ68" s="20">
        <v>0.9</v>
      </c>
      <c r="BK68" s="4"/>
      <c r="BL68" s="11" t="s">
        <v>196</v>
      </c>
      <c r="BM68" s="4">
        <f>BM67/BM66</f>
        <v>1.785714286</v>
      </c>
      <c r="BN68" s="108"/>
      <c r="BO68" s="108" t="s">
        <v>197</v>
      </c>
      <c r="BP68" s="9" t="s">
        <v>198</v>
      </c>
      <c r="BQ68" s="4"/>
      <c r="BR68" s="12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95"/>
      <c r="AU69" s="96"/>
      <c r="AV69" s="97"/>
      <c r="AX69" s="98"/>
      <c r="AY69" s="4"/>
      <c r="AZ69" s="4"/>
      <c r="BA69" s="4"/>
      <c r="BB69" s="4"/>
      <c r="BC69" s="4"/>
      <c r="BD69" s="95"/>
      <c r="BE69" s="98"/>
      <c r="BF69" s="4"/>
      <c r="BG69" s="4"/>
      <c r="BH69" s="4"/>
      <c r="BI69" s="4"/>
      <c r="BJ69" s="4"/>
      <c r="BK69" s="4"/>
      <c r="BL69" s="11" t="s">
        <v>197</v>
      </c>
      <c r="BM69" s="4">
        <f>BO69+BO70*(2*BM67/BM65)+BO71*(2*BM67/BM65)^2+BO72*(2*BM67/BM65)^3</f>
        <v>1.830236775</v>
      </c>
      <c r="BN69" s="4" t="s">
        <v>205</v>
      </c>
      <c r="BO69" s="4">
        <f>IF(BM68&gt;=2,1.232+0.832*SQRT(BM68)-0.008*BM68,0.947+1.206*SQRT(BM68)-0.131*BM68)</f>
        <v>2.324656717</v>
      </c>
      <c r="BP69" s="12">
        <f>0.905+0.783*SQRT(BM68)-0.075*BM68</f>
        <v>1.817399191</v>
      </c>
      <c r="BQ69" s="4"/>
      <c r="BR69" s="12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95"/>
      <c r="AU70" s="96"/>
      <c r="AV70" s="97"/>
      <c r="AX70" s="98"/>
      <c r="AY70" s="4"/>
      <c r="AZ70" s="4"/>
      <c r="BA70" s="4"/>
      <c r="BB70" s="4"/>
      <c r="BC70" s="4"/>
      <c r="BD70" s="95"/>
      <c r="BE70" s="98"/>
      <c r="BF70" s="4"/>
      <c r="BG70" s="4"/>
      <c r="BH70" s="4"/>
      <c r="BI70" s="4"/>
      <c r="BJ70" s="4"/>
      <c r="BK70" s="4"/>
      <c r="BL70" s="11" t="s">
        <v>198</v>
      </c>
      <c r="BM70" s="4">
        <f>BP69+BP70*(2*BM67/BM65)+BP71*(2*BM67/BM65)^2+BP72*(2*BM67/BM65)^3</f>
        <v>1.474178992</v>
      </c>
      <c r="BN70" s="4" t="s">
        <v>211</v>
      </c>
      <c r="BO70" s="4">
        <f>IF(BM68&gt;=2,-3.813+0.968*SQRT(BM68)-0.26*BM68,0.022-3.405*SQRT(BM68)+0.915*BM68)</f>
        <v>-2.894194072</v>
      </c>
      <c r="BP70" s="12">
        <f>-0.437-1.969*SQRT(BM68)+0.553*BM68</f>
        <v>-2.080686927</v>
      </c>
      <c r="BQ70" s="4"/>
      <c r="BR70" s="12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95"/>
      <c r="AU71" s="96"/>
      <c r="AV71" s="97"/>
      <c r="AX71" s="98"/>
      <c r="AY71" s="4"/>
      <c r="AZ71" s="4"/>
      <c r="BA71" s="4"/>
      <c r="BB71" s="4"/>
      <c r="BC71" s="4"/>
      <c r="BD71" s="95"/>
      <c r="BE71" s="98"/>
      <c r="BF71" s="4"/>
      <c r="BG71" s="4"/>
      <c r="BH71" s="4"/>
      <c r="BI71" s="4"/>
      <c r="BJ71" s="4"/>
      <c r="BK71" s="4"/>
      <c r="BL71" s="11" t="s">
        <v>217</v>
      </c>
      <c r="BM71" s="4">
        <v>0.55</v>
      </c>
      <c r="BN71" s="4" t="s">
        <v>218</v>
      </c>
      <c r="BO71" s="4">
        <f>IF(BM68&lt;=2,0.869+1.777*SQRT(BM68)-0.555*BM68,7.423-4.868*SQRT(BM68)+0.869*BM68)</f>
        <v>2.252544706</v>
      </c>
      <c r="BP71" s="12">
        <f>1.557+1.073*SQRT(BM68)-0.578*BM68</f>
        <v>1.958713706</v>
      </c>
      <c r="BQ71" s="4"/>
      <c r="BR71" s="12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95"/>
      <c r="AU72" s="96"/>
      <c r="AV72" s="97"/>
      <c r="AX72" s="98"/>
      <c r="AY72" s="4"/>
      <c r="AZ72" s="4"/>
      <c r="BA72" s="4"/>
      <c r="BB72" s="4"/>
      <c r="BC72" s="4"/>
      <c r="BD72" s="95"/>
      <c r="BE72" s="98"/>
      <c r="BF72" s="4"/>
      <c r="BG72" s="4"/>
      <c r="BH72" s="4"/>
      <c r="BI72" s="4"/>
      <c r="BJ72" s="4"/>
      <c r="BK72" s="4"/>
      <c r="BL72" s="11" t="s">
        <v>224</v>
      </c>
      <c r="BM72" s="4">
        <v>0.72</v>
      </c>
      <c r="BN72" s="43" t="s">
        <v>225</v>
      </c>
      <c r="BO72" s="43">
        <f>IF(BM68&lt;=2,-0.81+0.422*SQRT(BM68)-0.26*BM68,-3.839+3.07*SQRT(BM68)-0.6*BM68)</f>
        <v>-0.7103644939</v>
      </c>
      <c r="BP72" s="20">
        <f>-1.061+0.171*SQRT(BM68)+0.086*BM68</f>
        <v>-0.6789202096</v>
      </c>
      <c r="BQ72" s="4"/>
      <c r="BR72" s="12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95"/>
      <c r="AU73" s="96"/>
      <c r="AV73" s="97"/>
      <c r="AX73" s="98"/>
      <c r="AY73" s="4"/>
      <c r="AZ73" s="4"/>
      <c r="BA73" s="4"/>
      <c r="BB73" s="4"/>
      <c r="BC73" s="4"/>
      <c r="BD73" s="95"/>
      <c r="BE73" s="98"/>
      <c r="BF73" s="4"/>
      <c r="BG73" s="4"/>
      <c r="BH73" s="4"/>
      <c r="BI73" s="4"/>
      <c r="BJ73" s="4"/>
      <c r="BK73" s="4"/>
      <c r="BL73" s="11" t="s">
        <v>229</v>
      </c>
      <c r="BM73" s="12">
        <f t="shared" ref="BM73:BM74" si="57"> 1+(BM71*(BM69-1))</f>
        <v>1.456630226</v>
      </c>
      <c r="BN73" s="4"/>
      <c r="BO73" s="4"/>
      <c r="BP73" s="4"/>
      <c r="BQ73" s="4"/>
      <c r="BR73" s="12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5"/>
      <c r="AU74" s="126"/>
      <c r="AV74" s="127"/>
      <c r="AW74" s="6"/>
      <c r="AX74" s="7"/>
      <c r="AY74" s="43"/>
      <c r="AZ74" s="43"/>
      <c r="BA74" s="43"/>
      <c r="BB74" s="43"/>
      <c r="BC74" s="43"/>
      <c r="BD74" s="5"/>
      <c r="BE74" s="7"/>
      <c r="BF74" s="43"/>
      <c r="BG74" s="43"/>
      <c r="BH74" s="43"/>
      <c r="BI74" s="43"/>
      <c r="BJ74" s="43"/>
      <c r="BK74" s="43"/>
      <c r="BL74" s="19" t="s">
        <v>234</v>
      </c>
      <c r="BM74" s="20">
        <f t="shared" si="57"/>
        <v>1.341408874</v>
      </c>
      <c r="BN74" s="43"/>
      <c r="BO74" s="43"/>
      <c r="BP74" s="43"/>
      <c r="BQ74" s="43"/>
      <c r="BR74" s="20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146" t="s">
        <v>126</v>
      </c>
      <c r="AU75" s="71"/>
      <c r="AV75" s="147" t="s">
        <v>127</v>
      </c>
      <c r="AW75" s="25"/>
      <c r="AX75" s="22"/>
      <c r="AY75" s="148" t="s">
        <v>128</v>
      </c>
      <c r="AZ75" s="148" t="s">
        <v>129</v>
      </c>
      <c r="BA75" s="148" t="s">
        <v>130</v>
      </c>
      <c r="BB75" s="148" t="s">
        <v>131</v>
      </c>
      <c r="BC75" s="148" t="s">
        <v>132</v>
      </c>
      <c r="BD75" s="146" t="s">
        <v>65</v>
      </c>
      <c r="BE75" s="22"/>
      <c r="BF75" s="148" t="s">
        <v>133</v>
      </c>
      <c r="BG75" s="148" t="s">
        <v>134</v>
      </c>
      <c r="BH75" s="148" t="s">
        <v>135</v>
      </c>
      <c r="BI75" s="146" t="s">
        <v>136</v>
      </c>
      <c r="BJ75" s="22"/>
      <c r="BK75" s="148" t="s">
        <v>137</v>
      </c>
      <c r="BL75" s="146" t="s">
        <v>138</v>
      </c>
      <c r="BM75" s="22"/>
      <c r="BN75" s="148" t="s">
        <v>139</v>
      </c>
      <c r="BO75" s="148" t="s">
        <v>140</v>
      </c>
      <c r="BP75" s="149" t="s">
        <v>141</v>
      </c>
      <c r="BQ75" s="148" t="s">
        <v>142</v>
      </c>
      <c r="BR75" s="150" t="s">
        <v>143</v>
      </c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80" t="s">
        <v>267</v>
      </c>
      <c r="AU76" s="15"/>
      <c r="AV76" s="81" t="s">
        <v>269</v>
      </c>
      <c r="AW76" s="14"/>
      <c r="AX76" s="82"/>
      <c r="AY76" s="83">
        <v>1.5</v>
      </c>
      <c r="AZ76" s="4">
        <f>BA76/25.4</f>
        <v>0.9842519685</v>
      </c>
      <c r="BA76" s="4">
        <f>BW11*2000</f>
        <v>25</v>
      </c>
      <c r="BB76" s="4">
        <v>14.33001514268577</v>
      </c>
      <c r="BC76" s="4">
        <v>11.509393916753643</v>
      </c>
      <c r="BD76" s="84" t="s">
        <v>265</v>
      </c>
      <c r="BE76" s="3"/>
      <c r="BF76" s="4">
        <v>6000.0</v>
      </c>
      <c r="BG76" s="4">
        <v>16000.0</v>
      </c>
      <c r="BH76" s="4">
        <v>7000.0</v>
      </c>
      <c r="BI76" s="30" t="s">
        <v>159</v>
      </c>
      <c r="BJ76" s="12">
        <f>2.7*(BG76/1000)^(-0.265)</f>
        <v>1.295006561</v>
      </c>
      <c r="BK76" s="4">
        <f>BH76*BJ76*BJ77*BJ78*BJ79*BJ80*BJ81</f>
        <v>6236.225983</v>
      </c>
      <c r="BL76" s="8" t="s">
        <v>160</v>
      </c>
      <c r="BM76" s="9">
        <f>BZ18</f>
        <v>0.02</v>
      </c>
      <c r="BN76" s="4">
        <f>BM86*32*BB76/(PI()*POWER(AZ76,3))</f>
        <v>299.2587236</v>
      </c>
      <c r="BO76" s="4">
        <f>BM87*16*BC76/(PI()*POWER(AZ76,3))</f>
        <v>109.2752759</v>
      </c>
      <c r="BP76" s="85">
        <f>1/((BN76/BK76)+(BO76/BG76))</f>
        <v>18.24256371</v>
      </c>
      <c r="BQ76" s="86">
        <f>SQRT(1/((BN76/BK76)^2+(BO76/BF76)^2))</f>
        <v>19.48291342</v>
      </c>
      <c r="BR76" s="87">
        <f>BF76/(BN76+BO76)</f>
        <v>14.68666013</v>
      </c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95"/>
      <c r="AU77" s="96"/>
      <c r="AV77" s="97"/>
      <c r="AX77" s="98"/>
      <c r="AY77" s="83"/>
      <c r="AZ77" s="4"/>
      <c r="BA77" s="4"/>
      <c r="BB77" s="4"/>
      <c r="BC77" s="4"/>
      <c r="BD77" s="95"/>
      <c r="BE77" s="98"/>
      <c r="BF77" s="4"/>
      <c r="BG77" s="4"/>
      <c r="BH77" s="4"/>
      <c r="BI77" s="34" t="s">
        <v>169</v>
      </c>
      <c r="BJ77" s="12">
        <f>IF(AND(AZ76&lt;=2,AZ76&gt;=0.11),POWER(AZ76/0.3,-0.107),0.91*POWER(AZ76,-0.157))</f>
        <v>0.880622142</v>
      </c>
      <c r="BK77" s="4"/>
      <c r="BL77" s="11" t="s">
        <v>164</v>
      </c>
      <c r="BM77" s="12">
        <f>BY11</f>
        <v>1.28</v>
      </c>
      <c r="BN77" s="4"/>
      <c r="BO77" s="4"/>
      <c r="BP77" s="4"/>
      <c r="BQ77" s="4"/>
      <c r="BR77" s="12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95"/>
      <c r="AU78" s="96"/>
      <c r="AV78" s="97"/>
      <c r="AX78" s="98"/>
      <c r="AY78" s="83"/>
      <c r="AZ78" s="4"/>
      <c r="BA78" s="4"/>
      <c r="BB78" s="4"/>
      <c r="BC78" s="4"/>
      <c r="BD78" s="95"/>
      <c r="BE78" s="98"/>
      <c r="BF78" s="4"/>
      <c r="BG78" s="4"/>
      <c r="BH78" s="4"/>
      <c r="BI78" s="34" t="s">
        <v>175</v>
      </c>
      <c r="BJ78" s="12">
        <v>1.0</v>
      </c>
      <c r="BK78" s="4"/>
      <c r="BL78" s="11" t="s">
        <v>176</v>
      </c>
      <c r="BM78" s="12">
        <f>AZ76*BM77</f>
        <v>1.25984252</v>
      </c>
      <c r="BN78" s="4"/>
      <c r="BO78" s="4"/>
      <c r="BP78" s="4"/>
      <c r="BQ78" s="4"/>
      <c r="BR78" s="12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95"/>
      <c r="AU79" s="96"/>
      <c r="AV79" s="97"/>
      <c r="AX79" s="98"/>
      <c r="AY79" s="83"/>
      <c r="AZ79" s="4"/>
      <c r="BA79" s="4"/>
      <c r="BB79" s="4"/>
      <c r="BC79" s="4"/>
      <c r="BD79" s="95"/>
      <c r="BE79" s="98"/>
      <c r="BF79" s="4"/>
      <c r="BG79" s="4"/>
      <c r="BH79" s="4"/>
      <c r="BI79" s="34" t="s">
        <v>181</v>
      </c>
      <c r="BJ79" s="12">
        <v>1.0</v>
      </c>
      <c r="BK79" s="4"/>
      <c r="BL79" s="11" t="s">
        <v>182</v>
      </c>
      <c r="BM79" s="12">
        <f>BM76*AZ76</f>
        <v>0.01968503937</v>
      </c>
      <c r="BN79" s="4"/>
      <c r="BO79" s="4"/>
      <c r="BP79" s="4"/>
      <c r="BQ79" s="4"/>
      <c r="BR79" s="12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95"/>
      <c r="AU80" s="96"/>
      <c r="AV80" s="97"/>
      <c r="AX80" s="98"/>
      <c r="AY80" s="83"/>
      <c r="AZ80" s="4"/>
      <c r="BA80" s="4"/>
      <c r="BB80" s="4"/>
      <c r="BC80" s="4"/>
      <c r="BD80" s="95"/>
      <c r="BE80" s="98"/>
      <c r="BF80" s="4"/>
      <c r="BG80" s="4"/>
      <c r="BH80" s="4"/>
      <c r="BI80" s="34" t="s">
        <v>188</v>
      </c>
      <c r="BJ80" s="12">
        <v>0.868</v>
      </c>
      <c r="BK80" s="4"/>
      <c r="BL80" s="11" t="s">
        <v>189</v>
      </c>
      <c r="BM80" s="12">
        <f>(BM78-AZ76)/2</f>
        <v>0.1377952756</v>
      </c>
      <c r="BN80" s="4"/>
      <c r="BO80" s="4"/>
      <c r="BP80" s="4"/>
      <c r="BQ80" s="4"/>
      <c r="BR80" s="12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95"/>
      <c r="AU81" s="96"/>
      <c r="AV81" s="97"/>
      <c r="AX81" s="98"/>
      <c r="AY81" s="83"/>
      <c r="AZ81" s="4"/>
      <c r="BA81" s="4"/>
      <c r="BB81" s="4"/>
      <c r="BC81" s="4"/>
      <c r="BD81" s="95"/>
      <c r="BE81" s="98"/>
      <c r="BF81" s="4"/>
      <c r="BG81" s="4"/>
      <c r="BH81" s="4"/>
      <c r="BI81" s="42" t="s">
        <v>195</v>
      </c>
      <c r="BJ81" s="20">
        <v>0.9</v>
      </c>
      <c r="BK81" s="4"/>
      <c r="BL81" s="11" t="s">
        <v>196</v>
      </c>
      <c r="BM81" s="4">
        <f>BM80/BM79</f>
        <v>7</v>
      </c>
      <c r="BN81" s="108"/>
      <c r="BO81" s="108" t="s">
        <v>197</v>
      </c>
      <c r="BP81" s="9" t="s">
        <v>198</v>
      </c>
      <c r="BQ81" s="4"/>
      <c r="BR81" s="12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95"/>
      <c r="AU82" s="96"/>
      <c r="AV82" s="97"/>
      <c r="AX82" s="98"/>
      <c r="AY82" s="4"/>
      <c r="AZ82" s="4"/>
      <c r="BA82" s="4"/>
      <c r="BB82" s="4"/>
      <c r="BC82" s="4"/>
      <c r="BD82" s="95"/>
      <c r="BE82" s="98"/>
      <c r="BF82" s="4"/>
      <c r="BG82" s="4"/>
      <c r="BH82" s="4"/>
      <c r="BI82" s="4"/>
      <c r="BJ82" s="4"/>
      <c r="BK82" s="4"/>
      <c r="BL82" s="11" t="s">
        <v>197</v>
      </c>
      <c r="BM82" s="4">
        <f>BO82+BO83*(2*BM80/BM78)+BO84*(2*BM80/BM78)^2+BO85*(2*BM80/BM78)^3</f>
        <v>2.736135937</v>
      </c>
      <c r="BN82" s="4" t="s">
        <v>205</v>
      </c>
      <c r="BO82" s="4">
        <f>IF(BM81&gt;=2,1.232+0.832*SQRT(BM81)-0.008*BM81,0.947+1.206*SQRT(BM81)-0.131*BM81)</f>
        <v>3.377265091</v>
      </c>
      <c r="BP82" s="12">
        <f>0.905+0.783*SQRT(BM81)-0.075*BM81</f>
        <v>2.451623277</v>
      </c>
      <c r="BQ82" s="4"/>
      <c r="BR82" s="12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95"/>
      <c r="AU83" s="96"/>
      <c r="AV83" s="97"/>
      <c r="AX83" s="98"/>
      <c r="AY83" s="4"/>
      <c r="AZ83" s="4"/>
      <c r="BA83" s="4"/>
      <c r="BB83" s="4"/>
      <c r="BC83" s="4"/>
      <c r="BD83" s="95"/>
      <c r="BE83" s="98"/>
      <c r="BF83" s="4"/>
      <c r="BG83" s="4"/>
      <c r="BH83" s="4"/>
      <c r="BI83" s="4"/>
      <c r="BJ83" s="4"/>
      <c r="BK83" s="4"/>
      <c r="BL83" s="11" t="s">
        <v>198</v>
      </c>
      <c r="BM83" s="4">
        <f>BP82+BP83*(2*BM80/BM78)+BP84*(2*BM80/BM78)^2+BP85*(2*BM80/BM78)^3</f>
        <v>2.079910078</v>
      </c>
      <c r="BN83" s="4" t="s">
        <v>211</v>
      </c>
      <c r="BO83" s="4">
        <f>IF(BM81&gt;=2,-3.813+0.968*SQRT(BM81)-0.26*BM81,0.022-3.405*SQRT(BM81)+0.915*BM81)</f>
        <v>-3.071912731</v>
      </c>
      <c r="BP83" s="12">
        <f>-0.437-1.969*SQRT(BM81)+0.553*BM81</f>
        <v>-1.775484331</v>
      </c>
      <c r="BQ83" s="4"/>
      <c r="BR83" s="12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95"/>
      <c r="AU84" s="96"/>
      <c r="AV84" s="97"/>
      <c r="AX84" s="98"/>
      <c r="AY84" s="4"/>
      <c r="AZ84" s="4"/>
      <c r="BA84" s="4"/>
      <c r="BB84" s="4"/>
      <c r="BC84" s="4"/>
      <c r="BD84" s="95"/>
      <c r="BE84" s="98"/>
      <c r="BF84" s="4"/>
      <c r="BG84" s="4"/>
      <c r="BH84" s="4"/>
      <c r="BI84" s="4"/>
      <c r="BJ84" s="4"/>
      <c r="BK84" s="4"/>
      <c r="BL84" s="11" t="s">
        <v>217</v>
      </c>
      <c r="BM84" s="4">
        <v>0.55</v>
      </c>
      <c r="BN84" s="4" t="s">
        <v>218</v>
      </c>
      <c r="BO84" s="4">
        <f>IF(BM81&lt;=2,0.869+1.777*SQRT(BM81)-0.555*BM81,7.423-4.868*SQRT(BM81)+0.869*BM81)</f>
        <v>0.6264826177</v>
      </c>
      <c r="BP84" s="12">
        <f>1.557+1.073*SQRT(BM81)-0.578*BM81</f>
        <v>0.3498911568</v>
      </c>
      <c r="BQ84" s="4"/>
      <c r="BR84" s="12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95"/>
      <c r="AU85" s="96"/>
      <c r="AV85" s="97"/>
      <c r="AX85" s="98"/>
      <c r="AY85" s="4"/>
      <c r="AZ85" s="4"/>
      <c r="BA85" s="4"/>
      <c r="BB85" s="4"/>
      <c r="BC85" s="4"/>
      <c r="BD85" s="95"/>
      <c r="BE85" s="98"/>
      <c r="BF85" s="4"/>
      <c r="BG85" s="4"/>
      <c r="BH85" s="4"/>
      <c r="BI85" s="4"/>
      <c r="BJ85" s="4"/>
      <c r="BK85" s="4"/>
      <c r="BL85" s="11" t="s">
        <v>224</v>
      </c>
      <c r="BM85" s="4">
        <v>0.72</v>
      </c>
      <c r="BN85" s="43" t="s">
        <v>225</v>
      </c>
      <c r="BO85" s="43">
        <f>IF(BM81&lt;=2,-0.81+0.422*SQRT(BM81)-0.26*BM81,-3.839+3.07*SQRT(BM81)-0.6*BM81)</f>
        <v>0.08345652497</v>
      </c>
      <c r="BP85" s="20">
        <f>-1.061+0.171*SQRT(BM81)+0.086*BM81</f>
        <v>-0.006576525808</v>
      </c>
      <c r="BQ85" s="4"/>
      <c r="BR85" s="12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95"/>
      <c r="AU86" s="96"/>
      <c r="AV86" s="97"/>
      <c r="AX86" s="98"/>
      <c r="AY86" s="4"/>
      <c r="AZ86" s="4"/>
      <c r="BA86" s="4"/>
      <c r="BB86" s="4"/>
      <c r="BC86" s="4"/>
      <c r="BD86" s="95"/>
      <c r="BE86" s="98"/>
      <c r="BF86" s="4"/>
      <c r="BG86" s="4"/>
      <c r="BH86" s="4"/>
      <c r="BI86" s="4"/>
      <c r="BJ86" s="4"/>
      <c r="BK86" s="4"/>
      <c r="BL86" s="11" t="s">
        <v>229</v>
      </c>
      <c r="BM86" s="12">
        <f t="shared" ref="BM86:BM87" si="58"> 1+(BM84*(BM82-1))</f>
        <v>1.954874765</v>
      </c>
      <c r="BN86" s="4"/>
      <c r="BO86" s="4"/>
      <c r="BP86" s="4"/>
      <c r="BQ86" s="4"/>
      <c r="BR86" s="12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5"/>
      <c r="AU87" s="126"/>
      <c r="AV87" s="127"/>
      <c r="AW87" s="6"/>
      <c r="AX87" s="7"/>
      <c r="AY87" s="43"/>
      <c r="AZ87" s="43"/>
      <c r="BA87" s="43"/>
      <c r="BB87" s="43"/>
      <c r="BC87" s="43"/>
      <c r="BD87" s="5"/>
      <c r="BE87" s="7"/>
      <c r="BF87" s="43"/>
      <c r="BG87" s="43"/>
      <c r="BH87" s="43"/>
      <c r="BI87" s="43"/>
      <c r="BJ87" s="43"/>
      <c r="BK87" s="43"/>
      <c r="BL87" s="19" t="s">
        <v>234</v>
      </c>
      <c r="BM87" s="20">
        <f t="shared" si="58"/>
        <v>1.777535256</v>
      </c>
      <c r="BN87" s="43"/>
      <c r="BO87" s="43"/>
      <c r="BP87" s="43"/>
      <c r="BQ87" s="43"/>
      <c r="BR87" s="20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146" t="s">
        <v>126</v>
      </c>
      <c r="AU88" s="71"/>
      <c r="AV88" s="147" t="s">
        <v>127</v>
      </c>
      <c r="AW88" s="25"/>
      <c r="AX88" s="22"/>
      <c r="AY88" s="148" t="s">
        <v>128</v>
      </c>
      <c r="AZ88" s="148" t="s">
        <v>129</v>
      </c>
      <c r="BA88" s="148" t="s">
        <v>130</v>
      </c>
      <c r="BB88" s="148" t="s">
        <v>131</v>
      </c>
      <c r="BC88" s="148" t="s">
        <v>132</v>
      </c>
      <c r="BD88" s="146" t="s">
        <v>65</v>
      </c>
      <c r="BE88" s="22"/>
      <c r="BF88" s="148" t="s">
        <v>133</v>
      </c>
      <c r="BG88" s="148" t="s">
        <v>134</v>
      </c>
      <c r="BH88" s="148" t="s">
        <v>135</v>
      </c>
      <c r="BI88" s="146" t="s">
        <v>136</v>
      </c>
      <c r="BJ88" s="22"/>
      <c r="BK88" s="148" t="s">
        <v>137</v>
      </c>
      <c r="BL88" s="146" t="s">
        <v>138</v>
      </c>
      <c r="BM88" s="22"/>
      <c r="BN88" s="148" t="s">
        <v>139</v>
      </c>
      <c r="BO88" s="148" t="s">
        <v>140</v>
      </c>
      <c r="BP88" s="149" t="s">
        <v>141</v>
      </c>
      <c r="BQ88" s="148" t="s">
        <v>142</v>
      </c>
      <c r="BR88" s="150" t="s">
        <v>143</v>
      </c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80" t="s">
        <v>267</v>
      </c>
      <c r="AU89" s="15"/>
      <c r="AV89" s="81" t="s">
        <v>270</v>
      </c>
      <c r="AW89" s="14"/>
      <c r="AX89" s="82"/>
      <c r="AY89" s="83">
        <v>1.5</v>
      </c>
      <c r="AZ89" s="4">
        <f>BA89/25.4</f>
        <v>0.9842519685</v>
      </c>
      <c r="BA89" s="4">
        <f>BW15*2000</f>
        <v>25</v>
      </c>
      <c r="BB89" s="4">
        <v>7.71649864660555</v>
      </c>
      <c r="BC89" s="4">
        <v>11.509393916753643</v>
      </c>
      <c r="BD89" s="84" t="s">
        <v>265</v>
      </c>
      <c r="BE89" s="3"/>
      <c r="BF89" s="4">
        <v>6000.0</v>
      </c>
      <c r="BG89" s="4">
        <v>16000.0</v>
      </c>
      <c r="BH89" s="4">
        <v>7000.0</v>
      </c>
      <c r="BI89" s="30" t="s">
        <v>159</v>
      </c>
      <c r="BJ89" s="12">
        <f>2.7*(BG89/1000)^(-0.265)</f>
        <v>1.295006561</v>
      </c>
      <c r="BK89" s="4">
        <f>BH89*BJ89*BJ90*BJ91*BJ92*BJ93*BJ94</f>
        <v>6236.225983</v>
      </c>
      <c r="BL89" s="8" t="s">
        <v>160</v>
      </c>
      <c r="BM89" s="9">
        <f>BZ18</f>
        <v>0.02</v>
      </c>
      <c r="BN89" s="4">
        <f>BM99*32*BB89/(PI()*POWER(AZ89,3))</f>
        <v>161.146343</v>
      </c>
      <c r="BO89" s="4">
        <f>BM100*16*BC89/(PI()*POWER(AZ89,3))</f>
        <v>109.2752759</v>
      </c>
      <c r="BP89" s="85">
        <f>1/((BN89/BK89)+(BO89/BG89))</f>
        <v>30.60905807</v>
      </c>
      <c r="BQ89" s="86">
        <f>SQRT(1/((BN89/BK89)^2+(BO89/BF89)^2))</f>
        <v>31.63193237</v>
      </c>
      <c r="BR89" s="87">
        <f>BF89/(BN89+BO89)</f>
        <v>22.18757518</v>
      </c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95"/>
      <c r="AU90" s="96"/>
      <c r="AV90" s="97"/>
      <c r="AX90" s="98"/>
      <c r="AY90" s="83"/>
      <c r="AZ90" s="4"/>
      <c r="BA90" s="4"/>
      <c r="BB90" s="4"/>
      <c r="BC90" s="4"/>
      <c r="BD90" s="95"/>
      <c r="BE90" s="98"/>
      <c r="BF90" s="4"/>
      <c r="BG90" s="4"/>
      <c r="BH90" s="4"/>
      <c r="BI90" s="34" t="s">
        <v>169</v>
      </c>
      <c r="BJ90" s="12">
        <f>IF(AND(AZ89&lt;=2,AZ89&gt;=0.11),POWER(AZ89/0.3,-0.107),0.91*POWER(AZ89,-0.157))</f>
        <v>0.880622142</v>
      </c>
      <c r="BK90" s="4"/>
      <c r="BL90" s="11" t="s">
        <v>164</v>
      </c>
      <c r="BM90" s="12">
        <f>BY13</f>
        <v>1.28</v>
      </c>
      <c r="BN90" s="4"/>
      <c r="BO90" s="4"/>
      <c r="BP90" s="4"/>
      <c r="BQ90" s="4"/>
      <c r="BR90" s="12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95"/>
      <c r="AU91" s="96"/>
      <c r="AV91" s="97"/>
      <c r="AX91" s="98"/>
      <c r="AY91" s="83"/>
      <c r="AZ91" s="4"/>
      <c r="BA91" s="4"/>
      <c r="BB91" s="4"/>
      <c r="BC91" s="4"/>
      <c r="BD91" s="95"/>
      <c r="BE91" s="98"/>
      <c r="BF91" s="4"/>
      <c r="BG91" s="4"/>
      <c r="BH91" s="4"/>
      <c r="BI91" s="34" t="s">
        <v>175</v>
      </c>
      <c r="BJ91" s="12">
        <v>1.0</v>
      </c>
      <c r="BK91" s="4"/>
      <c r="BL91" s="11" t="s">
        <v>176</v>
      </c>
      <c r="BM91" s="12">
        <f>AZ89*BM90</f>
        <v>1.25984252</v>
      </c>
      <c r="BN91" s="4"/>
      <c r="BO91" s="4"/>
      <c r="BP91" s="4"/>
      <c r="BQ91" s="4"/>
      <c r="BR91" s="12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95"/>
      <c r="AU92" s="96"/>
      <c r="AV92" s="97"/>
      <c r="AX92" s="98"/>
      <c r="AY92" s="83"/>
      <c r="AZ92" s="4"/>
      <c r="BA92" s="4"/>
      <c r="BB92" s="4"/>
      <c r="BC92" s="4"/>
      <c r="BD92" s="95"/>
      <c r="BE92" s="98"/>
      <c r="BF92" s="4"/>
      <c r="BG92" s="4"/>
      <c r="BH92" s="4"/>
      <c r="BI92" s="34" t="s">
        <v>181</v>
      </c>
      <c r="BJ92" s="12">
        <v>1.0</v>
      </c>
      <c r="BK92" s="4"/>
      <c r="BL92" s="11" t="s">
        <v>182</v>
      </c>
      <c r="BM92" s="12">
        <f>BM89*AZ89</f>
        <v>0.01968503937</v>
      </c>
      <c r="BN92" s="4"/>
      <c r="BO92" s="4"/>
      <c r="BP92" s="4"/>
      <c r="BQ92" s="4"/>
      <c r="BR92" s="12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95"/>
      <c r="AU93" s="96"/>
      <c r="AV93" s="97"/>
      <c r="AX93" s="98"/>
      <c r="AY93" s="83"/>
      <c r="AZ93" s="4"/>
      <c r="BA93" s="4"/>
      <c r="BB93" s="4"/>
      <c r="BC93" s="4"/>
      <c r="BD93" s="95"/>
      <c r="BE93" s="98"/>
      <c r="BF93" s="4"/>
      <c r="BG93" s="4"/>
      <c r="BH93" s="4"/>
      <c r="BI93" s="34" t="s">
        <v>188</v>
      </c>
      <c r="BJ93" s="12">
        <v>0.868</v>
      </c>
      <c r="BK93" s="4"/>
      <c r="BL93" s="11" t="s">
        <v>189</v>
      </c>
      <c r="BM93" s="12">
        <f>(BM91-AZ89)/2</f>
        <v>0.1377952756</v>
      </c>
      <c r="BN93" s="4"/>
      <c r="BO93" s="4"/>
      <c r="BP93" s="4"/>
      <c r="BQ93" s="4"/>
      <c r="BR93" s="12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95"/>
      <c r="AU94" s="96"/>
      <c r="AV94" s="97"/>
      <c r="AX94" s="98"/>
      <c r="AY94" s="83"/>
      <c r="AZ94" s="4"/>
      <c r="BA94" s="4"/>
      <c r="BB94" s="4"/>
      <c r="BC94" s="4"/>
      <c r="BD94" s="95"/>
      <c r="BE94" s="98"/>
      <c r="BF94" s="4"/>
      <c r="BG94" s="4"/>
      <c r="BH94" s="4"/>
      <c r="BI94" s="42" t="s">
        <v>195</v>
      </c>
      <c r="BJ94" s="20">
        <v>0.9</v>
      </c>
      <c r="BK94" s="4"/>
      <c r="BL94" s="11" t="s">
        <v>196</v>
      </c>
      <c r="BM94" s="4">
        <f>BM93/BM92</f>
        <v>7</v>
      </c>
      <c r="BN94" s="108"/>
      <c r="BO94" s="108" t="s">
        <v>197</v>
      </c>
      <c r="BP94" s="9" t="s">
        <v>198</v>
      </c>
      <c r="BQ94" s="4"/>
      <c r="BR94" s="12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95"/>
      <c r="AU95" s="96"/>
      <c r="AV95" s="97"/>
      <c r="AX95" s="98"/>
      <c r="AY95" s="4"/>
      <c r="AZ95" s="4"/>
      <c r="BA95" s="4"/>
      <c r="BB95" s="4"/>
      <c r="BC95" s="4"/>
      <c r="BD95" s="95"/>
      <c r="BE95" s="98"/>
      <c r="BF95" s="4"/>
      <c r="BG95" s="4"/>
      <c r="BH95" s="4"/>
      <c r="BI95" s="4"/>
      <c r="BJ95" s="4"/>
      <c r="BK95" s="4"/>
      <c r="BL95" s="11" t="s">
        <v>197</v>
      </c>
      <c r="BM95" s="4">
        <f>BO95+BO96*(2*BM93/BM91)+BO97*(2*BM93/BM91)^2+BO98*(2*BM93/BM91)^3</f>
        <v>2.736135937</v>
      </c>
      <c r="BN95" s="4" t="s">
        <v>205</v>
      </c>
      <c r="BO95" s="4">
        <f>IF(BM94&gt;=2,1.232+0.832*SQRT(BM94)-0.008*BM94,0.947+1.206*SQRT(BM94)-0.131*BM94)</f>
        <v>3.377265091</v>
      </c>
      <c r="BP95" s="12">
        <f>0.905+0.783*SQRT(BM94)-0.075*BM94</f>
        <v>2.451623277</v>
      </c>
      <c r="BQ95" s="4"/>
      <c r="BR95" s="12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95"/>
      <c r="AU96" s="96"/>
      <c r="AV96" s="97"/>
      <c r="AX96" s="98"/>
      <c r="AY96" s="4"/>
      <c r="AZ96" s="4"/>
      <c r="BA96" s="4"/>
      <c r="BB96" s="4"/>
      <c r="BC96" s="4"/>
      <c r="BD96" s="95"/>
      <c r="BE96" s="98"/>
      <c r="BF96" s="4"/>
      <c r="BG96" s="4"/>
      <c r="BH96" s="4"/>
      <c r="BI96" s="4"/>
      <c r="BJ96" s="4"/>
      <c r="BK96" s="4"/>
      <c r="BL96" s="11" t="s">
        <v>198</v>
      </c>
      <c r="BM96" s="4">
        <f>BP95+BP96*(2*BM93/BM91)+BP97*(2*BM93/BM91)^2+BP98*(2*BM93/BM91)^3</f>
        <v>2.079910078</v>
      </c>
      <c r="BN96" s="4" t="s">
        <v>211</v>
      </c>
      <c r="BO96" s="4">
        <f>IF(BM94&gt;=2,-3.813+0.968*SQRT(BM94)-0.26*BM94,0.022-3.405*SQRT(BM94)+0.915*BM94)</f>
        <v>-3.071912731</v>
      </c>
      <c r="BP96" s="12">
        <f>-0.437-1.969*SQRT(BM94)+0.553*BM94</f>
        <v>-1.775484331</v>
      </c>
      <c r="BQ96" s="4"/>
      <c r="BR96" s="12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95"/>
      <c r="AU97" s="96"/>
      <c r="AV97" s="97"/>
      <c r="AX97" s="98"/>
      <c r="AY97" s="4"/>
      <c r="AZ97" s="4"/>
      <c r="BA97" s="4"/>
      <c r="BB97" s="4"/>
      <c r="BC97" s="4"/>
      <c r="BD97" s="95"/>
      <c r="BE97" s="98"/>
      <c r="BF97" s="4"/>
      <c r="BG97" s="4"/>
      <c r="BH97" s="4"/>
      <c r="BI97" s="4"/>
      <c r="BJ97" s="4"/>
      <c r="BK97" s="4"/>
      <c r="BL97" s="11" t="s">
        <v>217</v>
      </c>
      <c r="BM97" s="4">
        <v>0.55</v>
      </c>
      <c r="BN97" s="4" t="s">
        <v>218</v>
      </c>
      <c r="BO97" s="4">
        <f>IF(BM94&lt;=2,0.869+1.777*SQRT(BM94)-0.555*BM94,7.423-4.868*SQRT(BM94)+0.869*BM94)</f>
        <v>0.6264826177</v>
      </c>
      <c r="BP97" s="12">
        <f>1.557+1.073*SQRT(BM94)-0.578*BM94</f>
        <v>0.3498911568</v>
      </c>
      <c r="BQ97" s="4"/>
      <c r="BR97" s="12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95"/>
      <c r="AU98" s="96"/>
      <c r="AV98" s="97"/>
      <c r="AX98" s="98"/>
      <c r="AY98" s="4"/>
      <c r="AZ98" s="4"/>
      <c r="BA98" s="4"/>
      <c r="BB98" s="4"/>
      <c r="BC98" s="4"/>
      <c r="BD98" s="95"/>
      <c r="BE98" s="98"/>
      <c r="BF98" s="4"/>
      <c r="BG98" s="4"/>
      <c r="BH98" s="4"/>
      <c r="BI98" s="4"/>
      <c r="BJ98" s="4"/>
      <c r="BK98" s="4"/>
      <c r="BL98" s="11" t="s">
        <v>224</v>
      </c>
      <c r="BM98" s="4">
        <v>0.72</v>
      </c>
      <c r="BN98" s="43" t="s">
        <v>225</v>
      </c>
      <c r="BO98" s="43">
        <f>IF(BM94&lt;=2,-0.81+0.422*SQRT(BM94)-0.26*BM94,-3.839+3.07*SQRT(BM94)-0.6*BM94)</f>
        <v>0.08345652497</v>
      </c>
      <c r="BP98" s="20">
        <f>-1.061+0.171*SQRT(BM94)+0.086*BM94</f>
        <v>-0.006576525808</v>
      </c>
      <c r="BQ98" s="4"/>
      <c r="BR98" s="12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95"/>
      <c r="AU99" s="96"/>
      <c r="AV99" s="97"/>
      <c r="AX99" s="98"/>
      <c r="AY99" s="4"/>
      <c r="AZ99" s="4"/>
      <c r="BA99" s="4"/>
      <c r="BB99" s="4"/>
      <c r="BC99" s="4"/>
      <c r="BD99" s="95"/>
      <c r="BE99" s="98"/>
      <c r="BF99" s="4"/>
      <c r="BG99" s="4"/>
      <c r="BH99" s="4"/>
      <c r="BI99" s="4"/>
      <c r="BJ99" s="4"/>
      <c r="BK99" s="4"/>
      <c r="BL99" s="11" t="s">
        <v>229</v>
      </c>
      <c r="BM99" s="12">
        <f t="shared" ref="BM99:BM100" si="59"> 1+(BM97*(BM95-1))</f>
        <v>1.954874765</v>
      </c>
      <c r="BN99" s="4"/>
      <c r="BO99" s="4"/>
      <c r="BP99" s="4"/>
      <c r="BQ99" s="4"/>
      <c r="BR99" s="12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5"/>
      <c r="AU100" s="126"/>
      <c r="AV100" s="127"/>
      <c r="AW100" s="6"/>
      <c r="AX100" s="7"/>
      <c r="AY100" s="43"/>
      <c r="AZ100" s="43"/>
      <c r="BA100" s="43"/>
      <c r="BB100" s="43"/>
      <c r="BC100" s="43"/>
      <c r="BD100" s="5"/>
      <c r="BE100" s="7"/>
      <c r="BF100" s="43"/>
      <c r="BG100" s="43"/>
      <c r="BH100" s="43"/>
      <c r="BI100" s="43"/>
      <c r="BJ100" s="43"/>
      <c r="BK100" s="43"/>
      <c r="BL100" s="19" t="s">
        <v>234</v>
      </c>
      <c r="BM100" s="20">
        <f t="shared" si="59"/>
        <v>1.777535256</v>
      </c>
      <c r="BN100" s="43"/>
      <c r="BO100" s="43"/>
      <c r="BP100" s="43"/>
      <c r="BQ100" s="43"/>
      <c r="BR100" s="20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146" t="s">
        <v>126</v>
      </c>
      <c r="AU101" s="71"/>
      <c r="AV101" s="147" t="s">
        <v>127</v>
      </c>
      <c r="AW101" s="25"/>
      <c r="AX101" s="22"/>
      <c r="AY101" s="148" t="s">
        <v>128</v>
      </c>
      <c r="AZ101" s="148" t="s">
        <v>129</v>
      </c>
      <c r="BA101" s="148" t="s">
        <v>130</v>
      </c>
      <c r="BB101" s="148" t="s">
        <v>131</v>
      </c>
      <c r="BC101" s="148" t="s">
        <v>132</v>
      </c>
      <c r="BD101" s="146" t="s">
        <v>65</v>
      </c>
      <c r="BE101" s="22"/>
      <c r="BF101" s="148" t="s">
        <v>133</v>
      </c>
      <c r="BG101" s="148" t="s">
        <v>134</v>
      </c>
      <c r="BH101" s="148" t="s">
        <v>135</v>
      </c>
      <c r="BI101" s="146" t="s">
        <v>136</v>
      </c>
      <c r="BJ101" s="22"/>
      <c r="BK101" s="148" t="s">
        <v>137</v>
      </c>
      <c r="BL101" s="146" t="s">
        <v>138</v>
      </c>
      <c r="BM101" s="22"/>
      <c r="BN101" s="148" t="s">
        <v>139</v>
      </c>
      <c r="BO101" s="148" t="s">
        <v>140</v>
      </c>
      <c r="BP101" s="149" t="s">
        <v>141</v>
      </c>
      <c r="BQ101" s="148" t="s">
        <v>142</v>
      </c>
      <c r="BR101" s="150" t="s">
        <v>143</v>
      </c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80" t="s">
        <v>267</v>
      </c>
      <c r="AU102" s="15"/>
      <c r="AV102" s="81" t="s">
        <v>270</v>
      </c>
      <c r="AW102" s="14"/>
      <c r="AX102" s="82"/>
      <c r="AY102" s="83">
        <v>1.5</v>
      </c>
      <c r="AZ102" s="4">
        <f>BA102/25.4</f>
        <v>0.8267716535</v>
      </c>
      <c r="BA102" s="4">
        <v>21.0</v>
      </c>
      <c r="BB102" s="4">
        <v>1.5384158694181955</v>
      </c>
      <c r="BC102" s="4">
        <v>11.509393916753643</v>
      </c>
      <c r="BD102" s="84" t="s">
        <v>265</v>
      </c>
      <c r="BE102" s="3"/>
      <c r="BF102" s="4">
        <v>6000.0</v>
      </c>
      <c r="BG102" s="4">
        <v>16000.0</v>
      </c>
      <c r="BH102" s="4">
        <v>7000.0</v>
      </c>
      <c r="BI102" s="30" t="s">
        <v>159</v>
      </c>
      <c r="BJ102" s="12">
        <f>2.7*(BG102/1000)^(-0.265)</f>
        <v>1.295006561</v>
      </c>
      <c r="BK102" s="4">
        <f>BH102*BJ102*BJ103*BJ104*BJ105*BJ106*BJ107</f>
        <v>6353.659851</v>
      </c>
      <c r="BL102" s="8" t="s">
        <v>160</v>
      </c>
      <c r="BM102" s="9">
        <f>BZ19</f>
        <v>0.02</v>
      </c>
      <c r="BN102" s="4">
        <f>BM112*32*BB102/(PI()*POWER(AZ102,3))</f>
        <v>51.5689382</v>
      </c>
      <c r="BO102" s="4">
        <f>BM113*16*BC102/(PI()*POWER(AZ102,3))</f>
        <v>174.5644755</v>
      </c>
      <c r="BP102" s="85">
        <f>1/((BN102/BK102)+(BO102/BG102))</f>
        <v>52.55773694</v>
      </c>
      <c r="BQ102" s="86">
        <f>SQRT(1/((BN102/BK102)^2+(BO102/BF102)^2))</f>
        <v>33.10710854</v>
      </c>
      <c r="BR102" s="87">
        <f>BF102/(BN102+BO102)</f>
        <v>26.53300943</v>
      </c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95"/>
      <c r="AU103" s="96"/>
      <c r="AV103" s="97"/>
      <c r="AX103" s="98"/>
      <c r="AY103" s="83"/>
      <c r="AZ103" s="4"/>
      <c r="BA103" s="4"/>
      <c r="BB103" s="4"/>
      <c r="BC103" s="4"/>
      <c r="BD103" s="95"/>
      <c r="BE103" s="98"/>
      <c r="BF103" s="4"/>
      <c r="BG103" s="4"/>
      <c r="BH103" s="4"/>
      <c r="BI103" s="34" t="s">
        <v>169</v>
      </c>
      <c r="BJ103" s="12">
        <f>IF(AND(AZ102&lt;=2,AZ102&gt;=0.11),POWER(AZ102/0.3,-0.107),0.91*POWER(AZ102,-0.157))</f>
        <v>0.8972050666</v>
      </c>
      <c r="BK103" s="4"/>
      <c r="BL103" s="11" t="s">
        <v>164</v>
      </c>
      <c r="BM103" s="12">
        <f>BY15</f>
        <v>1.19047619</v>
      </c>
      <c r="BN103" s="4"/>
      <c r="BO103" s="4"/>
      <c r="BP103" s="4"/>
      <c r="BQ103" s="4"/>
      <c r="BR103" s="12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95"/>
      <c r="AU104" s="96"/>
      <c r="AV104" s="97"/>
      <c r="AX104" s="98"/>
      <c r="AY104" s="83"/>
      <c r="AZ104" s="4"/>
      <c r="BA104" s="4"/>
      <c r="BB104" s="4"/>
      <c r="BC104" s="4"/>
      <c r="BD104" s="95"/>
      <c r="BE104" s="98"/>
      <c r="BF104" s="4"/>
      <c r="BG104" s="4"/>
      <c r="BH104" s="4"/>
      <c r="BI104" s="34" t="s">
        <v>175</v>
      </c>
      <c r="BJ104" s="12">
        <v>1.0</v>
      </c>
      <c r="BK104" s="4"/>
      <c r="BL104" s="11" t="s">
        <v>176</v>
      </c>
      <c r="BM104" s="12">
        <f>AZ102*BM103</f>
        <v>0.9842519685</v>
      </c>
      <c r="BN104" s="4"/>
      <c r="BO104" s="4"/>
      <c r="BP104" s="4"/>
      <c r="BQ104" s="4"/>
      <c r="BR104" s="12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95"/>
      <c r="AU105" s="96"/>
      <c r="AV105" s="97"/>
      <c r="AX105" s="98"/>
      <c r="AY105" s="83"/>
      <c r="AZ105" s="4"/>
      <c r="BA105" s="4"/>
      <c r="BB105" s="4"/>
      <c r="BC105" s="4"/>
      <c r="BD105" s="95"/>
      <c r="BE105" s="98"/>
      <c r="BF105" s="4"/>
      <c r="BG105" s="4"/>
      <c r="BH105" s="4"/>
      <c r="BI105" s="34" t="s">
        <v>181</v>
      </c>
      <c r="BJ105" s="12">
        <v>1.0</v>
      </c>
      <c r="BK105" s="4"/>
      <c r="BL105" s="11" t="s">
        <v>182</v>
      </c>
      <c r="BM105" s="12">
        <f>BM102*AZ102</f>
        <v>0.01653543307</v>
      </c>
      <c r="BN105" s="4"/>
      <c r="BO105" s="4"/>
      <c r="BP105" s="4"/>
      <c r="BQ105" s="4"/>
      <c r="BR105" s="12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95"/>
      <c r="AU106" s="96"/>
      <c r="AV106" s="97"/>
      <c r="AX106" s="98"/>
      <c r="AY106" s="83"/>
      <c r="AZ106" s="4"/>
      <c r="BA106" s="4"/>
      <c r="BB106" s="4"/>
      <c r="BC106" s="4"/>
      <c r="BD106" s="95"/>
      <c r="BE106" s="98"/>
      <c r="BF106" s="4"/>
      <c r="BG106" s="4"/>
      <c r="BH106" s="4"/>
      <c r="BI106" s="34" t="s">
        <v>188</v>
      </c>
      <c r="BJ106" s="12">
        <v>0.868</v>
      </c>
      <c r="BK106" s="4"/>
      <c r="BL106" s="11" t="s">
        <v>189</v>
      </c>
      <c r="BM106" s="12">
        <f>(BM104-AZ102)/2</f>
        <v>0.07874015748</v>
      </c>
      <c r="BN106" s="4"/>
      <c r="BO106" s="4"/>
      <c r="BP106" s="4"/>
      <c r="BQ106" s="4"/>
      <c r="BR106" s="12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95"/>
      <c r="AU107" s="96"/>
      <c r="AV107" s="97"/>
      <c r="AX107" s="98"/>
      <c r="AY107" s="83"/>
      <c r="AZ107" s="4"/>
      <c r="BA107" s="4"/>
      <c r="BB107" s="4"/>
      <c r="BC107" s="4"/>
      <c r="BD107" s="95"/>
      <c r="BE107" s="98"/>
      <c r="BF107" s="4"/>
      <c r="BG107" s="4"/>
      <c r="BH107" s="4"/>
      <c r="BI107" s="42" t="s">
        <v>195</v>
      </c>
      <c r="BJ107" s="20">
        <v>0.9</v>
      </c>
      <c r="BK107" s="4"/>
      <c r="BL107" s="11" t="s">
        <v>196</v>
      </c>
      <c r="BM107" s="4">
        <f>BM106/BM105</f>
        <v>4.761904762</v>
      </c>
      <c r="BN107" s="108"/>
      <c r="BO107" s="108" t="s">
        <v>197</v>
      </c>
      <c r="BP107" s="9" t="s">
        <v>198</v>
      </c>
      <c r="BQ107" s="4"/>
      <c r="BR107" s="12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95"/>
      <c r="AU108" s="96"/>
      <c r="AV108" s="97"/>
      <c r="AX108" s="98"/>
      <c r="AY108" s="4"/>
      <c r="AZ108" s="4"/>
      <c r="BA108" s="4"/>
      <c r="BB108" s="4"/>
      <c r="BC108" s="4"/>
      <c r="BD108" s="95"/>
      <c r="BE108" s="98"/>
      <c r="BF108" s="4"/>
      <c r="BG108" s="4"/>
      <c r="BH108" s="4"/>
      <c r="BI108" s="4"/>
      <c r="BJ108" s="4"/>
      <c r="BK108" s="4"/>
      <c r="BL108" s="11" t="s">
        <v>197</v>
      </c>
      <c r="BM108" s="4">
        <f>BO108+BO109*(2*BM106/BM104)+BO110*(2*BM106/BM104)^2+BO111*(2*BM106/BM104)^3</f>
        <v>2.563310284</v>
      </c>
      <c r="BN108" s="4" t="s">
        <v>205</v>
      </c>
      <c r="BO108" s="4">
        <f>IF(BM107&gt;=2,1.232+0.832*SQRT(BM107)-0.008*BM107,0.947+1.206*SQRT(BM107)-0.131*BM107)</f>
        <v>3.009477609</v>
      </c>
      <c r="BP108" s="12">
        <f>0.905+0.783*SQRT(BM107)-0.075*BM107</f>
        <v>2.256503223</v>
      </c>
      <c r="BQ108" s="4"/>
      <c r="BR108" s="12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95"/>
      <c r="AU109" s="96"/>
      <c r="AV109" s="97"/>
      <c r="AX109" s="98"/>
      <c r="AY109" s="4"/>
      <c r="AZ109" s="4"/>
      <c r="BA109" s="4"/>
      <c r="BB109" s="4"/>
      <c r="BC109" s="4"/>
      <c r="BD109" s="95"/>
      <c r="BE109" s="98"/>
      <c r="BF109" s="4"/>
      <c r="BG109" s="4"/>
      <c r="BH109" s="4"/>
      <c r="BI109" s="4"/>
      <c r="BJ109" s="4"/>
      <c r="BK109" s="4"/>
      <c r="BL109" s="11" t="s">
        <v>198</v>
      </c>
      <c r="BM109" s="4">
        <f>BP108+BP109*(2*BM106/BM104)+BP110*(2*BM106/BM104)^2+BP111*(2*BM106/BM104)^3</f>
        <v>1.948642985</v>
      </c>
      <c r="BN109" s="4" t="s">
        <v>211</v>
      </c>
      <c r="BO109" s="4">
        <f>IF(BM107&gt;=2,-3.813+0.968*SQRT(BM107)-0.26*BM107,0.022-3.405*SQRT(BM107)+0.915*BM107)</f>
        <v>-2.938746061</v>
      </c>
      <c r="BP109" s="12">
        <f>-0.437-1.969*SQRT(BM107)+0.553*BM107</f>
        <v>-2.100376925</v>
      </c>
      <c r="BQ109" s="4"/>
      <c r="BR109" s="12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95"/>
      <c r="AU110" s="96"/>
      <c r="AV110" s="97"/>
      <c r="AX110" s="98"/>
      <c r="AY110" s="4"/>
      <c r="AZ110" s="4"/>
      <c r="BA110" s="4"/>
      <c r="BB110" s="4"/>
      <c r="BC110" s="4"/>
      <c r="BD110" s="95"/>
      <c r="BE110" s="98"/>
      <c r="BF110" s="4"/>
      <c r="BG110" s="4"/>
      <c r="BH110" s="4"/>
      <c r="BI110" s="4"/>
      <c r="BJ110" s="4"/>
      <c r="BK110" s="4"/>
      <c r="BL110" s="11" t="s">
        <v>217</v>
      </c>
      <c r="BM110" s="4">
        <v>0.55</v>
      </c>
      <c r="BN110" s="4" t="s">
        <v>218</v>
      </c>
      <c r="BO110" s="4">
        <f>IF(BM107&lt;=2,0.869+1.777*SQRT(BM107)-0.555*BM107,7.423-4.868*SQRT(BM107)+0.869*BM107)</f>
        <v>0.9382483414</v>
      </c>
      <c r="BP110" s="12">
        <f>1.557+1.073*SQRT(BM107)-0.578*BM107</f>
        <v>1.14609701</v>
      </c>
      <c r="BQ110" s="4"/>
      <c r="BR110" s="12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95"/>
      <c r="AU111" s="96"/>
      <c r="AV111" s="97"/>
      <c r="AX111" s="98"/>
      <c r="AY111" s="4"/>
      <c r="AZ111" s="4"/>
      <c r="BA111" s="4"/>
      <c r="BB111" s="4"/>
      <c r="BC111" s="4"/>
      <c r="BD111" s="95"/>
      <c r="BE111" s="98"/>
      <c r="BF111" s="4"/>
      <c r="BG111" s="4"/>
      <c r="BH111" s="4"/>
      <c r="BI111" s="4"/>
      <c r="BJ111" s="4"/>
      <c r="BK111" s="4"/>
      <c r="BL111" s="11" t="s">
        <v>224</v>
      </c>
      <c r="BM111" s="4">
        <v>0.72</v>
      </c>
      <c r="BN111" s="43" t="s">
        <v>225</v>
      </c>
      <c r="BO111" s="43">
        <f>IF(BM107&lt;=2,-0.81+0.422*SQRT(BM107)-0.26*BM107,-3.839+3.07*SQRT(BM107)-0.6*BM107)</f>
        <v>0.003146373102</v>
      </c>
      <c r="BP111" s="20">
        <f>-1.061+0.171*SQRT(BM107)+0.086*BM107</f>
        <v>-0.2783235982</v>
      </c>
      <c r="BQ111" s="4"/>
      <c r="BR111" s="12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95"/>
      <c r="AU112" s="96"/>
      <c r="AV112" s="97"/>
      <c r="AX112" s="98"/>
      <c r="AY112" s="4"/>
      <c r="AZ112" s="4"/>
      <c r="BA112" s="4"/>
      <c r="BB112" s="4"/>
      <c r="BC112" s="4"/>
      <c r="BD112" s="95"/>
      <c r="BE112" s="98"/>
      <c r="BF112" s="4"/>
      <c r="BG112" s="4"/>
      <c r="BH112" s="4"/>
      <c r="BI112" s="4"/>
      <c r="BJ112" s="4"/>
      <c r="BK112" s="4"/>
      <c r="BL112" s="11" t="s">
        <v>229</v>
      </c>
      <c r="BM112" s="12">
        <f t="shared" ref="BM112:BM113" si="60"> 1+(BM110*(BM108-1))</f>
        <v>1.859820656</v>
      </c>
      <c r="BN112" s="4"/>
      <c r="BO112" s="4"/>
      <c r="BP112" s="4"/>
      <c r="BQ112" s="4"/>
      <c r="BR112" s="12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5"/>
      <c r="AU113" s="126"/>
      <c r="AV113" s="127"/>
      <c r="AW113" s="6"/>
      <c r="AX113" s="7"/>
      <c r="AY113" s="43"/>
      <c r="AZ113" s="43"/>
      <c r="BA113" s="43"/>
      <c r="BB113" s="43"/>
      <c r="BC113" s="43"/>
      <c r="BD113" s="5"/>
      <c r="BE113" s="7"/>
      <c r="BF113" s="43"/>
      <c r="BG113" s="43"/>
      <c r="BH113" s="43"/>
      <c r="BI113" s="43"/>
      <c r="BJ113" s="43"/>
      <c r="BK113" s="43"/>
      <c r="BL113" s="19" t="s">
        <v>234</v>
      </c>
      <c r="BM113" s="20">
        <f t="shared" si="60"/>
        <v>1.683022949</v>
      </c>
      <c r="BN113" s="43"/>
      <c r="BO113" s="43"/>
      <c r="BP113" s="43"/>
      <c r="BQ113" s="43"/>
      <c r="BR113" s="20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</row>
  </sheetData>
  <mergeCells count="101">
    <mergeCell ref="I6:J6"/>
    <mergeCell ref="Q6:R6"/>
    <mergeCell ref="Q11:R11"/>
    <mergeCell ref="C18:D18"/>
    <mergeCell ref="F19:G19"/>
    <mergeCell ref="Q23:R23"/>
    <mergeCell ref="BL6:BM6"/>
    <mergeCell ref="BU6:BW6"/>
    <mergeCell ref="A1:E2"/>
    <mergeCell ref="B4:J4"/>
    <mergeCell ref="P4:AL4"/>
    <mergeCell ref="AS4:CB4"/>
    <mergeCell ref="CD4:CW4"/>
    <mergeCell ref="C6:D6"/>
    <mergeCell ref="F6:G6"/>
    <mergeCell ref="CH6:CI6"/>
    <mergeCell ref="BY6:CA6"/>
    <mergeCell ref="CE6:CF6"/>
    <mergeCell ref="BY7:BY8"/>
    <mergeCell ref="BZ7:BZ8"/>
    <mergeCell ref="CA7:CA8"/>
    <mergeCell ref="BZ9:BZ10"/>
    <mergeCell ref="CA9:CA10"/>
    <mergeCell ref="CH11:CI11"/>
    <mergeCell ref="BY15:BY16"/>
    <mergeCell ref="BZ15:BZ16"/>
    <mergeCell ref="CA15:CA16"/>
    <mergeCell ref="CE17:CF17"/>
    <mergeCell ref="CE21:CF21"/>
    <mergeCell ref="CE25:CF25"/>
    <mergeCell ref="CE28:CF28"/>
    <mergeCell ref="BY9:BY10"/>
    <mergeCell ref="BY11:BY12"/>
    <mergeCell ref="BZ11:BZ12"/>
    <mergeCell ref="CA11:CA12"/>
    <mergeCell ref="BY13:BY14"/>
    <mergeCell ref="BZ13:BZ14"/>
    <mergeCell ref="CA13:CA14"/>
    <mergeCell ref="BD34:BE34"/>
    <mergeCell ref="BI34:BJ34"/>
    <mergeCell ref="BL34:BM34"/>
    <mergeCell ref="BD6:BE6"/>
    <mergeCell ref="BI6:BJ6"/>
    <mergeCell ref="BD7:BE18"/>
    <mergeCell ref="BD20:BE20"/>
    <mergeCell ref="BI20:BJ20"/>
    <mergeCell ref="BL20:BM20"/>
    <mergeCell ref="BD21:BE32"/>
    <mergeCell ref="AT76:AU87"/>
    <mergeCell ref="AV76:AX87"/>
    <mergeCell ref="BD76:BE87"/>
    <mergeCell ref="AT88:AU88"/>
    <mergeCell ref="AV88:AX88"/>
    <mergeCell ref="BD88:BE88"/>
    <mergeCell ref="BI88:BJ88"/>
    <mergeCell ref="BL88:BM88"/>
    <mergeCell ref="AT89:AU100"/>
    <mergeCell ref="AV89:AX100"/>
    <mergeCell ref="BD89:BE100"/>
    <mergeCell ref="AV101:AX101"/>
    <mergeCell ref="BD101:BE101"/>
    <mergeCell ref="BI101:BJ101"/>
    <mergeCell ref="BL101:BM101"/>
    <mergeCell ref="AT6:AU6"/>
    <mergeCell ref="AV6:AX6"/>
    <mergeCell ref="AT7:AU18"/>
    <mergeCell ref="AV7:AX18"/>
    <mergeCell ref="AT20:AU20"/>
    <mergeCell ref="AV20:AX20"/>
    <mergeCell ref="AV21:AX32"/>
    <mergeCell ref="BD49:BE60"/>
    <mergeCell ref="BD62:BE62"/>
    <mergeCell ref="BI62:BJ62"/>
    <mergeCell ref="BL62:BM62"/>
    <mergeCell ref="AV34:AX34"/>
    <mergeCell ref="AV35:AX46"/>
    <mergeCell ref="BD35:BE46"/>
    <mergeCell ref="AV48:AX48"/>
    <mergeCell ref="BD48:BE48"/>
    <mergeCell ref="BI48:BJ48"/>
    <mergeCell ref="BL48:BM48"/>
    <mergeCell ref="BI75:BJ75"/>
    <mergeCell ref="BL75:BM75"/>
    <mergeCell ref="AT62:AU62"/>
    <mergeCell ref="AT63:AU74"/>
    <mergeCell ref="AV63:AX74"/>
    <mergeCell ref="BD63:BE74"/>
    <mergeCell ref="AT75:AU75"/>
    <mergeCell ref="AV75:AX75"/>
    <mergeCell ref="BD75:BE75"/>
    <mergeCell ref="AT21:AU32"/>
    <mergeCell ref="AT34:AU34"/>
    <mergeCell ref="AT35:AU46"/>
    <mergeCell ref="AT48:AU48"/>
    <mergeCell ref="AT49:AU60"/>
    <mergeCell ref="AV49:AX60"/>
    <mergeCell ref="AV62:AX62"/>
    <mergeCell ref="AT101:AU101"/>
    <mergeCell ref="AT102:AU113"/>
    <mergeCell ref="AV102:AX113"/>
    <mergeCell ref="BD102:BE113"/>
  </mergeCells>
  <conditionalFormatting sqref="BP7:BR7">
    <cfRule type="cellIs" dxfId="1" priority="1" operator="lessThan">
      <formula>$AY$7</formula>
    </cfRule>
  </conditionalFormatting>
  <conditionalFormatting sqref="BP7:BR7">
    <cfRule type="cellIs" dxfId="0" priority="2" operator="greaterThanOrEqual">
      <formula>$AY$7</formula>
    </cfRule>
  </conditionalFormatting>
  <conditionalFormatting sqref="BP21:BR21">
    <cfRule type="cellIs" dxfId="1" priority="3" operator="lessThan">
      <formula>$AY$7</formula>
    </cfRule>
  </conditionalFormatting>
  <conditionalFormatting sqref="BP21:BR21">
    <cfRule type="cellIs" dxfId="0" priority="4" operator="greaterThanOrEqual">
      <formula>$AY$7</formula>
    </cfRule>
  </conditionalFormatting>
  <conditionalFormatting sqref="BP35:BR35">
    <cfRule type="cellIs" dxfId="1" priority="5" operator="lessThan">
      <formula>$AY$7</formula>
    </cfRule>
  </conditionalFormatting>
  <conditionalFormatting sqref="BP35:BR35">
    <cfRule type="cellIs" dxfId="0" priority="6" operator="greaterThanOrEqual">
      <formula>$AY$7</formula>
    </cfRule>
  </conditionalFormatting>
  <conditionalFormatting sqref="BP49:BR49">
    <cfRule type="cellIs" dxfId="1" priority="7" operator="lessThan">
      <formula>$AY$7</formula>
    </cfRule>
  </conditionalFormatting>
  <conditionalFormatting sqref="BP49:BR49">
    <cfRule type="cellIs" dxfId="0" priority="8" operator="greaterThanOrEqual">
      <formula>$AY$7</formula>
    </cfRule>
  </conditionalFormatting>
  <conditionalFormatting sqref="BP63:BR63">
    <cfRule type="cellIs" dxfId="1" priority="9" operator="lessThan">
      <formula>$AY$7</formula>
    </cfRule>
  </conditionalFormatting>
  <conditionalFormatting sqref="BP63:BR63">
    <cfRule type="cellIs" dxfId="0" priority="10" operator="greaterThanOrEqual">
      <formula>$AY$7</formula>
    </cfRule>
  </conditionalFormatting>
  <conditionalFormatting sqref="BP76:BR76">
    <cfRule type="cellIs" dxfId="1" priority="11" operator="lessThan">
      <formula>$AY$7</formula>
    </cfRule>
  </conditionalFormatting>
  <conditionalFormatting sqref="BP76:BR76">
    <cfRule type="cellIs" dxfId="0" priority="12" operator="greaterThanOrEqual">
      <formula>$AY$7</formula>
    </cfRule>
  </conditionalFormatting>
  <conditionalFormatting sqref="BP89:BR89">
    <cfRule type="cellIs" dxfId="1" priority="13" operator="lessThan">
      <formula>$AY$7</formula>
    </cfRule>
  </conditionalFormatting>
  <conditionalFormatting sqref="BP89:BR89">
    <cfRule type="cellIs" dxfId="0" priority="14" operator="greaterThanOrEqual">
      <formula>$AY$7</formula>
    </cfRule>
  </conditionalFormatting>
  <conditionalFormatting sqref="BP102:BR102">
    <cfRule type="cellIs" dxfId="1" priority="15" operator="lessThan">
      <formula>$AY$7</formula>
    </cfRule>
  </conditionalFormatting>
  <conditionalFormatting sqref="BP102:BR102">
    <cfRule type="cellIs" dxfId="0" priority="16" operator="greaterThanOrEqual">
      <formula>$AY$7</formula>
    </cfRule>
  </conditionalFormatting>
  <conditionalFormatting sqref="CA9:CA10">
    <cfRule type="expression" dxfId="0" priority="17">
      <formula>"min($BP$63:$BR$63)&gt;=1.5"</formula>
    </cfRule>
  </conditionalFormatting>
  <conditionalFormatting sqref="CA9:CA16">
    <cfRule type="cellIs" dxfId="1" priority="18" operator="lessThan">
      <formula>1.5</formula>
    </cfRule>
  </conditionalFormatting>
  <conditionalFormatting sqref="CA9:CA16">
    <cfRule type="cellIs" dxfId="0" priority="19" operator="greaterThan">
      <formula>1.5</formula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42.86"/>
    <col customWidth="1" min="3" max="3" width="20.43"/>
    <col customWidth="1" min="4" max="4" width="6.29"/>
    <col customWidth="1" min="5" max="5" width="29.14"/>
    <col customWidth="1" min="6" max="6" width="10.0"/>
    <col customWidth="1" min="7" max="7" width="22.71"/>
    <col customWidth="1" min="8" max="8" width="20.57"/>
    <col customWidth="1" min="9" max="9" width="20.43"/>
    <col customWidth="1" min="10" max="10" width="15.29"/>
    <col customWidth="1" min="11" max="12" width="25.0"/>
    <col customWidth="1" min="13" max="13" width="18.14"/>
    <col customWidth="1" min="14" max="14" width="39.0"/>
    <col customWidth="1" min="15" max="15" width="11.43"/>
    <col customWidth="1" min="16" max="16" width="3.14"/>
    <col customWidth="1" min="17" max="25" width="11.43"/>
    <col customWidth="1" min="26" max="26" width="26.71"/>
    <col customWidth="1" min="27" max="27" width="41.43"/>
  </cols>
  <sheetData>
    <row r="1" ht="15.0" customHeight="1">
      <c r="A1" s="151" t="s">
        <v>271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15.75" customHeight="1">
      <c r="A2" s="5"/>
      <c r="B2" s="6"/>
      <c r="C2" s="6"/>
      <c r="D2" s="6"/>
      <c r="E2" s="6"/>
      <c r="F2" s="7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152" t="s">
        <v>272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153" t="s">
        <v>273</v>
      </c>
      <c r="O3" s="154"/>
      <c r="P3" s="154"/>
      <c r="Q3" s="154"/>
      <c r="R3" s="154"/>
      <c r="S3" s="4"/>
      <c r="T3" s="4"/>
      <c r="U3" s="4"/>
      <c r="V3" s="4"/>
      <c r="W3" s="4"/>
      <c r="X3" s="4"/>
      <c r="Y3" s="4"/>
      <c r="Z3" s="4"/>
      <c r="AA3" s="4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4"/>
      <c r="B5" s="155" t="s">
        <v>274</v>
      </c>
      <c r="C5" s="25"/>
      <c r="D5" s="25"/>
      <c r="E5" s="25"/>
      <c r="F5" s="25"/>
      <c r="G5" s="25"/>
      <c r="H5" s="25"/>
      <c r="I5" s="25"/>
      <c r="J5" s="25"/>
      <c r="K5" s="25"/>
      <c r="L5" s="22"/>
      <c r="M5" s="4"/>
      <c r="N5" s="124" t="s">
        <v>275</v>
      </c>
      <c r="O5" s="22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4"/>
      <c r="B6" s="156" t="s">
        <v>276</v>
      </c>
      <c r="C6" s="4"/>
      <c r="D6" s="4"/>
      <c r="E6" s="4"/>
      <c r="F6" s="4"/>
      <c r="G6" s="4"/>
      <c r="H6" s="4"/>
      <c r="I6" s="4"/>
      <c r="J6" s="4"/>
      <c r="K6" s="156" t="s">
        <v>277</v>
      </c>
      <c r="L6" s="156" t="s">
        <v>278</v>
      </c>
      <c r="M6" s="4"/>
      <c r="N6" s="8" t="s">
        <v>279</v>
      </c>
      <c r="O6" s="9" t="s">
        <v>280</v>
      </c>
      <c r="P6" s="156" t="s">
        <v>281</v>
      </c>
      <c r="Q6" s="4"/>
      <c r="R6" s="156" t="s">
        <v>282</v>
      </c>
      <c r="S6" s="4"/>
      <c r="T6" s="4"/>
      <c r="U6" s="4"/>
      <c r="V6" s="4"/>
      <c r="W6" s="4"/>
      <c r="X6" s="4"/>
      <c r="Y6" s="4"/>
      <c r="Z6" s="157" t="s">
        <v>283</v>
      </c>
      <c r="AA6" s="158"/>
    </row>
    <row r="7">
      <c r="A7" s="4"/>
      <c r="B7" s="76" t="s">
        <v>284</v>
      </c>
      <c r="C7" s="22"/>
      <c r="D7" s="4"/>
      <c r="E7" s="159"/>
      <c r="F7" s="160" t="s">
        <v>285</v>
      </c>
      <c r="G7" s="25"/>
      <c r="H7" s="25"/>
      <c r="I7" s="25"/>
      <c r="J7" s="25"/>
      <c r="K7" s="25"/>
      <c r="L7" s="22"/>
      <c r="M7" s="4"/>
      <c r="N7" s="11" t="s">
        <v>286</v>
      </c>
      <c r="O7" s="12" t="s">
        <v>287</v>
      </c>
      <c r="P7" s="156" t="s">
        <v>281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4"/>
      <c r="B8" s="30" t="s">
        <v>288</v>
      </c>
      <c r="C8" s="9">
        <f t="shared" ref="C8:C9" si="1">$O$13*PI()*O8^2/4</f>
        <v>31.66921744</v>
      </c>
      <c r="D8" s="4"/>
      <c r="E8" s="161"/>
      <c r="F8" s="11" t="s">
        <v>289</v>
      </c>
      <c r="G8" s="4" t="s">
        <v>290</v>
      </c>
      <c r="H8" s="4" t="s">
        <v>291</v>
      </c>
      <c r="I8" s="4" t="s">
        <v>292</v>
      </c>
      <c r="J8" s="4" t="s">
        <v>293</v>
      </c>
      <c r="K8" s="4" t="s">
        <v>294</v>
      </c>
      <c r="L8" s="12" t="s">
        <v>295</v>
      </c>
      <c r="M8" s="4"/>
      <c r="N8" s="11" t="s">
        <v>296</v>
      </c>
      <c r="O8" s="12">
        <f>O9*25.4</f>
        <v>6.35</v>
      </c>
      <c r="P8" s="156" t="s">
        <v>281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4"/>
      <c r="B9" s="162" t="s">
        <v>297</v>
      </c>
      <c r="C9" s="12">
        <f t="shared" si="1"/>
        <v>0.04908738521</v>
      </c>
      <c r="D9" s="156" t="s">
        <v>298</v>
      </c>
      <c r="E9" s="163"/>
      <c r="F9" s="11">
        <v>1.0</v>
      </c>
      <c r="G9" s="4">
        <v>0.04908738521234052</v>
      </c>
      <c r="H9" s="164">
        <v>2.55906</v>
      </c>
      <c r="I9" s="164">
        <v>5.11811</v>
      </c>
      <c r="J9" s="4">
        <f t="shared" ref="J9:J12" si="2">SQRT(($J$15-H9)^2 + ($J$16-I9)^2)</f>
        <v>3.299237759</v>
      </c>
      <c r="K9" s="4">
        <f t="shared" ref="K9:K12" si="3">IF($C$15="SI",($C$24*J9)/SUMSQ($J$9:$J$12),0)</f>
        <v>0</v>
      </c>
      <c r="L9" s="12">
        <f t="shared" ref="L9:L12" si="4">SQRT(K9^2+$C$21^2)/G9</f>
        <v>0</v>
      </c>
      <c r="M9" s="4"/>
      <c r="N9" s="11" t="s">
        <v>299</v>
      </c>
      <c r="O9" s="165">
        <v>0.25</v>
      </c>
      <c r="P9" s="156" t="s">
        <v>281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"/>
      <c r="B10" s="166" t="s">
        <v>300</v>
      </c>
      <c r="C10" s="20">
        <f>$O$13*IF($O$6="Unificada",(PI()/4)*((O9-(0.9743/O10))^2),(PI()/4)*(O8-0.9382*O12)^2)</f>
        <v>0.03182091806</v>
      </c>
      <c r="D10" s="156" t="s">
        <v>301</v>
      </c>
      <c r="E10" s="163"/>
      <c r="F10" s="11">
        <v>2.0</v>
      </c>
      <c r="G10" s="4">
        <v>0.04908738521234052</v>
      </c>
      <c r="H10" s="167">
        <v>6.88976</v>
      </c>
      <c r="I10" s="164">
        <v>5.11811</v>
      </c>
      <c r="J10" s="4">
        <f t="shared" si="2"/>
        <v>2.589928212</v>
      </c>
      <c r="K10" s="4">
        <f t="shared" si="3"/>
        <v>0</v>
      </c>
      <c r="L10" s="12">
        <f t="shared" si="4"/>
        <v>0</v>
      </c>
      <c r="M10" s="4"/>
      <c r="N10" s="168" t="s">
        <v>302</v>
      </c>
      <c r="O10" s="12">
        <v>20.0</v>
      </c>
      <c r="P10" s="156" t="s">
        <v>281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156" t="s">
        <v>303</v>
      </c>
      <c r="C11" s="4"/>
      <c r="D11" s="4"/>
      <c r="E11" s="161"/>
      <c r="F11" s="11">
        <v>3.0</v>
      </c>
      <c r="G11" s="4">
        <v>0.04908738521234052</v>
      </c>
      <c r="H11" s="169">
        <v>4.48819</v>
      </c>
      <c r="I11" s="164">
        <v>1.1811</v>
      </c>
      <c r="J11" s="4">
        <f t="shared" si="2"/>
        <v>2.095532815</v>
      </c>
      <c r="K11" s="4">
        <f t="shared" si="3"/>
        <v>0</v>
      </c>
      <c r="L11" s="12">
        <f t="shared" si="4"/>
        <v>0</v>
      </c>
      <c r="M11" s="4"/>
      <c r="N11" s="11" t="s">
        <v>304</v>
      </c>
      <c r="O11" s="12">
        <f>1/O10</f>
        <v>0.05</v>
      </c>
      <c r="P11" s="156" t="s">
        <v>281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26" t="s">
        <v>305</v>
      </c>
      <c r="C12" s="22"/>
      <c r="D12" s="4"/>
      <c r="E12" s="161"/>
      <c r="F12" s="11">
        <v>4.0</v>
      </c>
      <c r="G12" s="4">
        <v>0.04908738521234052</v>
      </c>
      <c r="H12" s="167">
        <v>6.88976</v>
      </c>
      <c r="I12" s="164">
        <v>1.1811</v>
      </c>
      <c r="J12" s="4">
        <f t="shared" si="2"/>
        <v>2.589928212</v>
      </c>
      <c r="K12" s="4">
        <f t="shared" si="3"/>
        <v>0</v>
      </c>
      <c r="L12" s="12">
        <f t="shared" si="4"/>
        <v>0</v>
      </c>
      <c r="M12" s="4"/>
      <c r="N12" s="11" t="s">
        <v>306</v>
      </c>
      <c r="O12" s="12">
        <f>O11*25.4</f>
        <v>1.27</v>
      </c>
      <c r="P12" s="156" t="s">
        <v>281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30" t="s">
        <v>307</v>
      </c>
      <c r="C13" s="9">
        <f>IF(C15="SI",C28,O31*C10)</f>
        <v>1813.792329</v>
      </c>
      <c r="D13" s="156" t="s">
        <v>308</v>
      </c>
      <c r="E13" s="170" t="s">
        <v>309</v>
      </c>
      <c r="F13" s="11"/>
      <c r="G13" s="4"/>
      <c r="H13" s="4"/>
      <c r="I13" s="4"/>
      <c r="J13" s="4"/>
      <c r="K13" s="4"/>
      <c r="L13" s="12"/>
      <c r="M13" s="4"/>
      <c r="N13" s="11" t="s">
        <v>310</v>
      </c>
      <c r="O13" s="12">
        <v>1.0</v>
      </c>
      <c r="P13" s="156" t="s">
        <v>281</v>
      </c>
      <c r="Q13" s="4"/>
      <c r="R13" s="156" t="s">
        <v>311</v>
      </c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30" t="s">
        <v>312</v>
      </c>
      <c r="C14" s="9">
        <f>O31*C10</f>
        <v>1813.792329</v>
      </c>
      <c r="D14" s="4"/>
      <c r="E14" s="161"/>
      <c r="F14" s="11"/>
      <c r="G14" s="4"/>
      <c r="H14" s="4"/>
      <c r="I14" s="4"/>
      <c r="J14" s="4"/>
      <c r="K14" s="4"/>
      <c r="L14" s="12"/>
      <c r="M14" s="4"/>
      <c r="N14" s="30" t="s">
        <v>313</v>
      </c>
      <c r="O14" s="171">
        <v>0.065</v>
      </c>
      <c r="P14" s="156" t="s">
        <v>282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79" t="s">
        <v>314</v>
      </c>
      <c r="C15" s="172" t="s">
        <v>315</v>
      </c>
      <c r="D15" s="4"/>
      <c r="E15" s="161"/>
      <c r="F15" s="11"/>
      <c r="G15" s="4"/>
      <c r="H15" s="4"/>
      <c r="I15" s="30" t="s">
        <v>316</v>
      </c>
      <c r="J15" s="30">
        <f>SUMPRODUCT(G9:G12,H9:H12)/SUM(G9:G12)</f>
        <v>5.2066925</v>
      </c>
      <c r="K15" s="4"/>
      <c r="L15" s="12"/>
      <c r="M15" s="4"/>
      <c r="N15" s="34" t="s">
        <v>317</v>
      </c>
      <c r="O15" s="34">
        <v>0.312</v>
      </c>
      <c r="P15" s="156" t="s">
        <v>282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34" t="s">
        <v>318</v>
      </c>
      <c r="C16" s="12">
        <v>1.0</v>
      </c>
      <c r="D16" s="4"/>
      <c r="E16" s="161"/>
      <c r="F16" s="11"/>
      <c r="G16" s="4"/>
      <c r="H16" s="4"/>
      <c r="I16" s="42" t="s">
        <v>319</v>
      </c>
      <c r="J16" s="42">
        <f>SUMPRODUCT(G9:G12,I9:I12)/SUM(G9:G12)</f>
        <v>3.149605</v>
      </c>
      <c r="K16" s="4"/>
      <c r="L16" s="12"/>
      <c r="M16" s="4"/>
      <c r="N16" s="42" t="s">
        <v>320</v>
      </c>
      <c r="O16" s="42">
        <v>0.734</v>
      </c>
      <c r="P16" s="156" t="s">
        <v>282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34" t="s">
        <v>321</v>
      </c>
      <c r="C17" s="165">
        <v>1.0</v>
      </c>
      <c r="D17" s="4"/>
      <c r="E17" s="173"/>
      <c r="F17" s="19"/>
      <c r="G17" s="43"/>
      <c r="H17" s="43"/>
      <c r="I17" s="43"/>
      <c r="J17" s="43"/>
      <c r="K17" s="43"/>
      <c r="L17" s="20"/>
      <c r="M17" s="4"/>
      <c r="N17" s="45" t="s">
        <v>322</v>
      </c>
      <c r="O17" s="46">
        <f>5/32</f>
        <v>0.15625</v>
      </c>
      <c r="P17" s="156" t="s">
        <v>311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34" t="s">
        <v>323</v>
      </c>
      <c r="C18" s="12">
        <f>4.9*0.224809</f>
        <v>1.1015641</v>
      </c>
      <c r="D18" s="156" t="s">
        <v>324</v>
      </c>
      <c r="E18" s="174" t="s">
        <v>325</v>
      </c>
      <c r="F18" s="4"/>
      <c r="G18" s="4"/>
      <c r="H18" s="4"/>
      <c r="I18" s="4"/>
      <c r="J18" s="4"/>
      <c r="K18" s="4"/>
      <c r="L18" s="4"/>
      <c r="M18" s="4"/>
      <c r="N18" s="8" t="s">
        <v>326</v>
      </c>
      <c r="O18" s="171">
        <v>3.175</v>
      </c>
      <c r="P18" s="156" t="s">
        <v>327</v>
      </c>
      <c r="Q18" s="4"/>
      <c r="R18" s="156" t="s">
        <v>328</v>
      </c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34" t="s">
        <v>329</v>
      </c>
      <c r="C19" s="12">
        <f>1.6*0.224809</f>
        <v>0.3596944</v>
      </c>
      <c r="D19" s="156" t="s">
        <v>324</v>
      </c>
      <c r="E19" s="175" t="s">
        <v>330</v>
      </c>
      <c r="F19" s="4"/>
      <c r="G19" s="4"/>
      <c r="H19" s="4"/>
      <c r="I19" s="4"/>
      <c r="J19" s="4"/>
      <c r="K19" s="4"/>
      <c r="L19" s="4"/>
      <c r="M19" s="4"/>
      <c r="N19" s="11" t="s">
        <v>331</v>
      </c>
      <c r="O19" s="162">
        <v>0.635</v>
      </c>
      <c r="P19" s="156" t="s">
        <v>327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34" t="s">
        <v>332</v>
      </c>
      <c r="C20" s="176">
        <f>SQRT(C18^2+C19^2)</f>
        <v>1.158802627</v>
      </c>
      <c r="D20" s="156" t="s">
        <v>324</v>
      </c>
      <c r="E20" s="4"/>
      <c r="F20" s="152" t="s">
        <v>333</v>
      </c>
      <c r="G20" s="4"/>
      <c r="H20" s="4"/>
      <c r="I20" s="4"/>
      <c r="J20" s="4"/>
      <c r="K20" s="4"/>
      <c r="L20" s="4"/>
      <c r="M20" s="4"/>
      <c r="N20" s="11" t="s">
        <v>334</v>
      </c>
      <c r="O20" s="34">
        <f>0.25*25.4</f>
        <v>6.35</v>
      </c>
      <c r="P20" s="156" t="s">
        <v>327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ht="15.75" customHeight="1">
      <c r="A21" s="4"/>
      <c r="B21" s="34" t="s">
        <v>335</v>
      </c>
      <c r="C21" s="176">
        <f>IF(C15="SI",C20/C17,0)</f>
        <v>0</v>
      </c>
      <c r="D21" s="156" t="s">
        <v>336</v>
      </c>
      <c r="E21" s="4"/>
      <c r="F21" s="4"/>
      <c r="G21" s="4"/>
      <c r="H21" s="4"/>
      <c r="I21" s="4"/>
      <c r="J21" s="4"/>
      <c r="K21" s="4"/>
      <c r="L21" s="4"/>
      <c r="M21" s="4"/>
      <c r="N21" s="11" t="s">
        <v>337</v>
      </c>
      <c r="O21" s="34">
        <f t="shared" ref="O21:O23" si="5">O18/25.4</f>
        <v>0.125</v>
      </c>
      <c r="P21" s="156" t="s">
        <v>327</v>
      </c>
      <c r="Q21" s="4"/>
      <c r="R21" s="164"/>
      <c r="S21" s="4"/>
      <c r="T21" s="4"/>
      <c r="U21" s="4"/>
      <c r="V21" s="4"/>
      <c r="W21" s="4"/>
      <c r="X21" s="4"/>
      <c r="Y21" s="4"/>
      <c r="Z21" s="4"/>
      <c r="AA21" s="4"/>
    </row>
    <row r="22" ht="15.75" customHeight="1">
      <c r="A22" s="4"/>
      <c r="B22" s="34" t="s">
        <v>338</v>
      </c>
      <c r="C22" s="176">
        <f>(116.8915-(J16*25.4))/25.4</f>
        <v>1.452422559</v>
      </c>
      <c r="D22" s="156" t="s">
        <v>339</v>
      </c>
      <c r="E22" s="174" t="s">
        <v>340</v>
      </c>
      <c r="F22" s="4"/>
      <c r="G22" s="4"/>
      <c r="H22" s="4"/>
      <c r="I22" s="4"/>
      <c r="J22" s="4"/>
      <c r="K22" s="4"/>
      <c r="L22" s="4"/>
      <c r="M22" s="4"/>
      <c r="N22" s="11" t="s">
        <v>341</v>
      </c>
      <c r="O22" s="34">
        <f t="shared" si="5"/>
        <v>0.025</v>
      </c>
      <c r="P22" s="156" t="s">
        <v>327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ht="15.75" customHeight="1">
      <c r="A23" s="4"/>
      <c r="B23" s="34" t="s">
        <v>342</v>
      </c>
      <c r="C23" s="176">
        <f>(C22*25.4+(Ejes!R9*1000))/25.4</f>
        <v>9.800847756</v>
      </c>
      <c r="D23" s="156" t="s">
        <v>339</v>
      </c>
      <c r="E23" s="4"/>
      <c r="F23" s="4"/>
      <c r="G23" s="4"/>
      <c r="H23" s="4"/>
      <c r="I23" s="4"/>
      <c r="J23" s="4"/>
      <c r="K23" s="4"/>
      <c r="L23" s="4"/>
      <c r="M23" s="164"/>
      <c r="N23" s="19" t="s">
        <v>343</v>
      </c>
      <c r="O23" s="42">
        <f t="shared" si="5"/>
        <v>0.25</v>
      </c>
      <c r="P23" s="156" t="s">
        <v>327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ht="15.75" customHeight="1">
      <c r="A24" s="4"/>
      <c r="B24" s="34" t="s">
        <v>344</v>
      </c>
      <c r="C24" s="176">
        <f>ABS(C18*C22 + C19*C23)</f>
        <v>5.125246602</v>
      </c>
      <c r="D24" s="156" t="s">
        <v>345</v>
      </c>
      <c r="E24" s="4"/>
      <c r="F24" s="4"/>
      <c r="G24" s="4"/>
      <c r="H24" s="4"/>
      <c r="I24" s="4"/>
      <c r="J24" s="4"/>
      <c r="K24" s="4"/>
      <c r="L24" s="4"/>
      <c r="M24" s="4"/>
      <c r="N24" s="11" t="s">
        <v>346</v>
      </c>
      <c r="O24" s="12">
        <f>O21+O22+O23+O14</f>
        <v>0.465</v>
      </c>
      <c r="P24" s="156" t="s">
        <v>328</v>
      </c>
      <c r="Q24" s="4"/>
      <c r="R24" s="4"/>
      <c r="S24" s="4"/>
      <c r="T24" s="4"/>
      <c r="U24" s="4"/>
      <c r="V24" s="4"/>
      <c r="W24" s="4"/>
      <c r="X24" s="4"/>
      <c r="Y24" s="4"/>
      <c r="Z24" s="157" t="s">
        <v>347</v>
      </c>
      <c r="AA24" s="158"/>
    </row>
    <row r="25" ht="15.75" customHeight="1">
      <c r="A25" s="4"/>
      <c r="B25" s="34" t="s">
        <v>348</v>
      </c>
      <c r="C25" s="176">
        <f>MIN(L9:L12)</f>
        <v>0</v>
      </c>
      <c r="D25" s="156" t="s">
        <v>349</v>
      </c>
      <c r="E25" s="175" t="s">
        <v>350</v>
      </c>
      <c r="F25" s="4"/>
      <c r="G25" s="4"/>
      <c r="H25" s="4"/>
      <c r="I25" s="4"/>
      <c r="J25" s="4"/>
      <c r="K25" s="4"/>
      <c r="L25" s="164"/>
      <c r="M25" s="164"/>
      <c r="N25" s="11" t="s">
        <v>351</v>
      </c>
      <c r="O25" s="12">
        <f>O24+O17+(1-(O24+O17))</f>
        <v>1</v>
      </c>
      <c r="P25" s="156" t="s">
        <v>352</v>
      </c>
      <c r="Q25" s="164">
        <v>0.68</v>
      </c>
      <c r="R25" s="4"/>
      <c r="S25" s="177" t="s">
        <v>353</v>
      </c>
      <c r="T25" s="4"/>
      <c r="U25" s="4"/>
      <c r="V25" s="4"/>
      <c r="W25" s="4"/>
      <c r="X25" s="4"/>
      <c r="Y25" s="4"/>
      <c r="Z25" s="4"/>
      <c r="AA25" s="178" t="s">
        <v>354</v>
      </c>
    </row>
    <row r="26" ht="15.75" customHeight="1">
      <c r="A26" s="4"/>
      <c r="B26" s="34" t="s">
        <v>355</v>
      </c>
      <c r="C26" s="176">
        <f>C25/O30</f>
        <v>0</v>
      </c>
      <c r="D26" s="156" t="s">
        <v>356</v>
      </c>
      <c r="E26" s="152" t="s">
        <v>357</v>
      </c>
      <c r="F26" s="4"/>
      <c r="G26" s="4"/>
      <c r="H26" s="4"/>
      <c r="I26" s="4"/>
      <c r="J26" s="4"/>
      <c r="K26" s="4"/>
      <c r="L26" s="4"/>
      <c r="M26" s="4"/>
      <c r="N26" s="168" t="s">
        <v>358</v>
      </c>
      <c r="O26" s="12">
        <f>IF($O$6="Unificada",IF($O$25&lt;=6,2*$O$9+0.25,2*$O$9+0.5),IF(AND($O$25*25.4&lt;=125,$O$8&lt;=48),2*$O$8+6,IF(AND(O25&gt;125,O25&lt;=200),2*O8+12,2*O8+25)))</f>
        <v>0.75</v>
      </c>
      <c r="P26" s="156" t="s">
        <v>359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ht="15.75" customHeight="1">
      <c r="A27" s="4"/>
      <c r="B27" s="34" t="s">
        <v>360</v>
      </c>
      <c r="C27" s="35">
        <f>SQRT((1-(C26/0.6)^2)*O30^2)</f>
        <v>74000</v>
      </c>
      <c r="D27" s="156" t="s">
        <v>361</v>
      </c>
      <c r="E27" s="4"/>
      <c r="F27" s="4"/>
      <c r="G27" s="4"/>
      <c r="H27" s="4"/>
      <c r="I27" s="4"/>
      <c r="J27" s="4"/>
      <c r="K27" s="4"/>
      <c r="L27" s="4"/>
      <c r="M27" s="4"/>
      <c r="N27" s="168" t="s">
        <v>362</v>
      </c>
      <c r="O27" s="12">
        <f>O25-O26</f>
        <v>0.25</v>
      </c>
      <c r="P27" s="156" t="s">
        <v>363</v>
      </c>
      <c r="Q27" s="4"/>
      <c r="R27" s="156" t="s">
        <v>352</v>
      </c>
      <c r="S27" s="152" t="s">
        <v>364</v>
      </c>
      <c r="T27" s="4"/>
      <c r="U27" s="4"/>
      <c r="V27" s="4"/>
      <c r="W27" s="4"/>
      <c r="X27" s="4"/>
      <c r="Y27" s="4"/>
      <c r="Z27" s="157" t="s">
        <v>365</v>
      </c>
      <c r="AA27" s="158"/>
    </row>
    <row r="28" ht="15.75" customHeight="1">
      <c r="A28" s="4"/>
      <c r="B28" s="34" t="s">
        <v>366</v>
      </c>
      <c r="C28" s="35">
        <f>C27*C10</f>
        <v>2354.747937</v>
      </c>
      <c r="D28" s="156" t="s">
        <v>308</v>
      </c>
      <c r="E28" s="179" t="s">
        <v>367</v>
      </c>
      <c r="F28" s="4"/>
      <c r="G28" s="4"/>
      <c r="H28" s="4"/>
      <c r="I28" s="4"/>
      <c r="J28" s="4"/>
      <c r="K28" s="4"/>
      <c r="L28" s="4"/>
      <c r="M28" s="4"/>
      <c r="N28" s="11" t="s">
        <v>368</v>
      </c>
      <c r="O28" s="12">
        <f>O24-O27</f>
        <v>0.215</v>
      </c>
      <c r="P28" s="156" t="s">
        <v>369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ht="15.75" customHeight="1">
      <c r="A29" s="4"/>
      <c r="B29" s="79" t="s">
        <v>370</v>
      </c>
      <c r="C29" s="172" t="s">
        <v>315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168" t="s">
        <v>371</v>
      </c>
      <c r="O29" s="12">
        <v>2.65E7</v>
      </c>
      <c r="P29" s="156" t="s">
        <v>372</v>
      </c>
      <c r="Q29" s="4"/>
      <c r="R29" s="156" t="s">
        <v>359</v>
      </c>
      <c r="S29" s="4"/>
      <c r="T29" s="4"/>
      <c r="U29" s="4"/>
      <c r="V29" s="4"/>
      <c r="W29" s="4"/>
      <c r="X29" s="4"/>
      <c r="Y29" s="4"/>
      <c r="Z29" s="4"/>
      <c r="AA29" s="4"/>
    </row>
    <row r="30" ht="15.75" customHeight="1">
      <c r="A30" s="4"/>
      <c r="B30" s="42" t="s">
        <v>373</v>
      </c>
      <c r="C30" s="20">
        <f>IF(C29="SI",C13*0.9,C13)</f>
        <v>1813.792329</v>
      </c>
      <c r="D30" s="156" t="s">
        <v>308</v>
      </c>
      <c r="E30" s="179" t="s">
        <v>374</v>
      </c>
      <c r="F30" s="4"/>
      <c r="G30" s="4"/>
      <c r="H30" s="4"/>
      <c r="I30" s="4"/>
      <c r="J30" s="4"/>
      <c r="K30" s="4"/>
      <c r="L30" s="4"/>
      <c r="M30" s="4"/>
      <c r="N30" s="168" t="s">
        <v>375</v>
      </c>
      <c r="O30" s="12">
        <v>74000.0</v>
      </c>
      <c r="P30" s="156" t="s">
        <v>372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ht="15.75" customHeight="1">
      <c r="A31" s="4"/>
      <c r="B31" s="30" t="s">
        <v>376</v>
      </c>
      <c r="C31" s="180">
        <f>34.79/2</f>
        <v>17.395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168" t="s">
        <v>377</v>
      </c>
      <c r="O31" s="12">
        <v>57000.0</v>
      </c>
      <c r="P31" s="156" t="s">
        <v>372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ht="15.75" customHeight="1">
      <c r="A32" s="4"/>
      <c r="B32" s="34" t="s">
        <v>378</v>
      </c>
      <c r="C32" s="165" t="s">
        <v>203</v>
      </c>
      <c r="D32" s="181"/>
      <c r="E32" s="181"/>
      <c r="F32" s="4"/>
      <c r="G32" s="4"/>
      <c r="H32" s="4"/>
      <c r="I32" s="4"/>
      <c r="J32" s="4"/>
      <c r="K32" s="4"/>
      <c r="L32" s="4"/>
      <c r="M32" s="4"/>
      <c r="N32" s="11" t="s">
        <v>379</v>
      </c>
      <c r="O32" s="12">
        <v>55000.0</v>
      </c>
      <c r="P32" s="156" t="s">
        <v>372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ht="15.75" customHeight="1">
      <c r="A33" s="4"/>
      <c r="B33" s="34" t="s">
        <v>380</v>
      </c>
      <c r="C33" s="165">
        <f>C31/0.2</f>
        <v>86.975</v>
      </c>
      <c r="D33" s="182" t="s">
        <v>381</v>
      </c>
      <c r="E33" s="183"/>
      <c r="F33" s="184" t="s">
        <v>382</v>
      </c>
      <c r="G33" s="154"/>
      <c r="H33" s="152" t="s">
        <v>383</v>
      </c>
      <c r="I33" s="4"/>
      <c r="J33" s="4"/>
      <c r="K33" s="4"/>
      <c r="L33" s="4"/>
      <c r="M33" s="4"/>
      <c r="N33" s="11" t="s">
        <v>384</v>
      </c>
      <c r="O33" s="12">
        <v>30000.0</v>
      </c>
      <c r="P33" s="156" t="s">
        <v>372</v>
      </c>
      <c r="Q33" s="4"/>
      <c r="R33" s="156" t="s">
        <v>363</v>
      </c>
      <c r="S33" s="164" t="s">
        <v>385</v>
      </c>
      <c r="T33" s="4"/>
      <c r="U33" s="4"/>
      <c r="V33" s="4"/>
      <c r="W33" s="4"/>
      <c r="X33" s="4"/>
      <c r="Y33" s="4"/>
      <c r="Z33" s="4"/>
      <c r="AA33" s="4"/>
    </row>
    <row r="34" ht="15.75" customHeight="1">
      <c r="A34" s="4"/>
      <c r="B34" s="34" t="s">
        <v>386</v>
      </c>
      <c r="C34" s="12">
        <f>0.6*(C30-C33)+C33</f>
        <v>1123.065398</v>
      </c>
      <c r="D34" s="185" t="s">
        <v>387</v>
      </c>
      <c r="E34" s="186"/>
      <c r="F34" s="156" t="s">
        <v>308</v>
      </c>
      <c r="G34" s="4"/>
      <c r="H34" s="187"/>
      <c r="I34" s="4"/>
      <c r="K34" s="4"/>
      <c r="L34" s="4"/>
      <c r="M34" s="4"/>
      <c r="N34" s="168" t="s">
        <v>388</v>
      </c>
      <c r="O34" s="12">
        <v>0.5</v>
      </c>
      <c r="P34" s="156" t="s">
        <v>389</v>
      </c>
      <c r="Q34" s="4"/>
      <c r="R34" s="156" t="s">
        <v>369</v>
      </c>
      <c r="S34" s="164" t="s">
        <v>390</v>
      </c>
      <c r="T34" s="4"/>
      <c r="U34" s="4"/>
      <c r="V34" s="4"/>
      <c r="W34" s="4"/>
      <c r="X34" s="4"/>
      <c r="Y34" s="4"/>
      <c r="Z34" s="4"/>
      <c r="AA34" s="4"/>
    </row>
    <row r="35" ht="15.75" customHeight="1">
      <c r="A35" s="4"/>
      <c r="B35" s="34" t="s">
        <v>391</v>
      </c>
      <c r="C35" s="12">
        <f>C34+(O34*C34)</f>
        <v>1684.598097</v>
      </c>
      <c r="D35" s="156" t="s">
        <v>392</v>
      </c>
      <c r="E35" s="4"/>
      <c r="F35" s="4"/>
      <c r="G35" s="4"/>
      <c r="H35" s="4"/>
      <c r="I35" s="4"/>
      <c r="J35" s="4"/>
      <c r="K35" s="4"/>
      <c r="L35" s="4"/>
      <c r="M35" s="4"/>
      <c r="N35" s="168" t="s">
        <v>393</v>
      </c>
      <c r="O35" s="12">
        <v>0.1</v>
      </c>
      <c r="P35" s="156" t="s">
        <v>394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ht="15.75" customHeight="1">
      <c r="A36" s="4"/>
      <c r="B36" s="34" t="s">
        <v>395</v>
      </c>
      <c r="C36" s="12">
        <f>C35+C31*(C42/(C42+C41))</f>
        <v>1695.774251</v>
      </c>
      <c r="D36" s="156" t="s">
        <v>396</v>
      </c>
      <c r="E36" s="4"/>
      <c r="F36" s="153" t="s">
        <v>397</v>
      </c>
      <c r="G36" s="154"/>
      <c r="H36" s="4"/>
      <c r="I36" s="4"/>
      <c r="J36" s="4"/>
      <c r="K36" s="4"/>
      <c r="L36" s="4"/>
      <c r="M36" s="4"/>
      <c r="N36" s="188" t="s">
        <v>398</v>
      </c>
      <c r="O36" s="20">
        <v>0.2</v>
      </c>
      <c r="P36" s="156" t="s">
        <v>399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ht="15.75" customHeight="1">
      <c r="A37" s="4"/>
      <c r="B37" s="34" t="s">
        <v>400</v>
      </c>
      <c r="C37" s="12">
        <f>C34*(1-O34-O35)-C31*((1-C42)/(C42+C41))</f>
        <v>460.4023105</v>
      </c>
      <c r="D37" s="156" t="s">
        <v>401</v>
      </c>
      <c r="E37" s="4"/>
      <c r="F37" s="156" t="s">
        <v>402</v>
      </c>
      <c r="G37" s="4"/>
      <c r="H37" s="156" t="s">
        <v>336</v>
      </c>
      <c r="I37" s="156" t="s">
        <v>345</v>
      </c>
      <c r="J37" s="4"/>
      <c r="K37" s="153" t="s">
        <v>403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189" t="s">
        <v>404</v>
      </c>
      <c r="AA37" s="190"/>
    </row>
    <row r="38" ht="15.75" customHeight="1">
      <c r="A38" s="4"/>
      <c r="B38" s="42" t="s">
        <v>405</v>
      </c>
      <c r="C38" s="20">
        <f>O36*O9*C34</f>
        <v>56.15326988</v>
      </c>
      <c r="D38" s="156" t="s">
        <v>406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156" t="s">
        <v>407</v>
      </c>
      <c r="S38" s="4"/>
      <c r="T38" s="4"/>
      <c r="U38" s="4"/>
      <c r="V38" s="4"/>
      <c r="W38" s="4"/>
      <c r="X38" s="4"/>
      <c r="Y38" s="4"/>
      <c r="Z38" s="4"/>
      <c r="AA38" s="4"/>
    </row>
    <row r="39" ht="15.75" customHeight="1">
      <c r="A39" s="4"/>
      <c r="B39" s="156" t="s">
        <v>408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ht="15.75" customHeight="1">
      <c r="A40" s="4"/>
      <c r="B40" s="191" t="s">
        <v>409</v>
      </c>
      <c r="C40" s="22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ht="15.75" customHeight="1">
      <c r="A41" s="4"/>
      <c r="B41" s="171" t="s">
        <v>410</v>
      </c>
      <c r="C41" s="9">
        <f>(C10*C9*O29)/(O28*C9 + O27*C10)</f>
        <v>2236377.508</v>
      </c>
      <c r="D41" s="156" t="s">
        <v>411</v>
      </c>
      <c r="E41" s="4"/>
      <c r="F41" s="153" t="s">
        <v>412</v>
      </c>
      <c r="G41" s="154"/>
      <c r="H41" s="152" t="s">
        <v>383</v>
      </c>
      <c r="I41" s="152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ht="15.75" customHeight="1">
      <c r="A42" s="4"/>
      <c r="B42" s="42" t="s">
        <v>413</v>
      </c>
      <c r="C42" s="20">
        <f>(1+((3*O24)/(7*O9)))*C41</f>
        <v>4019089.864</v>
      </c>
      <c r="D42" s="156" t="s">
        <v>414</v>
      </c>
      <c r="E42" s="4"/>
      <c r="F42" s="156" t="s">
        <v>308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ht="15.75" customHeight="1">
      <c r="A46" s="4"/>
      <c r="B46" s="4"/>
      <c r="C46" s="4"/>
      <c r="D46" s="4"/>
      <c r="E46" s="4"/>
      <c r="F46" s="164" t="s">
        <v>381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ht="15.75" customHeight="1">
      <c r="A48" s="4"/>
      <c r="B48" s="4"/>
      <c r="C48" s="4"/>
      <c r="D48" s="4"/>
      <c r="E48" s="4"/>
      <c r="F48" s="164" t="s">
        <v>387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ht="15.75" customHeight="1">
      <c r="A51" s="4"/>
      <c r="B51" s="4"/>
      <c r="C51" s="4"/>
      <c r="D51" s="4"/>
      <c r="E51" s="4"/>
      <c r="F51" s="164" t="s">
        <v>392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ht="15.75" customHeight="1">
      <c r="A54" s="4"/>
      <c r="B54" s="4"/>
      <c r="C54" s="4"/>
      <c r="D54" s="4"/>
      <c r="E54" s="4"/>
      <c r="F54" s="164" t="s">
        <v>396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ht="15.75" customHeight="1">
      <c r="A56" s="4"/>
      <c r="B56" s="4"/>
      <c r="C56" s="4"/>
      <c r="D56" s="4"/>
      <c r="E56" s="4"/>
      <c r="F56" s="164" t="s">
        <v>401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ht="15.75" customHeight="1">
      <c r="A59" s="4"/>
      <c r="B59" s="4"/>
      <c r="C59" s="4"/>
      <c r="D59" s="4"/>
      <c r="E59" s="4"/>
      <c r="F59" s="164" t="s">
        <v>415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ht="15.75" customHeight="1">
      <c r="A65" s="192" t="s">
        <v>416</v>
      </c>
      <c r="B65" s="2"/>
      <c r="C65" s="2"/>
      <c r="D65" s="2"/>
      <c r="E65" s="2"/>
      <c r="F65" s="3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ht="15.75" customHeight="1">
      <c r="A66" s="5"/>
      <c r="B66" s="6"/>
      <c r="C66" s="6"/>
      <c r="D66" s="6"/>
      <c r="E66" s="6"/>
      <c r="F66" s="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ht="15.75" customHeight="1">
      <c r="A67" s="4"/>
      <c r="B67" s="181"/>
      <c r="C67" s="181"/>
      <c r="D67" s="181"/>
      <c r="E67" s="181"/>
      <c r="F67" s="181"/>
      <c r="G67" s="181"/>
      <c r="H67" s="181"/>
      <c r="I67" s="181"/>
      <c r="J67" s="181"/>
      <c r="K67" s="181"/>
      <c r="L67" s="181"/>
      <c r="M67" s="181"/>
      <c r="N67" s="181"/>
      <c r="O67" s="181"/>
      <c r="P67" s="181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</row>
    <row r="68" ht="15.75" customHeight="1">
      <c r="A68" s="36"/>
      <c r="B68" s="193" t="s">
        <v>417</v>
      </c>
      <c r="C68" s="194">
        <v>145.0</v>
      </c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</row>
    <row r="69" ht="15.75" customHeight="1">
      <c r="A69" s="36"/>
      <c r="B69" s="193" t="s">
        <v>418</v>
      </c>
      <c r="C69" s="193">
        <v>50.8</v>
      </c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</row>
    <row r="70" ht="15.75" customHeight="1">
      <c r="A70" s="36"/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196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</row>
    <row r="71" ht="15.75" customHeight="1">
      <c r="A71" s="4"/>
      <c r="B71" s="197"/>
      <c r="C71" s="198"/>
      <c r="D71" s="198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8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</row>
    <row r="72" ht="15.75" customHeight="1">
      <c r="A72" s="36"/>
      <c r="B72" s="199" t="s">
        <v>419</v>
      </c>
      <c r="C72" s="200" t="s">
        <v>420</v>
      </c>
      <c r="D72" s="201"/>
      <c r="E72" s="199" t="s">
        <v>421</v>
      </c>
      <c r="F72" s="201"/>
      <c r="G72" s="199" t="s">
        <v>422</v>
      </c>
      <c r="H72" s="199" t="s">
        <v>423</v>
      </c>
      <c r="I72" s="199" t="s">
        <v>424</v>
      </c>
      <c r="J72" s="199" t="s">
        <v>425</v>
      </c>
      <c r="K72" s="199" t="s">
        <v>426</v>
      </c>
      <c r="L72" s="199" t="s">
        <v>427</v>
      </c>
      <c r="M72" s="199" t="s">
        <v>428</v>
      </c>
      <c r="N72" s="199" t="s">
        <v>429</v>
      </c>
      <c r="O72" s="199" t="s">
        <v>430</v>
      </c>
      <c r="P72" s="16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ht="15.75" customHeight="1">
      <c r="A73" s="36"/>
      <c r="B73" s="199" t="s">
        <v>431</v>
      </c>
      <c r="C73" s="199">
        <v>270.4</v>
      </c>
      <c r="D73" s="201"/>
      <c r="E73" s="199">
        <v>12.328</v>
      </c>
      <c r="F73" s="201"/>
      <c r="G73" s="199">
        <v>1656.23</v>
      </c>
      <c r="H73" s="201">
        <f t="shared" ref="H73:H75" si="6">(2*$C$69)/1000</f>
        <v>0.1016</v>
      </c>
      <c r="I73" s="201">
        <f t="shared" ref="I73:I75" si="7">(((4*(50.8^2))+(50.8^2))/6)*(1/1000)^2</f>
        <v>0.002150533333</v>
      </c>
      <c r="J73" s="201">
        <f t="shared" ref="J73:J75" si="8">C73/H73</f>
        <v>2661.417323</v>
      </c>
      <c r="K73" s="201">
        <f t="shared" ref="K73:K75" si="9">E73/H73</f>
        <v>121.3385827</v>
      </c>
      <c r="L73" s="201">
        <f t="shared" ref="L73:L75" si="10">G73/I73</f>
        <v>770148.4903</v>
      </c>
      <c r="M73" s="201">
        <f t="shared" ref="M73:M75" si="11">SQRT(J73^2+K73^2+L73^2)</f>
        <v>770153.0984</v>
      </c>
      <c r="N73" s="202">
        <f t="shared" ref="N73:N75" si="12">M73/($C$68*1000000)*1000</f>
        <v>5.311400679</v>
      </c>
      <c r="O73" s="201">
        <f t="shared" ref="O73:O75" si="13">1.414*N73</f>
        <v>7.51032056</v>
      </c>
      <c r="P73" s="16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ht="15.75" customHeight="1">
      <c r="A74" s="36"/>
      <c r="B74" s="199" t="s">
        <v>432</v>
      </c>
      <c r="C74" s="199">
        <v>18.684</v>
      </c>
      <c r="D74" s="201"/>
      <c r="E74" s="199">
        <v>119.0</v>
      </c>
      <c r="F74" s="201"/>
      <c r="G74" s="199">
        <v>1252.3</v>
      </c>
      <c r="H74" s="201">
        <f t="shared" si="6"/>
        <v>0.1016</v>
      </c>
      <c r="I74" s="201">
        <f t="shared" si="7"/>
        <v>0.002150533333</v>
      </c>
      <c r="J74" s="201">
        <f t="shared" si="8"/>
        <v>183.8976378</v>
      </c>
      <c r="K74" s="201">
        <f t="shared" si="9"/>
        <v>1171.259843</v>
      </c>
      <c r="L74" s="201">
        <f t="shared" si="10"/>
        <v>582320.6646</v>
      </c>
      <c r="M74" s="201">
        <f t="shared" si="11"/>
        <v>582321.8716</v>
      </c>
      <c r="N74" s="202">
        <f t="shared" si="12"/>
        <v>4.016012908</v>
      </c>
      <c r="O74" s="201">
        <f t="shared" si="13"/>
        <v>5.678642251</v>
      </c>
      <c r="P74" s="16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ht="15.75" customHeight="1">
      <c r="A75" s="36"/>
      <c r="B75" s="199" t="s">
        <v>433</v>
      </c>
      <c r="C75" s="199">
        <v>2.697</v>
      </c>
      <c r="D75" s="201"/>
      <c r="E75" s="199">
        <v>115.09</v>
      </c>
      <c r="F75" s="201"/>
      <c r="G75" s="199">
        <v>996.687</v>
      </c>
      <c r="H75" s="201">
        <f t="shared" si="6"/>
        <v>0.1016</v>
      </c>
      <c r="I75" s="201">
        <f t="shared" si="7"/>
        <v>0.002150533333</v>
      </c>
      <c r="J75" s="201">
        <f t="shared" si="8"/>
        <v>26.54527559</v>
      </c>
      <c r="K75" s="201">
        <f t="shared" si="9"/>
        <v>1132.775591</v>
      </c>
      <c r="L75" s="201">
        <f t="shared" si="10"/>
        <v>463460.3819</v>
      </c>
      <c r="M75" s="201">
        <f t="shared" si="11"/>
        <v>463461.767</v>
      </c>
      <c r="N75" s="202">
        <f t="shared" si="12"/>
        <v>3.196288048</v>
      </c>
      <c r="O75" s="201">
        <f t="shared" si="13"/>
        <v>4.519551301</v>
      </c>
      <c r="P75" s="16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ht="15.75" customHeight="1">
      <c r="A76" s="4"/>
      <c r="B76" s="186"/>
      <c r="C76" s="186"/>
      <c r="D76" s="186"/>
      <c r="E76" s="186"/>
      <c r="F76" s="186"/>
      <c r="G76" s="186"/>
      <c r="H76" s="186"/>
      <c r="I76" s="186"/>
      <c r="J76" s="186"/>
      <c r="K76" s="186"/>
      <c r="L76" s="186"/>
      <c r="M76" s="186"/>
      <c r="N76" s="186"/>
      <c r="O76" s="186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ht="15.75" customHeight="1">
      <c r="A79" s="4"/>
      <c r="B79" s="4"/>
      <c r="C79" s="4"/>
      <c r="D79" s="4"/>
      <c r="E79" s="4"/>
      <c r="F79" s="203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</sheetData>
  <mergeCells count="10">
    <mergeCell ref="B40:C40"/>
    <mergeCell ref="A65:F66"/>
    <mergeCell ref="L70:M70"/>
    <mergeCell ref="A1:F2"/>
    <mergeCell ref="B5:L5"/>
    <mergeCell ref="N5:O5"/>
    <mergeCell ref="B7:C7"/>
    <mergeCell ref="F7:L7"/>
    <mergeCell ref="B12:C12"/>
    <mergeCell ref="Z37:AA37"/>
  </mergeCells>
  <conditionalFormatting sqref="B36:C36">
    <cfRule type="cellIs" dxfId="0" priority="1" operator="lessThan">
      <formula>$C$30</formula>
    </cfRule>
  </conditionalFormatting>
  <conditionalFormatting sqref="C36">
    <cfRule type="cellIs" dxfId="2" priority="2" operator="greaterThan">
      <formula>$C$30</formula>
    </cfRule>
  </conditionalFormatting>
  <conditionalFormatting sqref="C37">
    <cfRule type="cellIs" dxfId="2" priority="3" operator="lessThan">
      <formula>$C$33</formula>
    </cfRule>
  </conditionalFormatting>
  <conditionalFormatting sqref="C37">
    <cfRule type="cellIs" dxfId="0" priority="4" operator="greaterThan">
      <formula>$C$33</formula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71"/>
    <col customWidth="1" min="4" max="4" width="12.57"/>
    <col customWidth="1" min="5" max="26" width="10.71"/>
  </cols>
  <sheetData>
    <row r="1">
      <c r="A1" s="204" t="s">
        <v>434</v>
      </c>
      <c r="B1" s="204">
        <f>Ejes!R12</f>
        <v>-42.77605128</v>
      </c>
      <c r="D1" s="204" t="s">
        <v>435</v>
      </c>
      <c r="E1" s="204">
        <v>51.0</v>
      </c>
      <c r="G1" s="204" t="s">
        <v>436</v>
      </c>
      <c r="H1" s="204">
        <v>-42.8</v>
      </c>
      <c r="J1" s="204" t="s">
        <v>437</v>
      </c>
      <c r="K1" s="204">
        <v>82.0</v>
      </c>
    </row>
    <row r="2">
      <c r="A2" s="204" t="s">
        <v>438</v>
      </c>
      <c r="B2" s="204">
        <f>(B1*E1/1000)/4</f>
        <v>-0.5453946538</v>
      </c>
      <c r="D2" s="204" t="s">
        <v>439</v>
      </c>
      <c r="E2" s="204">
        <v>18.4</v>
      </c>
      <c r="G2" s="204" t="s">
        <v>440</v>
      </c>
      <c r="H2" s="204">
        <f>-9.81*(0.054+0.4)</f>
        <v>-4.45374</v>
      </c>
      <c r="J2" s="204" t="s">
        <v>441</v>
      </c>
      <c r="K2" s="204">
        <v>-2.5</v>
      </c>
    </row>
    <row r="3">
      <c r="A3" s="204" t="s">
        <v>442</v>
      </c>
      <c r="B3" s="204">
        <f>ABS(B2/(E2/1000))</f>
        <v>29.64101379</v>
      </c>
      <c r="D3" s="204" t="s">
        <v>443</v>
      </c>
      <c r="E3" s="204">
        <v>40.8</v>
      </c>
      <c r="G3" s="204" t="s">
        <v>444</v>
      </c>
      <c r="H3" s="204">
        <f>-9.81*(0.918+2*0.73)</f>
        <v>-23.32818</v>
      </c>
      <c r="J3" s="204" t="s">
        <v>445</v>
      </c>
      <c r="K3" s="204">
        <v>-46.7</v>
      </c>
    </row>
    <row r="4">
      <c r="J4" s="204" t="s">
        <v>446</v>
      </c>
      <c r="K4" s="204">
        <v>3.9</v>
      </c>
    </row>
    <row r="5">
      <c r="A5" s="204" t="s">
        <v>447</v>
      </c>
    </row>
    <row r="6">
      <c r="A6" s="204" t="s">
        <v>448</v>
      </c>
      <c r="B6" s="204">
        <f>$B$3*COS(RADIANS($E$3))</f>
        <v>22.43810089</v>
      </c>
    </row>
    <row r="7">
      <c r="A7" s="204" t="s">
        <v>449</v>
      </c>
      <c r="B7" s="204">
        <f>$B$3*SIN(RADIANS($E$3))</f>
        <v>19.36804914</v>
      </c>
      <c r="E7" s="205" t="s">
        <v>450</v>
      </c>
      <c r="F7" s="205" t="s">
        <v>451</v>
      </c>
      <c r="G7" s="205" t="s">
        <v>452</v>
      </c>
      <c r="H7" s="205" t="s">
        <v>453</v>
      </c>
    </row>
    <row r="8">
      <c r="A8" s="204" t="s">
        <v>454</v>
      </c>
      <c r="B8" s="204">
        <f>-B7</f>
        <v>-19.36804914</v>
      </c>
      <c r="E8" s="205">
        <v>1.0</v>
      </c>
      <c r="F8" s="206">
        <f>B6+$H$1/4</f>
        <v>11.73810089</v>
      </c>
      <c r="G8" s="206">
        <f>H2/4</f>
        <v>-1.113435</v>
      </c>
      <c r="H8" s="206">
        <f>B7</f>
        <v>19.36804914</v>
      </c>
    </row>
    <row r="9">
      <c r="A9" s="204" t="s">
        <v>455</v>
      </c>
      <c r="B9" s="204">
        <f>B6</f>
        <v>22.43810089</v>
      </c>
      <c r="E9" s="205">
        <v>2.0</v>
      </c>
      <c r="F9" s="206">
        <f>B8+$H$1/4</f>
        <v>-30.06804914</v>
      </c>
      <c r="G9" s="206">
        <f t="shared" ref="G9:G11" si="1">G8</f>
        <v>-1.113435</v>
      </c>
      <c r="H9" s="206">
        <f>B9</f>
        <v>22.43810089</v>
      </c>
    </row>
    <row r="10">
      <c r="A10" s="204" t="s">
        <v>456</v>
      </c>
      <c r="B10" s="204">
        <f t="shared" ref="B10:B13" si="2">-B6</f>
        <v>-22.43810089</v>
      </c>
      <c r="E10" s="205">
        <v>3.0</v>
      </c>
      <c r="F10" s="206">
        <f>B10+$H$1/4</f>
        <v>-33.13810089</v>
      </c>
      <c r="G10" s="206">
        <f t="shared" si="1"/>
        <v>-1.113435</v>
      </c>
      <c r="H10" s="206">
        <f>B11</f>
        <v>-19.36804914</v>
      </c>
    </row>
    <row r="11">
      <c r="A11" s="204" t="s">
        <v>457</v>
      </c>
      <c r="B11" s="204">
        <f t="shared" si="2"/>
        <v>-19.36804914</v>
      </c>
      <c r="E11" s="205">
        <v>4.0</v>
      </c>
      <c r="F11" s="206">
        <f>B12+$H$1/4</f>
        <v>8.668049137</v>
      </c>
      <c r="G11" s="206">
        <f t="shared" si="1"/>
        <v>-1.113435</v>
      </c>
      <c r="H11" s="206">
        <f>B13</f>
        <v>-22.43810089</v>
      </c>
    </row>
    <row r="12">
      <c r="A12" s="204" t="s">
        <v>458</v>
      </c>
      <c r="B12" s="204">
        <f t="shared" si="2"/>
        <v>19.36804914</v>
      </c>
      <c r="E12" s="205">
        <v>5.0</v>
      </c>
      <c r="F12" s="206">
        <f>K1/2</f>
        <v>41</v>
      </c>
      <c r="G12" s="206">
        <f>$K$2/2+$H$3/4</f>
        <v>-7.082045</v>
      </c>
      <c r="H12" s="206">
        <v>0.0</v>
      </c>
    </row>
    <row r="13">
      <c r="A13" s="204" t="s">
        <v>459</v>
      </c>
      <c r="B13" s="204">
        <f t="shared" si="2"/>
        <v>-22.43810089</v>
      </c>
      <c r="E13" s="205">
        <v>6.0</v>
      </c>
      <c r="F13" s="206">
        <f>K3/2</f>
        <v>-23.35</v>
      </c>
      <c r="G13" s="206">
        <f>K4/2+H3/4</f>
        <v>-3.882045</v>
      </c>
      <c r="H13" s="206">
        <v>0.0</v>
      </c>
    </row>
    <row r="14">
      <c r="E14" s="205">
        <v>7.0</v>
      </c>
      <c r="F14" s="206">
        <f t="shared" ref="F14:G14" si="3">F13</f>
        <v>-23.35</v>
      </c>
      <c r="G14" s="206">
        <f t="shared" si="3"/>
        <v>-3.882045</v>
      </c>
      <c r="H14" s="206">
        <v>0.0</v>
      </c>
    </row>
    <row r="15">
      <c r="E15" s="205">
        <v>8.0</v>
      </c>
      <c r="F15" s="206">
        <f t="shared" ref="F15:G15" si="4">F12</f>
        <v>41</v>
      </c>
      <c r="G15" s="206">
        <f t="shared" si="4"/>
        <v>-7.082045</v>
      </c>
      <c r="H15" s="206">
        <v>0.0</v>
      </c>
    </row>
    <row r="18">
      <c r="E18" s="207" t="s">
        <v>460</v>
      </c>
      <c r="F18" s="208"/>
      <c r="G18" s="208"/>
      <c r="H18" s="209"/>
    </row>
    <row r="19">
      <c r="E19" s="205" t="s">
        <v>461</v>
      </c>
      <c r="F19" s="205" t="s">
        <v>462</v>
      </c>
      <c r="G19" s="205" t="s">
        <v>463</v>
      </c>
      <c r="H19" s="205" t="s">
        <v>464</v>
      </c>
    </row>
    <row r="20">
      <c r="E20" s="205">
        <f t="array" ref="E20:E27">E8:E15</f>
        <v>1</v>
      </c>
      <c r="F20" s="206">
        <f t="array" ref="F20:F27">-F8:F15</f>
        <v>-11.73810089</v>
      </c>
      <c r="G20" s="206">
        <f t="array" ref="G20:G27">G8:G15</f>
        <v>-1.113435</v>
      </c>
      <c r="H20" s="206">
        <f t="array" ref="H20:H27">H8:H15</f>
        <v>19.36804914</v>
      </c>
    </row>
    <row r="21" ht="15.75" customHeight="1">
      <c r="E21" s="205">
        <v>2.0</v>
      </c>
      <c r="F21" s="206">
        <v>30.06804913671342</v>
      </c>
      <c r="G21" s="206">
        <v>-1.1134350000000002</v>
      </c>
      <c r="H21" s="206">
        <v>22.438100887210997</v>
      </c>
    </row>
    <row r="22" ht="15.75" customHeight="1">
      <c r="E22" s="205">
        <v>3.0</v>
      </c>
      <c r="F22" s="206">
        <v>33.138100887210996</v>
      </c>
      <c r="G22" s="206">
        <v>-1.1134350000000002</v>
      </c>
      <c r="H22" s="206">
        <v>-19.36804913671342</v>
      </c>
    </row>
    <row r="23" ht="15.75" customHeight="1">
      <c r="E23" s="205">
        <v>4.0</v>
      </c>
      <c r="F23" s="206">
        <v>-8.668049136713421</v>
      </c>
      <c r="G23" s="206">
        <v>-1.1134350000000002</v>
      </c>
      <c r="H23" s="206">
        <v>-22.438100887210997</v>
      </c>
    </row>
    <row r="24" ht="15.75" customHeight="1">
      <c r="E24" s="205">
        <v>5.0</v>
      </c>
      <c r="F24" s="206">
        <v>-41.0</v>
      </c>
      <c r="G24" s="206">
        <v>-7.082045000000001</v>
      </c>
      <c r="H24" s="206">
        <v>0.0</v>
      </c>
    </row>
    <row r="25" ht="15.75" customHeight="1">
      <c r="E25" s="205">
        <v>6.0</v>
      </c>
      <c r="F25" s="206">
        <v>23.35</v>
      </c>
      <c r="G25" s="206">
        <v>-3.8820450000000006</v>
      </c>
      <c r="H25" s="206">
        <v>0.0</v>
      </c>
    </row>
    <row r="26" ht="15.75" customHeight="1">
      <c r="E26" s="205">
        <v>7.0</v>
      </c>
      <c r="F26" s="206">
        <v>23.35</v>
      </c>
      <c r="G26" s="206">
        <v>-3.8820450000000006</v>
      </c>
      <c r="H26" s="206">
        <v>0.0</v>
      </c>
    </row>
    <row r="27" ht="15.75" customHeight="1">
      <c r="E27" s="205">
        <v>8.0</v>
      </c>
      <c r="F27" s="206">
        <v>-41.0</v>
      </c>
      <c r="G27" s="206">
        <v>-7.082045000000001</v>
      </c>
      <c r="H27" s="206">
        <v>0.0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E18:H18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2023-03-30T01:50:49Z</dcterms:created>
  <dc:creator>Juan Manuel</dc:creator>
</cp:coreProperties>
</file>