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jrubiov_unal_edu_co/Documents/"/>
    </mc:Choice>
  </mc:AlternateContent>
  <xr:revisionPtr revIDLastSave="1556" documentId="8_{D3B9C267-FEB0-4C13-8AFF-C6D42434FD39}" xr6:coauthVersionLast="47" xr6:coauthVersionMax="47" xr10:uidLastSave="{3DC2A9F0-2AA5-42E2-9BEF-D2A10E6164CE}"/>
  <bookViews>
    <workbookView xWindow="-120" yWindow="-120" windowWidth="20730" windowHeight="11160" activeTab="2" xr2:uid="{407F22C1-01F2-48A1-AB65-425AC0C4645A}"/>
  </bookViews>
  <sheets>
    <sheet name="Desgaste" sheetId="1" r:id="rId1"/>
    <sheet name="Flexible" sheetId="3" r:id="rId2"/>
    <sheet name="Ej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102" i="2" l="1"/>
  <c r="AZ102" i="2"/>
  <c r="BM89" i="2"/>
  <c r="BM76" i="2"/>
  <c r="BW12" i="2"/>
  <c r="BY11" i="2" s="1"/>
  <c r="BM77" i="2" s="1"/>
  <c r="CL15" i="2"/>
  <c r="CL11" i="2"/>
  <c r="CL7" i="2"/>
  <c r="X11" i="2"/>
  <c r="Y11" i="2" s="1"/>
  <c r="CI7" i="2"/>
  <c r="CF12" i="2"/>
  <c r="CF11" i="2"/>
  <c r="CF10" i="2"/>
  <c r="CF9" i="2"/>
  <c r="CF8" i="2"/>
  <c r="CK7" i="2"/>
  <c r="CI8" i="2"/>
  <c r="CI9" i="2"/>
  <c r="CF15" i="2"/>
  <c r="CF14" i="2"/>
  <c r="BM63" i="2"/>
  <c r="BA89" i="2"/>
  <c r="AZ89" i="2" s="1"/>
  <c r="BJ90" i="2" s="1"/>
  <c r="BA76" i="2"/>
  <c r="AZ76" i="2" s="1"/>
  <c r="BJ77" i="2" s="1"/>
  <c r="BA63" i="2"/>
  <c r="AZ63" i="2" s="1"/>
  <c r="BJ102" i="2"/>
  <c r="BJ89" i="2"/>
  <c r="BJ76" i="2"/>
  <c r="BJ63" i="2"/>
  <c r="BV8" i="2"/>
  <c r="BV9" i="2" s="1"/>
  <c r="BV10" i="2" s="1"/>
  <c r="BV11" i="2" s="1"/>
  <c r="BV12" i="2" s="1"/>
  <c r="BV13" i="2" s="1"/>
  <c r="BV14" i="2" s="1"/>
  <c r="BV15" i="2" s="1"/>
  <c r="BV16" i="2" s="1"/>
  <c r="BV17" i="2" s="1"/>
  <c r="BW16" i="2"/>
  <c r="BY15" i="2" s="1"/>
  <c r="BM103" i="2" s="1"/>
  <c r="BW14" i="2"/>
  <c r="BY13" i="2" s="1"/>
  <c r="BM90" i="2" s="1"/>
  <c r="BW10" i="2"/>
  <c r="BY9" i="2" s="1"/>
  <c r="BM64" i="2" s="1"/>
  <c r="BW8" i="2"/>
  <c r="BJ49" i="2"/>
  <c r="AZ49" i="2"/>
  <c r="BM51" i="2" s="1"/>
  <c r="BM53" i="2" s="1"/>
  <c r="BJ35" i="2"/>
  <c r="AZ35" i="2"/>
  <c r="BM37" i="2" s="1"/>
  <c r="BM39" i="2" s="1"/>
  <c r="BJ21" i="2"/>
  <c r="AZ21" i="2"/>
  <c r="BJ22" i="2" s="1"/>
  <c r="BJ7" i="2"/>
  <c r="AZ7" i="2"/>
  <c r="BM9" i="2" s="1"/>
  <c r="BM11" i="2" s="1"/>
  <c r="T20" i="2"/>
  <c r="CK17" i="2" s="1"/>
  <c r="T21" i="2"/>
  <c r="CK18" i="2" s="1"/>
  <c r="T22" i="2"/>
  <c r="CK19" i="2" s="1"/>
  <c r="T23" i="2"/>
  <c r="CK20" i="2" s="1"/>
  <c r="T19" i="2"/>
  <c r="U19" i="2" s="1"/>
  <c r="T15" i="2"/>
  <c r="CK13" i="2" s="1"/>
  <c r="T16" i="2"/>
  <c r="U16" i="2" s="1"/>
  <c r="T14" i="2"/>
  <c r="CK12" i="2" s="1"/>
  <c r="T10" i="2"/>
  <c r="U10" i="2" s="1"/>
  <c r="T11" i="2"/>
  <c r="CK10" i="2" s="1"/>
  <c r="T9" i="2"/>
  <c r="CK8" i="2" s="1"/>
  <c r="AA7" i="2"/>
  <c r="Y8" i="2"/>
  <c r="Y7" i="2"/>
  <c r="X21" i="2"/>
  <c r="Y21" i="2" s="1"/>
  <c r="X15" i="2"/>
  <c r="Y15" i="2" s="1"/>
  <c r="Y12" i="2"/>
  <c r="Y10" i="2"/>
  <c r="W7" i="2"/>
  <c r="T24" i="2"/>
  <c r="U24" i="2" s="1"/>
  <c r="T12" i="2"/>
  <c r="CK11" i="2" s="1"/>
  <c r="T17" i="2"/>
  <c r="T18" i="2" s="1"/>
  <c r="U18" i="2" s="1"/>
  <c r="U7" i="2"/>
  <c r="J14" i="2"/>
  <c r="J15" i="2" s="1"/>
  <c r="D13" i="2"/>
  <c r="D14" i="2" s="1"/>
  <c r="D15" i="2" s="1"/>
  <c r="R17" i="2" s="1"/>
  <c r="CI17" i="2" s="1"/>
  <c r="G9" i="2"/>
  <c r="G11" i="2"/>
  <c r="J12" i="3"/>
  <c r="J17" i="3"/>
  <c r="M17" i="3"/>
  <c r="M18" i="3"/>
  <c r="J18" i="3"/>
  <c r="M23" i="3" s="1"/>
  <c r="J11" i="2"/>
  <c r="M7" i="3"/>
  <c r="J10" i="3"/>
  <c r="Y9" i="2"/>
  <c r="Y16" i="2"/>
  <c r="J24" i="2"/>
  <c r="D10" i="2"/>
  <c r="J19" i="2" s="1"/>
  <c r="J12" i="2"/>
  <c r="D26" i="2"/>
  <c r="D25" i="2"/>
  <c r="D8" i="2"/>
  <c r="J8" i="2" s="1"/>
  <c r="J22" i="2" s="1"/>
  <c r="F15" i="1"/>
  <c r="F11" i="1"/>
  <c r="F9" i="1"/>
  <c r="F6" i="1"/>
  <c r="F12" i="1"/>
  <c r="Y17" i="2"/>
  <c r="Y13" i="2"/>
  <c r="F16" i="1"/>
  <c r="F17" i="1"/>
  <c r="F19" i="1"/>
  <c r="Y18" i="2"/>
  <c r="Y14" i="2"/>
  <c r="F18" i="1"/>
  <c r="Y19" i="2"/>
  <c r="Y20" i="2"/>
  <c r="AA8" i="2"/>
  <c r="AA9" i="2"/>
  <c r="AA10" i="2"/>
  <c r="M22" i="3" l="1"/>
  <c r="U23" i="2"/>
  <c r="U17" i="2"/>
  <c r="BK21" i="2"/>
  <c r="BM78" i="2"/>
  <c r="BM80" i="2" s="1"/>
  <c r="BM23" i="2"/>
  <c r="BM25" i="2" s="1"/>
  <c r="X22" i="2"/>
  <c r="Y22" i="2" s="1"/>
  <c r="U14" i="2"/>
  <c r="U9" i="2"/>
  <c r="U22" i="2"/>
  <c r="T13" i="2"/>
  <c r="U13" i="2" s="1"/>
  <c r="CF7" i="2"/>
  <c r="BM10" i="2"/>
  <c r="BM12" i="2" s="1"/>
  <c r="BO16" i="2" s="1"/>
  <c r="G12" i="2"/>
  <c r="G15" i="2" s="1"/>
  <c r="G16" i="2" s="1"/>
  <c r="BM24" i="2"/>
  <c r="CK14" i="2"/>
  <c r="BJ8" i="2"/>
  <c r="BK7" i="2" s="1"/>
  <c r="U11" i="2"/>
  <c r="U21" i="2"/>
  <c r="BM38" i="2"/>
  <c r="BM40" i="2" s="1"/>
  <c r="CK21" i="2"/>
  <c r="U12" i="2"/>
  <c r="BK89" i="2"/>
  <c r="J23" i="2"/>
  <c r="U20" i="2"/>
  <c r="U15" i="2"/>
  <c r="J16" i="2"/>
  <c r="J13" i="2" s="1"/>
  <c r="BM79" i="2"/>
  <c r="BZ11" i="2" s="1"/>
  <c r="CK15" i="2"/>
  <c r="BK76" i="2"/>
  <c r="BM92" i="2"/>
  <c r="BZ13" i="2" s="1"/>
  <c r="BM105" i="2"/>
  <c r="BZ15" i="2" s="1"/>
  <c r="BM104" i="2"/>
  <c r="BM106" i="2" s="1"/>
  <c r="BJ103" i="2"/>
  <c r="BK102" i="2" s="1"/>
  <c r="BM65" i="2"/>
  <c r="BM67" i="2" s="1"/>
  <c r="BM66" i="2"/>
  <c r="BZ9" i="2" s="1"/>
  <c r="BJ64" i="2"/>
  <c r="BK63" i="2" s="1"/>
  <c r="T25" i="2"/>
  <c r="U25" i="2" s="1"/>
  <c r="BJ50" i="2"/>
  <c r="BK49" i="2" s="1"/>
  <c r="CK9" i="2"/>
  <c r="CK16" i="2"/>
  <c r="BJ36" i="2"/>
  <c r="BK35" i="2" s="1"/>
  <c r="BM91" i="2"/>
  <c r="BM93" i="2" s="1"/>
  <c r="BM52" i="2"/>
  <c r="BM54" i="2" s="1"/>
  <c r="AA11" i="2"/>
  <c r="BM94" i="2" l="1"/>
  <c r="BO96" i="2" s="1"/>
  <c r="BM26" i="2"/>
  <c r="BO29" i="2" s="1"/>
  <c r="BP13" i="2"/>
  <c r="BP42" i="2"/>
  <c r="BO43" i="2"/>
  <c r="BP44" i="2"/>
  <c r="J25" i="2"/>
  <c r="J27" i="2" s="1"/>
  <c r="E6" i="3" s="1"/>
  <c r="BO41" i="2"/>
  <c r="BP41" i="2"/>
  <c r="BP14" i="2"/>
  <c r="BO44" i="2"/>
  <c r="R14" i="2"/>
  <c r="CI14" i="2" s="1"/>
  <c r="R15" i="2"/>
  <c r="CI15" i="2" s="1"/>
  <c r="CI21" i="2" s="1"/>
  <c r="CI19" i="2" s="1"/>
  <c r="BM81" i="2"/>
  <c r="BO14" i="2"/>
  <c r="BO42" i="2"/>
  <c r="R16" i="2"/>
  <c r="CI16" i="2" s="1"/>
  <c r="BP15" i="2"/>
  <c r="BO15" i="2"/>
  <c r="BO13" i="2"/>
  <c r="BP43" i="2"/>
  <c r="BP16" i="2"/>
  <c r="BO58" i="2"/>
  <c r="BO55" i="2"/>
  <c r="BP58" i="2"/>
  <c r="BP55" i="2"/>
  <c r="BO56" i="2"/>
  <c r="BP57" i="2"/>
  <c r="BP56" i="2"/>
  <c r="BO57" i="2"/>
  <c r="BM107" i="2"/>
  <c r="BM68" i="2"/>
  <c r="BP98" i="2" l="1"/>
  <c r="BP97" i="2"/>
  <c r="BP95" i="2"/>
  <c r="BP96" i="2"/>
  <c r="BO95" i="2"/>
  <c r="BO98" i="2"/>
  <c r="BO97" i="2"/>
  <c r="BO28" i="2"/>
  <c r="BO27" i="2"/>
  <c r="BP30" i="2"/>
  <c r="BP29" i="2"/>
  <c r="BP27" i="2"/>
  <c r="BO30" i="2"/>
  <c r="BP28" i="2"/>
  <c r="BM14" i="2"/>
  <c r="BM18" i="2" s="1"/>
  <c r="BM41" i="2"/>
  <c r="BM45" i="2" s="1"/>
  <c r="BM42" i="2"/>
  <c r="BM46" i="2" s="1"/>
  <c r="BM13" i="2"/>
  <c r="BM17" i="2" s="1"/>
  <c r="Q6" i="3"/>
  <c r="Q7" i="3" s="1"/>
  <c r="E8" i="3"/>
  <c r="E5" i="3"/>
  <c r="J6" i="3" s="1"/>
  <c r="J7" i="3" s="1"/>
  <c r="BP84" i="2"/>
  <c r="BP83" i="2"/>
  <c r="BO84" i="2"/>
  <c r="BO82" i="2"/>
  <c r="BO83" i="2"/>
  <c r="BP82" i="2"/>
  <c r="BO85" i="2"/>
  <c r="BP85" i="2"/>
  <c r="R21" i="2"/>
  <c r="R19" i="2" s="1"/>
  <c r="W13" i="2" s="1"/>
  <c r="W14" i="2" s="1"/>
  <c r="W15" i="2" s="1"/>
  <c r="W16" i="2" s="1"/>
  <c r="W17" i="2" s="1"/>
  <c r="CF29" i="2"/>
  <c r="BO69" i="2"/>
  <c r="BP71" i="2"/>
  <c r="BO71" i="2"/>
  <c r="BP70" i="2"/>
  <c r="BO70" i="2"/>
  <c r="BP69" i="2"/>
  <c r="BP72" i="2"/>
  <c r="BO72" i="2"/>
  <c r="BP109" i="2"/>
  <c r="BO109" i="2"/>
  <c r="BP111" i="2"/>
  <c r="BO108" i="2"/>
  <c r="BO111" i="2"/>
  <c r="BP110" i="2"/>
  <c r="BO110" i="2"/>
  <c r="BP108" i="2"/>
  <c r="BM56" i="2"/>
  <c r="BM60" i="2" s="1"/>
  <c r="BM55" i="2"/>
  <c r="BM59" i="2" s="1"/>
  <c r="BM95" i="2" l="1"/>
  <c r="BM99" i="2" s="1"/>
  <c r="BN89" i="2" s="1"/>
  <c r="BM96" i="2"/>
  <c r="BM100" i="2" s="1"/>
  <c r="BO89" i="2" s="1"/>
  <c r="N10" i="3"/>
  <c r="BM28" i="2"/>
  <c r="BM32" i="2" s="1"/>
  <c r="BM27" i="2"/>
  <c r="BM31" i="2" s="1"/>
  <c r="AA14" i="2"/>
  <c r="E9" i="3"/>
  <c r="M9" i="3" s="1"/>
  <c r="M10" i="3" s="1"/>
  <c r="G21" i="2"/>
  <c r="AC7" i="2" s="1"/>
  <c r="AA13" i="2"/>
  <c r="AA12" i="2"/>
  <c r="BM83" i="2"/>
  <c r="BM87" i="2" s="1"/>
  <c r="BO76" i="2" s="1"/>
  <c r="AA15" i="2"/>
  <c r="W18" i="2"/>
  <c r="W19" i="2" s="1"/>
  <c r="W20" i="2" s="1"/>
  <c r="W21" i="2" s="1"/>
  <c r="W24" i="2" s="1"/>
  <c r="W25" i="2" s="1"/>
  <c r="BM82" i="2"/>
  <c r="BM86" i="2" s="1"/>
  <c r="BN76" i="2" s="1"/>
  <c r="BM108" i="2"/>
  <c r="BM112" i="2" s="1"/>
  <c r="BN102" i="2" s="1"/>
  <c r="CP14" i="2"/>
  <c r="CP21" i="2"/>
  <c r="CP11" i="2"/>
  <c r="CP12" i="2"/>
  <c r="CP20" i="2"/>
  <c r="Q8" i="3"/>
  <c r="G23" i="2" s="1"/>
  <c r="R12" i="2" s="1"/>
  <c r="G22" i="2"/>
  <c r="CP10" i="2"/>
  <c r="CF30" i="2"/>
  <c r="CO7" i="2" s="1"/>
  <c r="CP8" i="2"/>
  <c r="CP7" i="2"/>
  <c r="CP16" i="2"/>
  <c r="CP9" i="2"/>
  <c r="BM70" i="2"/>
  <c r="BM74" i="2" s="1"/>
  <c r="CP18" i="2"/>
  <c r="BM69" i="2"/>
  <c r="BM73" i="2" s="1"/>
  <c r="BN63" i="2" s="1"/>
  <c r="CP15" i="2"/>
  <c r="CP13" i="2"/>
  <c r="CP17" i="2"/>
  <c r="BM109" i="2"/>
  <c r="BM113" i="2" s="1"/>
  <c r="BO102" i="2" s="1"/>
  <c r="CP19" i="2"/>
  <c r="BP89" i="2" l="1"/>
  <c r="BQ89" i="2"/>
  <c r="BR89" i="2"/>
  <c r="M11" i="3"/>
  <c r="R13" i="2"/>
  <c r="CI13" i="2" s="1"/>
  <c r="AA16" i="2"/>
  <c r="J19" i="3"/>
  <c r="W22" i="2"/>
  <c r="W23" i="2" s="1"/>
  <c r="CO17" i="2"/>
  <c r="AA18" i="2"/>
  <c r="AA19" i="2"/>
  <c r="AA17" i="2"/>
  <c r="AA20" i="2"/>
  <c r="AA21" i="2"/>
  <c r="CO11" i="2"/>
  <c r="CO15" i="2"/>
  <c r="BP76" i="2"/>
  <c r="BQ76" i="2"/>
  <c r="BR76" i="2"/>
  <c r="V8" i="2"/>
  <c r="CI12" i="2"/>
  <c r="R20" i="2"/>
  <c r="R18" i="2" s="1"/>
  <c r="CO8" i="2"/>
  <c r="CO13" i="2"/>
  <c r="AC8" i="2"/>
  <c r="AF7" i="2"/>
  <c r="BR102" i="2"/>
  <c r="BQ102" i="2"/>
  <c r="BP102" i="2"/>
  <c r="CO21" i="2"/>
  <c r="CO20" i="2"/>
  <c r="CO12" i="2"/>
  <c r="CO16" i="2"/>
  <c r="CO18" i="2"/>
  <c r="CO14" i="2"/>
  <c r="CO9" i="2"/>
  <c r="CO10" i="2"/>
  <c r="CO19" i="2"/>
  <c r="CA13" i="2" l="1"/>
  <c r="CT14" i="2"/>
  <c r="CA11" i="2"/>
  <c r="AC9" i="2"/>
  <c r="AF8" i="2"/>
  <c r="Z9" i="2"/>
  <c r="AB9" i="2" s="1"/>
  <c r="AE9" i="2" s="1"/>
  <c r="V9" i="2"/>
  <c r="V10" i="2" s="1"/>
  <c r="V11" i="2" s="1"/>
  <c r="V12" i="2" s="1"/>
  <c r="Z11" i="2"/>
  <c r="Z8" i="2"/>
  <c r="AB8" i="2" s="1"/>
  <c r="AE8" i="2" s="1"/>
  <c r="V13" i="2"/>
  <c r="Z7" i="2"/>
  <c r="AB7" i="2" s="1"/>
  <c r="AE7" i="2" s="1"/>
  <c r="Z10" i="2"/>
  <c r="AB10" i="2" s="1"/>
  <c r="AE10" i="2" s="1"/>
  <c r="CA15" i="2"/>
  <c r="CI20" i="2"/>
  <c r="CI18" i="2" s="1"/>
  <c r="CF26" i="2" l="1"/>
  <c r="CN7" i="2" s="1"/>
  <c r="AH7" i="2"/>
  <c r="AG7" i="2"/>
  <c r="AF9" i="2"/>
  <c r="AG9" i="2" s="1"/>
  <c r="AC10" i="2"/>
  <c r="AH8" i="2"/>
  <c r="AG8" i="2"/>
  <c r="AB11" i="2"/>
  <c r="AE11" i="2" s="1"/>
  <c r="BB7" i="2" s="1"/>
  <c r="BB21" i="2" s="1"/>
  <c r="Z14" i="2"/>
  <c r="AB14" i="2" s="1"/>
  <c r="AE14" i="2" s="1"/>
  <c r="Z12" i="2"/>
  <c r="AB12" i="2" s="1"/>
  <c r="AE12" i="2" s="1"/>
  <c r="Z13" i="2"/>
  <c r="AB13" i="2" s="1"/>
  <c r="AE13" i="2" s="1"/>
  <c r="Z15" i="2"/>
  <c r="V14" i="2"/>
  <c r="V15" i="2" s="1"/>
  <c r="V16" i="2" s="1"/>
  <c r="V17" i="2" s="1"/>
  <c r="V18" i="2"/>
  <c r="CN18" i="2" l="1"/>
  <c r="CN21" i="2"/>
  <c r="CF27" i="2"/>
  <c r="CM9" i="2" s="1"/>
  <c r="CN10" i="2"/>
  <c r="CN11" i="2"/>
  <c r="CQ11" i="2" s="1"/>
  <c r="CN15" i="2"/>
  <c r="CQ15" i="2" s="1"/>
  <c r="CN13" i="2"/>
  <c r="CN9" i="2"/>
  <c r="CN8" i="2"/>
  <c r="CN17" i="2"/>
  <c r="CN16" i="2"/>
  <c r="CN14" i="2"/>
  <c r="CN20" i="2"/>
  <c r="CN12" i="2"/>
  <c r="CN19" i="2"/>
  <c r="BN7" i="2"/>
  <c r="AH9" i="2"/>
  <c r="CM18" i="2"/>
  <c r="Z18" i="2"/>
  <c r="AB18" i="2" s="1"/>
  <c r="AE18" i="2" s="1"/>
  <c r="Z20" i="2"/>
  <c r="AB20" i="2" s="1"/>
  <c r="AE20" i="2" s="1"/>
  <c r="Z19" i="2"/>
  <c r="AB19" i="2" s="1"/>
  <c r="AE19" i="2" s="1"/>
  <c r="Z21" i="2"/>
  <c r="AB21" i="2" s="1"/>
  <c r="AE21" i="2" s="1"/>
  <c r="AB15" i="2"/>
  <c r="AE15" i="2" s="1"/>
  <c r="Z16" i="2"/>
  <c r="AB16" i="2" s="1"/>
  <c r="AE16" i="2" s="1"/>
  <c r="Z17" i="2"/>
  <c r="AB17" i="2" s="1"/>
  <c r="AE17" i="2" s="1"/>
  <c r="AF10" i="2"/>
  <c r="AC11" i="2"/>
  <c r="V19" i="2"/>
  <c r="V20" i="2" s="1"/>
  <c r="V21" i="2" s="1"/>
  <c r="V25" i="2"/>
  <c r="BN21" i="2"/>
  <c r="BB35" i="2"/>
  <c r="CM15" i="2" l="1"/>
  <c r="CM14" i="2"/>
  <c r="CM17" i="2"/>
  <c r="CM8" i="2"/>
  <c r="CM11" i="2"/>
  <c r="CM12" i="2"/>
  <c r="CM20" i="2"/>
  <c r="CM13" i="2"/>
  <c r="CM10" i="2"/>
  <c r="CM19" i="2"/>
  <c r="CM16" i="2"/>
  <c r="CM7" i="2"/>
  <c r="CM21" i="2"/>
  <c r="AG10" i="2"/>
  <c r="AH10" i="2"/>
  <c r="V22" i="2"/>
  <c r="V23" i="2" s="1"/>
  <c r="V24" i="2"/>
  <c r="AC12" i="2"/>
  <c r="AF11" i="2"/>
  <c r="BN35" i="2"/>
  <c r="BB49" i="2"/>
  <c r="BN49" i="2" s="1"/>
  <c r="CT13" i="2" l="1"/>
  <c r="CT15" i="2" s="1"/>
  <c r="CT16" i="2" s="1"/>
  <c r="AG11" i="2"/>
  <c r="BC7" i="2"/>
  <c r="AH11" i="2"/>
  <c r="AC13" i="2"/>
  <c r="AF12" i="2"/>
  <c r="AG12" i="2" l="1"/>
  <c r="AH12" i="2"/>
  <c r="AF13" i="2"/>
  <c r="AC14" i="2"/>
  <c r="BO7" i="2"/>
  <c r="BC21" i="2"/>
  <c r="BR7" i="2" l="1"/>
  <c r="BP7" i="2"/>
  <c r="BQ7" i="2"/>
  <c r="AC15" i="2"/>
  <c r="AF14" i="2"/>
  <c r="BC35" i="2"/>
  <c r="BO21" i="2"/>
  <c r="AH13" i="2"/>
  <c r="AG13" i="2"/>
  <c r="AH14" i="2" l="1"/>
  <c r="AG14" i="2"/>
  <c r="AF15" i="2"/>
  <c r="AC16" i="2"/>
  <c r="BP21" i="2"/>
  <c r="BR21" i="2"/>
  <c r="BQ21" i="2"/>
  <c r="BC49" i="2"/>
  <c r="BO35" i="2"/>
  <c r="AH15" i="2" l="1"/>
  <c r="AG15" i="2"/>
  <c r="BC63" i="2"/>
  <c r="BO63" i="2" s="1"/>
  <c r="BO49" i="2"/>
  <c r="AF16" i="2"/>
  <c r="AC17" i="2"/>
  <c r="BQ35" i="2"/>
  <c r="BR35" i="2"/>
  <c r="BP35" i="2"/>
  <c r="BQ63" i="2" l="1"/>
  <c r="BR63" i="2"/>
  <c r="BP63" i="2"/>
  <c r="AF17" i="2"/>
  <c r="AC18" i="2"/>
  <c r="AH16" i="2"/>
  <c r="AG16" i="2"/>
  <c r="BP49" i="2"/>
  <c r="BQ49" i="2"/>
  <c r="BR49" i="2"/>
  <c r="CA9" i="2" l="1"/>
  <c r="AC19" i="2"/>
  <c r="AF18" i="2"/>
  <c r="AG17" i="2"/>
  <c r="AH17" i="2"/>
  <c r="AG18" i="2" l="1"/>
  <c r="AH18" i="2"/>
  <c r="AC20" i="2"/>
  <c r="AF19" i="2"/>
  <c r="AH19" i="2" l="1"/>
  <c r="AG19" i="2"/>
  <c r="AC21" i="2"/>
  <c r="AF20" i="2"/>
  <c r="AC22" i="2" l="1"/>
  <c r="AF21" i="2"/>
  <c r="AH20" i="2"/>
  <c r="AG20" i="2"/>
  <c r="AH21" i="2" l="1"/>
  <c r="AG21" i="2"/>
</calcChain>
</file>

<file path=xl/sharedStrings.xml><?xml version="1.0" encoding="utf-8"?>
<sst xmlns="http://schemas.openxmlformats.org/spreadsheetml/2006/main" count="602" uniqueCount="233">
  <si>
    <t>Desgaste de la Hoja - Ciclos de Operación</t>
  </si>
  <si>
    <t>Ecuación de Archard</t>
  </si>
  <si>
    <t>k</t>
  </si>
  <si>
    <t>HRC</t>
  </si>
  <si>
    <t>MPa</t>
  </si>
  <si>
    <t>H (MPa)</t>
  </si>
  <si>
    <t>Vc (m^3)</t>
  </si>
  <si>
    <t>Red Adm (%)</t>
  </si>
  <si>
    <t>V (m^3)</t>
  </si>
  <si>
    <t>F (N)</t>
  </si>
  <si>
    <t>F (gf)</t>
  </si>
  <si>
    <t>S (m)</t>
  </si>
  <si>
    <t>RPM</t>
  </si>
  <si>
    <t>D (m)</t>
  </si>
  <si>
    <t>C (m)</t>
  </si>
  <si>
    <t>Revs</t>
  </si>
  <si>
    <t>tvida (min)</t>
  </si>
  <si>
    <t>tvida (hr)</t>
  </si>
  <si>
    <t>tvida (ciclos)</t>
  </si>
  <si>
    <t>Meter el modelo computacional a ANSYS y verificar</t>
  </si>
  <si>
    <t>D (mm)</t>
  </si>
  <si>
    <t>Material</t>
  </si>
  <si>
    <t>Entradas del Sistema</t>
  </si>
  <si>
    <t>INOX 420</t>
  </si>
  <si>
    <t>Disco de Corte</t>
  </si>
  <si>
    <t>Eje</t>
  </si>
  <si>
    <t>Dmax (mm)</t>
  </si>
  <si>
    <t>Dmin (mm)</t>
  </si>
  <si>
    <t>x (m)</t>
  </si>
  <si>
    <t>Al 7075</t>
  </si>
  <si>
    <t>m (kg)</t>
  </si>
  <si>
    <t>L (m)</t>
  </si>
  <si>
    <t>L (mm)</t>
  </si>
  <si>
    <t>Iz (kgm^2)</t>
  </si>
  <si>
    <t>Motor DC</t>
  </si>
  <si>
    <t>Referencia</t>
  </si>
  <si>
    <t>Lrotor (mm)</t>
  </si>
  <si>
    <t>Lrotor (m)</t>
  </si>
  <si>
    <t>Drotor (mm)</t>
  </si>
  <si>
    <t>Drotor (m)</t>
  </si>
  <si>
    <t>Vrotor (m^3)</t>
  </si>
  <si>
    <t>Cobre</t>
  </si>
  <si>
    <t>ρ (kg/m^3)</t>
  </si>
  <si>
    <t>Ir (kgm^2)</t>
  </si>
  <si>
    <t>Tn (Nm)</t>
  </si>
  <si>
    <t>Fc (N)</t>
  </si>
  <si>
    <t>Tc (Nm)</t>
  </si>
  <si>
    <t>K (N/m)</t>
  </si>
  <si>
    <t>R (m)</t>
  </si>
  <si>
    <r>
      <t>φ</t>
    </r>
    <r>
      <rPr>
        <sz val="8"/>
        <color theme="1"/>
        <rFont val="Calibri"/>
        <family val="2"/>
      </rPr>
      <t xml:space="preserve">e </t>
    </r>
    <r>
      <rPr>
        <sz val="12"/>
        <color theme="1"/>
        <rFont val="Calibri"/>
        <family val="2"/>
      </rPr>
      <t>(°)</t>
    </r>
  </si>
  <si>
    <r>
      <t>φ</t>
    </r>
    <r>
      <rPr>
        <sz val="8"/>
        <color theme="1"/>
        <rFont val="Calibri"/>
        <family val="2"/>
      </rPr>
      <t xml:space="preserve">a </t>
    </r>
    <r>
      <rPr>
        <sz val="12"/>
        <color theme="1"/>
        <rFont val="Calibri"/>
        <family val="2"/>
      </rPr>
      <t>(°)</t>
    </r>
  </si>
  <si>
    <r>
      <t>φ</t>
    </r>
    <r>
      <rPr>
        <sz val="8"/>
        <color theme="1"/>
        <rFont val="Calibri"/>
        <family val="2"/>
      </rPr>
      <t xml:space="preserve">e </t>
    </r>
    <r>
      <rPr>
        <sz val="12"/>
        <color theme="1"/>
        <rFont val="Calibri"/>
        <family val="2"/>
      </rPr>
      <t>(rad)</t>
    </r>
  </si>
  <si>
    <r>
      <t>φ</t>
    </r>
    <r>
      <rPr>
        <sz val="8"/>
        <color theme="1"/>
        <rFont val="Calibri"/>
        <family val="2"/>
      </rPr>
      <t xml:space="preserve">a </t>
    </r>
    <r>
      <rPr>
        <sz val="12"/>
        <color theme="1"/>
        <rFont val="Calibri"/>
        <family val="2"/>
      </rPr>
      <t>(rad)</t>
    </r>
  </si>
  <si>
    <t>Ts (Nm)</t>
  </si>
  <si>
    <t>Torque de Corte</t>
  </si>
  <si>
    <t>μ</t>
  </si>
  <si>
    <t>E (Pa)</t>
  </si>
  <si>
    <t>t (m)</t>
  </si>
  <si>
    <t>t (mm)</t>
  </si>
  <si>
    <t>l (m)</t>
  </si>
  <si>
    <t>r (m)</t>
  </si>
  <si>
    <t>Δr (m)</t>
  </si>
  <si>
    <t>A (m^2)</t>
  </si>
  <si>
    <t>C (N/m)</t>
  </si>
  <si>
    <t>Tr (Nm)</t>
  </si>
  <si>
    <t>Diseño del Subsistema - Flexible</t>
  </si>
  <si>
    <t>Fd</t>
  </si>
  <si>
    <t>Requerimientos</t>
  </si>
  <si>
    <t>P (W)</t>
  </si>
  <si>
    <t>ωs (rpm)</t>
  </si>
  <si>
    <t>Te (Nm)</t>
  </si>
  <si>
    <t>ωe (rpm)</t>
  </si>
  <si>
    <t>R</t>
  </si>
  <si>
    <t>Parámetros de Diseño</t>
  </si>
  <si>
    <t>Fs</t>
  </si>
  <si>
    <t>Pd (W)</t>
  </si>
  <si>
    <t>Pd (hp)</t>
  </si>
  <si>
    <t>Paso</t>
  </si>
  <si>
    <t>XL</t>
  </si>
  <si>
    <t>Paso (in)</t>
  </si>
  <si>
    <t>Paso (mm)</t>
  </si>
  <si>
    <t>Correa</t>
  </si>
  <si>
    <t>Designación</t>
  </si>
  <si>
    <t>Ranuras</t>
  </si>
  <si>
    <t>De (mm)</t>
  </si>
  <si>
    <t>Dp (mm)</t>
  </si>
  <si>
    <t>Polea Conductora P1</t>
  </si>
  <si>
    <t>Polea Conducida P2</t>
  </si>
  <si>
    <t>Desginación</t>
  </si>
  <si>
    <t>C (in)</t>
  </si>
  <si>
    <t>L (in)</t>
  </si>
  <si>
    <t>Ancho (in)</t>
  </si>
  <si>
    <t>HP Rating (hp/in)</t>
  </si>
  <si>
    <t>Ancho Óptimo (in)</t>
  </si>
  <si>
    <t>Ancho Seleccionado</t>
  </si>
  <si>
    <t>Cargas en la Polea</t>
  </si>
  <si>
    <t>η</t>
  </si>
  <si>
    <t>Torque Requerido (Nm)</t>
  </si>
  <si>
    <t>Torque Entrada (Nm)</t>
  </si>
  <si>
    <t>Tensión (N)</t>
  </si>
  <si>
    <t>vt (fpm)</t>
  </si>
  <si>
    <t>C (cm)</t>
  </si>
  <si>
    <t>20XL037</t>
  </si>
  <si>
    <t>40XL037</t>
  </si>
  <si>
    <t>150XL037</t>
  </si>
  <si>
    <t xml:space="preserve"> </t>
  </si>
  <si>
    <t>Wc (N)</t>
  </si>
  <si>
    <t>θ (°)</t>
  </si>
  <si>
    <t>θ (rad)</t>
  </si>
  <si>
    <t>Diseño Estático</t>
  </si>
  <si>
    <t>Geometría del Eje</t>
  </si>
  <si>
    <t>Cargas y Reacciones</t>
  </si>
  <si>
    <t>Fcx (N)</t>
  </si>
  <si>
    <t>Fdx (N)</t>
  </si>
  <si>
    <t>Md_xy (Nm)</t>
  </si>
  <si>
    <t>Fcy (N)</t>
  </si>
  <si>
    <t>Mc_xy (Nm)</t>
  </si>
  <si>
    <t>Ax (N)</t>
  </si>
  <si>
    <t>Ay (N)</t>
  </si>
  <si>
    <t>Bx (N)</t>
  </si>
  <si>
    <t>By (N)</t>
  </si>
  <si>
    <t>Posición (m)</t>
  </si>
  <si>
    <t>Myz (Nm)</t>
  </si>
  <si>
    <t>M (Nm)</t>
  </si>
  <si>
    <t>T (Nm)</t>
  </si>
  <si>
    <t>Fvx (N)</t>
  </si>
  <si>
    <t>Fvy (N)</t>
  </si>
  <si>
    <t>Posición (in)</t>
  </si>
  <si>
    <t>DA (m)</t>
  </si>
  <si>
    <t>DB (m)</t>
  </si>
  <si>
    <t>DC (m)</t>
  </si>
  <si>
    <t>Mxz (Nm)</t>
  </si>
  <si>
    <t>Parámetros de Diseño Estático</t>
  </si>
  <si>
    <t>Al 7075-T651</t>
  </si>
  <si>
    <t>Sut (psi)</t>
  </si>
  <si>
    <t>Sy (psi)</t>
  </si>
  <si>
    <t>Se (psi)</t>
  </si>
  <si>
    <t>Se' (psi)</t>
  </si>
  <si>
    <t>E (ksi)</t>
  </si>
  <si>
    <t>FS</t>
  </si>
  <si>
    <t>M (lb*in)</t>
  </si>
  <si>
    <t>D - von Mises (mm)</t>
  </si>
  <si>
    <t>D - Tresca (mm)</t>
  </si>
  <si>
    <t>T (lb*in)</t>
  </si>
  <si>
    <t>Diseño Dinámico</t>
  </si>
  <si>
    <t>Diseño de Ejes</t>
  </si>
  <si>
    <t>Iteración</t>
  </si>
  <si>
    <t>Descripción de la sección</t>
  </si>
  <si>
    <t>Sección de máxima carga, con un hombro</t>
  </si>
  <si>
    <t>d (in)</t>
  </si>
  <si>
    <t>d (mm)</t>
  </si>
  <si>
    <t>Ma (lb*in)</t>
  </si>
  <si>
    <t>Tm (lb*in)</t>
  </si>
  <si>
    <t>Aluminio 7075-T651</t>
  </si>
  <si>
    <t>Coeficientes de Marin</t>
  </si>
  <si>
    <t>ka</t>
  </si>
  <si>
    <t>kb</t>
  </si>
  <si>
    <t>kc</t>
  </si>
  <si>
    <t>kd</t>
  </si>
  <si>
    <t>ke</t>
  </si>
  <si>
    <t>kf</t>
  </si>
  <si>
    <t>Concentración de Esfuerzos</t>
  </si>
  <si>
    <t>r/d</t>
  </si>
  <si>
    <t>D/d</t>
  </si>
  <si>
    <t>Kt</t>
  </si>
  <si>
    <t>Kts</t>
  </si>
  <si>
    <t>Kf</t>
  </si>
  <si>
    <t>Kfs</t>
  </si>
  <si>
    <t>D (in)</t>
  </si>
  <si>
    <t>r (in)</t>
  </si>
  <si>
    <t>t (in)</t>
  </si>
  <si>
    <t>t/r</t>
  </si>
  <si>
    <t>C1</t>
  </si>
  <si>
    <t>C2</t>
  </si>
  <si>
    <t>C3</t>
  </si>
  <si>
    <t>C4</t>
  </si>
  <si>
    <t>q (Flexión)</t>
  </si>
  <si>
    <t>q (Torsión)</t>
  </si>
  <si>
    <t>Sa (psi)</t>
  </si>
  <si>
    <t>Sm (psi)</t>
  </si>
  <si>
    <t>FS Goodman Mod</t>
  </si>
  <si>
    <t>FS ASME Elliptic</t>
  </si>
  <si>
    <t>FS Yield</t>
  </si>
  <si>
    <t>FS Referencia</t>
  </si>
  <si>
    <t>Aluminio 3003-O</t>
  </si>
  <si>
    <t>Aluminio 6061-T651</t>
  </si>
  <si>
    <t>Secciones</t>
  </si>
  <si>
    <t>L(mm)</t>
  </si>
  <si>
    <t>Cambios de Sección</t>
  </si>
  <si>
    <t>r (mm)</t>
  </si>
  <si>
    <t>N.A.</t>
  </si>
  <si>
    <t>Cambio de Sección 1</t>
  </si>
  <si>
    <t>Cambio de Sección 2</t>
  </si>
  <si>
    <t>Cambio de Sección 3</t>
  </si>
  <si>
    <t>Deflexión y Velocidad Crítica</t>
  </si>
  <si>
    <t>Parámetros de Cálculo</t>
  </si>
  <si>
    <t>I (m^4)</t>
  </si>
  <si>
    <t>3003-O</t>
  </si>
  <si>
    <t>Deflexiones Límite en Apoyos</t>
  </si>
  <si>
    <t>Pendientes Límite en Apoyos</t>
  </si>
  <si>
    <t>Rodamiento A (rad)</t>
  </si>
  <si>
    <t>Rodamiento B (rad)</t>
  </si>
  <si>
    <t>Rodamiento A (m)</t>
  </si>
  <si>
    <t>Rodamiento B (m)</t>
  </si>
  <si>
    <t>I1 (m^4)</t>
  </si>
  <si>
    <t>I2 (m^4)</t>
  </si>
  <si>
    <t>I3 (m^4)</t>
  </si>
  <si>
    <t>I4 (m^4)</t>
  </si>
  <si>
    <t>I5 (m^4)</t>
  </si>
  <si>
    <t>Constantes de Integración - x</t>
  </si>
  <si>
    <t>θx (rad)</t>
  </si>
  <si>
    <t>A</t>
  </si>
  <si>
    <t>B</t>
  </si>
  <si>
    <t>Dx (mm)</t>
  </si>
  <si>
    <t>Dy (mm)</t>
  </si>
  <si>
    <t>θy (rad)</t>
  </si>
  <si>
    <t>Constantes de Integración - y</t>
  </si>
  <si>
    <t>Diámetro (mm)</t>
  </si>
  <si>
    <t>x (mm)</t>
  </si>
  <si>
    <t>2*1000</t>
  </si>
  <si>
    <t>D Mod (mm)</t>
  </si>
  <si>
    <t>ω crit (rad/s)</t>
  </si>
  <si>
    <t>x</t>
  </si>
  <si>
    <t>y</t>
  </si>
  <si>
    <t>total</t>
  </si>
  <si>
    <t>Ángulos de Contacto</t>
  </si>
  <si>
    <t>θA (°)</t>
  </si>
  <si>
    <t>θB (°)</t>
  </si>
  <si>
    <t>Catalogo</t>
  </si>
  <si>
    <t>rpm</t>
  </si>
  <si>
    <t>r/d poleas</t>
  </si>
  <si>
    <t>r/d rod</t>
  </si>
  <si>
    <t>r/d cuch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</si>
</sst>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2ADB9"/>
        <bgColor indexed="64"/>
      </patternFill>
    </fill>
    <fill>
      <patternFill patternType="solid">
        <fgColor rgb="FF66FF6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166" fontId="0" fillId="2" borderId="14" xfId="0" applyNumberFormat="1" applyFill="1" applyBorder="1" applyAlignment="1">
      <alignment horizontal="center" vertical="center"/>
    </xf>
    <xf numFmtId="166" fontId="0" fillId="2" borderId="12" xfId="0" applyNumberFormat="1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11" fontId="0" fillId="2" borderId="13" xfId="0" applyNumberFormat="1" applyFill="1" applyBorder="1" applyAlignment="1">
      <alignment horizontal="center" vertical="center"/>
    </xf>
    <xf numFmtId="11" fontId="0" fillId="2" borderId="14" xfId="0" applyNumberFormat="1" applyFill="1" applyBorder="1" applyAlignment="1">
      <alignment horizontal="center" vertical="center"/>
    </xf>
    <xf numFmtId="167" fontId="0" fillId="2" borderId="3" xfId="0" applyNumberForma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166" fontId="1" fillId="2" borderId="15" xfId="0" applyNumberFormat="1" applyFont="1" applyFill="1" applyBorder="1" applyAlignment="1">
      <alignment horizontal="center" vertical="center"/>
    </xf>
    <xf numFmtId="166" fontId="1" fillId="2" borderId="9" xfId="0" applyNumberFormat="1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8" fillId="15" borderId="15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font>
        <b/>
        <i val="0"/>
      </font>
      <fill>
        <patternFill>
          <bgColor rgb="FF66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B2ADB9"/>
      <color rgb="FF9966FF"/>
      <color rgb="FF6666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Diagrama</a:t>
            </a:r>
            <a:r>
              <a:rPr lang="es-CO" b="1" baseline="0"/>
              <a:t> de Fuerza Cortante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Ejes!$T$7:$T$25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3.7850000000000002E-2</c:v>
                </c:pt>
                <c:pt idx="6">
                  <c:v>3.7850000000000002E-2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0.10145</c:v>
                </c:pt>
                <c:pt idx="11">
                  <c:v>0.10145</c:v>
                </c:pt>
                <c:pt idx="12" formatCode="0.00">
                  <c:v>0.125</c:v>
                </c:pt>
                <c:pt idx="13" formatCode="0.00">
                  <c:v>0.15</c:v>
                </c:pt>
                <c:pt idx="14" formatCode="0.00">
                  <c:v>0.17499999999999999</c:v>
                </c:pt>
                <c:pt idx="15" formatCode="0.00">
                  <c:v>0.19</c:v>
                </c:pt>
                <c:pt idx="16" formatCode="0.00">
                  <c:v>0.2</c:v>
                </c:pt>
                <c:pt idx="17">
                  <c:v>0.21204999999999999</c:v>
                </c:pt>
                <c:pt idx="18">
                  <c:v>0.21204999999999999</c:v>
                </c:pt>
              </c:numCache>
            </c:numRef>
          </c:xVal>
          <c:yVal>
            <c:numRef>
              <c:f>Ejes!$V$7:$V$25</c:f>
              <c:numCache>
                <c:formatCode>General</c:formatCode>
                <c:ptCount val="19"/>
                <c:pt idx="0">
                  <c:v>0</c:v>
                </c:pt>
                <c:pt idx="1">
                  <c:v>42.776051280418685</c:v>
                </c:pt>
                <c:pt idx="2">
                  <c:v>42.776051280418685</c:v>
                </c:pt>
                <c:pt idx="3">
                  <c:v>42.776051280418685</c:v>
                </c:pt>
                <c:pt idx="4">
                  <c:v>42.776051280418685</c:v>
                </c:pt>
                <c:pt idx="5">
                  <c:v>42.776051280418685</c:v>
                </c:pt>
                <c:pt idx="6" formatCode="0.000">
                  <c:v>-38.943084541463833</c:v>
                </c:pt>
                <c:pt idx="7" formatCode="0.000">
                  <c:v>-38.943084541463833</c:v>
                </c:pt>
                <c:pt idx="8" formatCode="0.000">
                  <c:v>-38.943084541463833</c:v>
                </c:pt>
                <c:pt idx="9" formatCode="0.000">
                  <c:v>-38.943084541463833</c:v>
                </c:pt>
                <c:pt idx="10" formatCode="0.000">
                  <c:v>-38.943084541463833</c:v>
                </c:pt>
                <c:pt idx="11" formatCode="0.000">
                  <c:v>7.7550328740800367</c:v>
                </c:pt>
                <c:pt idx="12" formatCode="0.000">
                  <c:v>7.7550328740800367</c:v>
                </c:pt>
                <c:pt idx="13" formatCode="0.000">
                  <c:v>7.7550328740800367</c:v>
                </c:pt>
                <c:pt idx="14" formatCode="0.000">
                  <c:v>7.7550328740800367</c:v>
                </c:pt>
                <c:pt idx="15" formatCode="0.000">
                  <c:v>7.7550328740800367</c:v>
                </c:pt>
                <c:pt idx="16" formatCode="0.000">
                  <c:v>7.7550328740800367</c:v>
                </c:pt>
                <c:pt idx="17" formatCode="0.000">
                  <c:v>7.7550328740800367</c:v>
                </c:pt>
                <c:pt idx="18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C-4641-968D-1AA87A00453A}"/>
            </c:ext>
          </c:extLst>
        </c:ser>
        <c:ser>
          <c:idx val="1"/>
          <c:order val="1"/>
          <c:tx>
            <c:v>Vy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Ejes!$T$7:$T$25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3.7850000000000002E-2</c:v>
                </c:pt>
                <c:pt idx="6">
                  <c:v>3.7850000000000002E-2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0.10145</c:v>
                </c:pt>
                <c:pt idx="11">
                  <c:v>0.10145</c:v>
                </c:pt>
                <c:pt idx="12" formatCode="0.00">
                  <c:v>0.125</c:v>
                </c:pt>
                <c:pt idx="13" formatCode="0.00">
                  <c:v>0.15</c:v>
                </c:pt>
                <c:pt idx="14" formatCode="0.00">
                  <c:v>0.17499999999999999</c:v>
                </c:pt>
                <c:pt idx="15" formatCode="0.00">
                  <c:v>0.19</c:v>
                </c:pt>
                <c:pt idx="16" formatCode="0.00">
                  <c:v>0.2</c:v>
                </c:pt>
                <c:pt idx="17">
                  <c:v>0.21204999999999999</c:v>
                </c:pt>
                <c:pt idx="18">
                  <c:v>0.21204999999999999</c:v>
                </c:pt>
              </c:numCache>
            </c:numRef>
          </c:xVal>
          <c:yVal>
            <c:numRef>
              <c:f>Ejes!$W$7:$W$25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0">
                  <c:v>2.4588844414336002</c:v>
                </c:pt>
                <c:pt idx="7" formatCode="0.000">
                  <c:v>2.4588844414336002</c:v>
                </c:pt>
                <c:pt idx="8" formatCode="0.000">
                  <c:v>2.4588844414336002</c:v>
                </c:pt>
                <c:pt idx="9" formatCode="0.000">
                  <c:v>2.4588844414336002</c:v>
                </c:pt>
                <c:pt idx="10" formatCode="0.000">
                  <c:v>2.4588844414336002</c:v>
                </c:pt>
                <c:pt idx="11" formatCode="0.000">
                  <c:v>-1.4139697149654333</c:v>
                </c:pt>
                <c:pt idx="12" formatCode="0.000">
                  <c:v>-1.4139697149654333</c:v>
                </c:pt>
                <c:pt idx="13" formatCode="0.000">
                  <c:v>-1.4139697149654333</c:v>
                </c:pt>
                <c:pt idx="14" formatCode="0.000">
                  <c:v>-1.4139697149654333</c:v>
                </c:pt>
                <c:pt idx="15" formatCode="0.000">
                  <c:v>-1.4139697149654333</c:v>
                </c:pt>
                <c:pt idx="16" formatCode="0.000">
                  <c:v>-1.4139697149654333</c:v>
                </c:pt>
                <c:pt idx="17" formatCode="0.000">
                  <c:v>-1.4139697149654333</c:v>
                </c:pt>
                <c:pt idx="18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9C-4641-968D-1AA87A00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19343"/>
        <c:axId val="1343319823"/>
      </c:scatterChart>
      <c:valAx>
        <c:axId val="134331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Posición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319823"/>
        <c:crosses val="autoZero"/>
        <c:crossBetween val="midCat"/>
      </c:valAx>
      <c:valAx>
        <c:axId val="13433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Fuerza</a:t>
                </a:r>
                <a:r>
                  <a:rPr lang="es-CO" b="1" baseline="0"/>
                  <a:t> [N]</a:t>
                </a:r>
                <a:endParaRPr lang="es-CO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319343"/>
        <c:crosses val="autoZero"/>
        <c:crossBetween val="midCat"/>
      </c:valAx>
      <c:spPr>
        <a:noFill/>
        <a:ln w="127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Diagrama</a:t>
            </a:r>
            <a:r>
              <a:rPr lang="es-CO" b="1" baseline="0"/>
              <a:t> de Momento Flector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Mxz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Ejes!$X$7:$X$21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3.7850000000000002E-2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 formatCode="0.0000">
                  <c:v>0.10145</c:v>
                </c:pt>
                <c:pt idx="9" formatCode="0.00">
                  <c:v>0.125</c:v>
                </c:pt>
                <c:pt idx="10" formatCode="0.00">
                  <c:v>0.15</c:v>
                </c:pt>
                <c:pt idx="11" formatCode="0.00">
                  <c:v>0.17499999999999999</c:v>
                </c:pt>
                <c:pt idx="12" formatCode="0.00">
                  <c:v>0.19</c:v>
                </c:pt>
                <c:pt idx="13" formatCode="0.00">
                  <c:v>0.2</c:v>
                </c:pt>
                <c:pt idx="14" formatCode="0.00000">
                  <c:v>0.21204999999999999</c:v>
                </c:pt>
              </c:numCache>
            </c:numRef>
          </c:xVal>
          <c:yVal>
            <c:numRef>
              <c:f>Ejes!$Z$7:$Z$21</c:f>
              <c:numCache>
                <c:formatCode>General</c:formatCode>
                <c:ptCount val="15"/>
                <c:pt idx="0">
                  <c:v>0</c:v>
                </c:pt>
                <c:pt idx="1">
                  <c:v>-0.42776051280418687</c:v>
                </c:pt>
                <c:pt idx="2">
                  <c:v>-0.85552102560837373</c:v>
                </c:pt>
                <c:pt idx="3">
                  <c:v>-1.2832815384125604</c:v>
                </c:pt>
                <c:pt idx="4">
                  <c:v>-1.6190735409638473</c:v>
                </c:pt>
                <c:pt idx="5">
                  <c:v>-1.1459150637850617</c:v>
                </c:pt>
                <c:pt idx="6">
                  <c:v>-0.1723379502484661</c:v>
                </c:pt>
                <c:pt idx="7">
                  <c:v>0.80123916328812994</c:v>
                </c:pt>
                <c:pt idx="8">
                  <c:v>0.85770663587325213</c:v>
                </c:pt>
                <c:pt idx="9">
                  <c:v>0.67507561168866725</c:v>
                </c:pt>
                <c:pt idx="10">
                  <c:v>0.48119978983666639</c:v>
                </c:pt>
                <c:pt idx="11">
                  <c:v>0.28732396798466553</c:v>
                </c:pt>
                <c:pt idx="12">
                  <c:v>0.17099847487346487</c:v>
                </c:pt>
                <c:pt idx="13">
                  <c:v>9.3448146132664389E-2</c:v>
                </c:pt>
                <c:pt idx="14" formatCode="0">
                  <c:v>1.1102230246251565E-16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2-4246-81F0-FF49138EB870}"/>
            </c:ext>
          </c:extLst>
        </c:ser>
        <c:ser>
          <c:idx val="1"/>
          <c:order val="1"/>
          <c:tx>
            <c:v>Myz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Ejes!$X$7:$X$21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3.7850000000000002E-2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 formatCode="0.0000">
                  <c:v>0.10145</c:v>
                </c:pt>
                <c:pt idx="9" formatCode="0.00">
                  <c:v>0.125</c:v>
                </c:pt>
                <c:pt idx="10" formatCode="0.00">
                  <c:v>0.15</c:v>
                </c:pt>
                <c:pt idx="11" formatCode="0.00">
                  <c:v>0.17499999999999999</c:v>
                </c:pt>
                <c:pt idx="12" formatCode="0.00">
                  <c:v>0.19</c:v>
                </c:pt>
                <c:pt idx="13" formatCode="0.00">
                  <c:v>0.2</c:v>
                </c:pt>
                <c:pt idx="14" formatCode="0.00000">
                  <c:v>0.21204999999999999</c:v>
                </c:pt>
              </c:numCache>
            </c:numRef>
          </c:xVal>
          <c:yVal>
            <c:numRef>
              <c:f>Ejes!$AA$7:$AA$21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-2.9875445963418245E-2</c:v>
                </c:pt>
                <c:pt idx="6">
                  <c:v>-9.1347556999258242E-2</c:v>
                </c:pt>
                <c:pt idx="7">
                  <c:v>-0.15281966803509825</c:v>
                </c:pt>
                <c:pt idx="8">
                  <c:v>-0.15638505047517695</c:v>
                </c:pt>
                <c:pt idx="9">
                  <c:v>-0.123086063687741</c:v>
                </c:pt>
                <c:pt idx="10">
                  <c:v>-8.7736820813605162E-2</c:v>
                </c:pt>
                <c:pt idx="11">
                  <c:v>-5.238757793946934E-2</c:v>
                </c:pt>
                <c:pt idx="12">
                  <c:v>-3.1178032214987828E-2</c:v>
                </c:pt>
                <c:pt idx="13">
                  <c:v>-1.7038335065333476E-2</c:v>
                </c:pt>
                <c:pt idx="14" formatCode="0">
                  <c:v>-2.7755575615628914E-17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2-4246-81F0-FF49138EB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19343"/>
        <c:axId val="1343319823"/>
      </c:scatterChart>
      <c:valAx>
        <c:axId val="134331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Posición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319823"/>
        <c:crosses val="autoZero"/>
        <c:crossBetween val="midCat"/>
      </c:valAx>
      <c:valAx>
        <c:axId val="13433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Momento Flector</a:t>
                </a:r>
                <a:r>
                  <a:rPr lang="es-CO" b="1" baseline="0"/>
                  <a:t> [Nm]</a:t>
                </a:r>
                <a:endParaRPr lang="es-CO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319343"/>
        <c:crosses val="autoZero"/>
        <c:crossBetween val="midCat"/>
      </c:valAx>
      <c:spPr>
        <a:noFill/>
        <a:ln w="127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Diagrama</a:t>
            </a:r>
            <a:r>
              <a:rPr lang="es-CO" b="1" baseline="0"/>
              <a:t> de Torsor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Ejes!$X$7:$X$22</c:f>
              <c:strCache>
                <c:ptCount val="16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0,03785</c:v>
                </c:pt>
                <c:pt idx="5">
                  <c:v>0,05</c:v>
                </c:pt>
                <c:pt idx="6">
                  <c:v>0,075</c:v>
                </c:pt>
                <c:pt idx="7">
                  <c:v>0,1</c:v>
                </c:pt>
                <c:pt idx="8">
                  <c:v>0,1015</c:v>
                </c:pt>
                <c:pt idx="9">
                  <c:v>0,13</c:v>
                </c:pt>
                <c:pt idx="10">
                  <c:v>0,15</c:v>
                </c:pt>
                <c:pt idx="11">
                  <c:v>0,18</c:v>
                </c:pt>
                <c:pt idx="12">
                  <c:v>0,19</c:v>
                </c:pt>
                <c:pt idx="13">
                  <c:v>0,20</c:v>
                </c:pt>
                <c:pt idx="14">
                  <c:v>0,21205</c:v>
                </c:pt>
                <c:pt idx="15">
                  <c:v>0,21205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Ejes!$X$7:$X$22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3.7850000000000002E-2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 formatCode="0.0000">
                  <c:v>0.10145</c:v>
                </c:pt>
                <c:pt idx="9" formatCode="0.00">
                  <c:v>0.125</c:v>
                </c:pt>
                <c:pt idx="10" formatCode="0.00">
                  <c:v>0.15</c:v>
                </c:pt>
                <c:pt idx="11" formatCode="0.00">
                  <c:v>0.17499999999999999</c:v>
                </c:pt>
                <c:pt idx="12" formatCode="0.00">
                  <c:v>0.19</c:v>
                </c:pt>
                <c:pt idx="13" formatCode="0.00">
                  <c:v>0.2</c:v>
                </c:pt>
                <c:pt idx="14" formatCode="0.00000">
                  <c:v>0.21204999999999999</c:v>
                </c:pt>
                <c:pt idx="15" formatCode="0.00000">
                  <c:v>0.21204999999999999</c:v>
                </c:pt>
              </c:numCache>
            </c:numRef>
          </c:xVal>
          <c:yVal>
            <c:numRef>
              <c:f>Ejes!$AC$7:$AC$22</c:f>
              <c:numCache>
                <c:formatCode>0.00</c:formatCode>
                <c:ptCount val="16"/>
                <c:pt idx="0">
                  <c:v>1.300386285541185</c:v>
                </c:pt>
                <c:pt idx="1">
                  <c:v>1.300386285541185</c:v>
                </c:pt>
                <c:pt idx="2">
                  <c:v>1.300386285541185</c:v>
                </c:pt>
                <c:pt idx="3">
                  <c:v>1.300386285541185</c:v>
                </c:pt>
                <c:pt idx="4">
                  <c:v>1.300386285541185</c:v>
                </c:pt>
                <c:pt idx="5">
                  <c:v>1.300386285541185</c:v>
                </c:pt>
                <c:pt idx="6">
                  <c:v>1.300386285541185</c:v>
                </c:pt>
                <c:pt idx="7">
                  <c:v>1.300386285541185</c:v>
                </c:pt>
                <c:pt idx="8">
                  <c:v>1.300386285541185</c:v>
                </c:pt>
                <c:pt idx="9">
                  <c:v>1.300386285541185</c:v>
                </c:pt>
                <c:pt idx="10">
                  <c:v>1.300386285541185</c:v>
                </c:pt>
                <c:pt idx="11">
                  <c:v>1.300386285541185</c:v>
                </c:pt>
                <c:pt idx="12">
                  <c:v>1.300386285541185</c:v>
                </c:pt>
                <c:pt idx="13">
                  <c:v>1.300386285541185</c:v>
                </c:pt>
                <c:pt idx="14">
                  <c:v>1.300386285541185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8-4915-A7C1-FC266FB66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19343"/>
        <c:axId val="1343319823"/>
      </c:scatterChart>
      <c:valAx>
        <c:axId val="134331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Posición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319823"/>
        <c:crosses val="autoZero"/>
        <c:crossBetween val="midCat"/>
      </c:valAx>
      <c:valAx>
        <c:axId val="13433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Torque</a:t>
                </a:r>
                <a:r>
                  <a:rPr lang="es-CO" b="1" baseline="0"/>
                  <a:t> [Nm]</a:t>
                </a:r>
                <a:endParaRPr lang="es-CO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319343"/>
        <c:crosses val="autoZero"/>
        <c:crossBetween val="midCat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 baseline="0"/>
              <a:t>Diámetros - Aproximación Estática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von Mises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Ejes!$X$7:$X$21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3.7850000000000002E-2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 formatCode="0.0000">
                  <c:v>0.10145</c:v>
                </c:pt>
                <c:pt idx="9" formatCode="0.00">
                  <c:v>0.125</c:v>
                </c:pt>
                <c:pt idx="10" formatCode="0.00">
                  <c:v>0.15</c:v>
                </c:pt>
                <c:pt idx="11" formatCode="0.00">
                  <c:v>0.17499999999999999</c:v>
                </c:pt>
                <c:pt idx="12" formatCode="0.00">
                  <c:v>0.19</c:v>
                </c:pt>
                <c:pt idx="13" formatCode="0.00">
                  <c:v>0.2</c:v>
                </c:pt>
                <c:pt idx="14" formatCode="0.00000">
                  <c:v>0.21204999999999999</c:v>
                </c:pt>
              </c:numCache>
            </c:numRef>
          </c:xVal>
          <c:yVal>
            <c:numRef>
              <c:f>Ejes!$AG$7:$AG$21</c:f>
              <c:numCache>
                <c:formatCode>General</c:formatCode>
                <c:ptCount val="15"/>
                <c:pt idx="0">
                  <c:v>3.2455196791992624</c:v>
                </c:pt>
                <c:pt idx="1">
                  <c:v>3.3192457277697001</c:v>
                </c:pt>
                <c:pt idx="2">
                  <c:v>3.5015557569635551</c:v>
                </c:pt>
                <c:pt idx="3">
                  <c:v>3.7284181501904321</c:v>
                </c:pt>
                <c:pt idx="4">
                  <c:v>3.9120257966682774</c:v>
                </c:pt>
                <c:pt idx="5">
                  <c:v>3.6538448901308471</c:v>
                </c:pt>
                <c:pt idx="6">
                  <c:v>3.2615468858054788</c:v>
                </c:pt>
                <c:pt idx="7">
                  <c:v>3.4818551051264794</c:v>
                </c:pt>
                <c:pt idx="8">
                  <c:v>3.5097360035602438</c:v>
                </c:pt>
                <c:pt idx="9">
                  <c:v>3.4208860657428803</c:v>
                </c:pt>
                <c:pt idx="10">
                  <c:v>3.3403579300946129</c:v>
                </c:pt>
                <c:pt idx="11">
                  <c:v>3.2809210590004261</c:v>
                </c:pt>
                <c:pt idx="12">
                  <c:v>3.2582794935263872</c:v>
                </c:pt>
                <c:pt idx="13">
                  <c:v>3.2493566413327049</c:v>
                </c:pt>
                <c:pt idx="14">
                  <c:v>3.2455196791992624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2-445E-A638-AEAABE08A338}"/>
            </c:ext>
          </c:extLst>
        </c:ser>
        <c:ser>
          <c:idx val="1"/>
          <c:order val="1"/>
          <c:tx>
            <c:v>Tresca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Ejes!$X$7:$X$21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3.7850000000000002E-2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 formatCode="0.0000">
                  <c:v>0.10145</c:v>
                </c:pt>
                <c:pt idx="9" formatCode="0.00">
                  <c:v>0.125</c:v>
                </c:pt>
                <c:pt idx="10" formatCode="0.00">
                  <c:v>0.15</c:v>
                </c:pt>
                <c:pt idx="11" formatCode="0.00">
                  <c:v>0.17499999999999999</c:v>
                </c:pt>
                <c:pt idx="12" formatCode="0.00">
                  <c:v>0.19</c:v>
                </c:pt>
                <c:pt idx="13" formatCode="0.00">
                  <c:v>0.2</c:v>
                </c:pt>
                <c:pt idx="14" formatCode="0.00000">
                  <c:v>0.21204999999999999</c:v>
                </c:pt>
              </c:numCache>
            </c:numRef>
          </c:xVal>
          <c:yVal>
            <c:numRef>
              <c:f>Ejes!$AH$7:$AH$21</c:f>
              <c:numCache>
                <c:formatCode>General</c:formatCode>
                <c:ptCount val="15"/>
                <c:pt idx="0">
                  <c:v>3.4049235840793401</c:v>
                </c:pt>
                <c:pt idx="1">
                  <c:v>3.4637313869420754</c:v>
                </c:pt>
                <c:pt idx="2">
                  <c:v>3.615262002380653</c:v>
                </c:pt>
                <c:pt idx="3">
                  <c:v>3.8135283096749131</c:v>
                </c:pt>
                <c:pt idx="4">
                  <c:v>3.9798784621748977</c:v>
                </c:pt>
                <c:pt idx="5">
                  <c:v>3.7473514961600154</c:v>
                </c:pt>
                <c:pt idx="6">
                  <c:v>3.4175730225463448</c:v>
                </c:pt>
                <c:pt idx="7">
                  <c:v>3.5985122049507652</c:v>
                </c:pt>
                <c:pt idx="8">
                  <c:v>3.6222413260074644</c:v>
                </c:pt>
                <c:pt idx="9">
                  <c:v>3.5472236014424685</c:v>
                </c:pt>
                <c:pt idx="10">
                  <c:v>3.4808532036118485</c:v>
                </c:pt>
                <c:pt idx="11">
                  <c:v>3.4329656573993392</c:v>
                </c:pt>
                <c:pt idx="12">
                  <c:v>3.4149880020409742</c:v>
                </c:pt>
                <c:pt idx="13">
                  <c:v>3.407944872196734</c:v>
                </c:pt>
                <c:pt idx="14">
                  <c:v>3.4049235840793401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2-445E-A638-AEAABE08A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19343"/>
        <c:axId val="1343319823"/>
      </c:scatterChart>
      <c:valAx>
        <c:axId val="134331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Posición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319823"/>
        <c:crosses val="autoZero"/>
        <c:crossBetween val="midCat"/>
      </c:valAx>
      <c:valAx>
        <c:axId val="1343319823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Diámetro</a:t>
                </a:r>
                <a:r>
                  <a:rPr lang="es-CO" b="1" baseline="0"/>
                  <a:t> [mm]</a:t>
                </a:r>
                <a:endParaRPr lang="es-CO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319343"/>
        <c:crosses val="autoZero"/>
        <c:crossBetween val="midCat"/>
      </c:valAx>
      <c:spPr>
        <a:noFill/>
        <a:ln w="127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Disposición del Eje</a:t>
            </a:r>
            <a:endParaRPr lang="es-CO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Ejes!$BV$8:$BV$18</c:f>
              <c:numCache>
                <c:formatCode>General</c:formatCode>
                <c:ptCount val="11"/>
                <c:pt idx="0">
                  <c:v>0</c:v>
                </c:pt>
                <c:pt idx="1">
                  <c:v>35</c:v>
                </c:pt>
                <c:pt idx="2">
                  <c:v>35</c:v>
                </c:pt>
                <c:pt idx="3">
                  <c:v>80</c:v>
                </c:pt>
                <c:pt idx="4">
                  <c:v>80</c:v>
                </c:pt>
                <c:pt idx="5">
                  <c:v>115</c:v>
                </c:pt>
                <c:pt idx="6">
                  <c:v>115</c:v>
                </c:pt>
                <c:pt idx="7">
                  <c:v>227</c:v>
                </c:pt>
                <c:pt idx="8">
                  <c:v>227</c:v>
                </c:pt>
                <c:pt idx="9">
                  <c:v>250</c:v>
                </c:pt>
                <c:pt idx="10">
                  <c:v>250</c:v>
                </c:pt>
              </c:numCache>
            </c:numRef>
          </c:xVal>
          <c:yVal>
            <c:numRef>
              <c:f>Ejes!$BW$8:$BW$18</c:f>
              <c:numCache>
                <c:formatCode>General</c:formatCode>
                <c:ptCount val="11"/>
                <c:pt idx="0">
                  <c:v>0.01</c:v>
                </c:pt>
                <c:pt idx="1">
                  <c:v>0.01</c:v>
                </c:pt>
                <c:pt idx="2">
                  <c:v>1.2500000000000001E-2</c:v>
                </c:pt>
                <c:pt idx="3">
                  <c:v>1.2500000000000001E-2</c:v>
                </c:pt>
                <c:pt idx="4">
                  <c:v>1.6E-2</c:v>
                </c:pt>
                <c:pt idx="5">
                  <c:v>1.6E-2</c:v>
                </c:pt>
                <c:pt idx="6">
                  <c:v>1.2500000000000001E-2</c:v>
                </c:pt>
                <c:pt idx="7">
                  <c:v>1.2500000000000001E-2</c:v>
                </c:pt>
                <c:pt idx="8">
                  <c:v>1.0500000000000001E-2</c:v>
                </c:pt>
                <c:pt idx="9">
                  <c:v>1.0500000000000001E-2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6-43EC-A3E3-A5C6654F2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19343"/>
        <c:axId val="1343319823"/>
      </c:scatterChart>
      <c:valAx>
        <c:axId val="1343319343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Posición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319823"/>
        <c:crosses val="autoZero"/>
        <c:crossBetween val="midCat"/>
      </c:valAx>
      <c:valAx>
        <c:axId val="1343319823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 baseline="0"/>
                  <a:t>Radio [m]</a:t>
                </a:r>
                <a:endParaRPr lang="es-CO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319343"/>
        <c:crosses val="autoZero"/>
        <c:crossBetween val="midCat"/>
        <c:majorUnit val="4.000000000000001E-3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Pendiente del Eje - x</a:t>
            </a:r>
            <a:endParaRPr lang="es-CO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Ejes!$CK$7:$CK$21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3.7850000000000002E-2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0.10145</c:v>
                </c:pt>
                <c:pt idx="9" formatCode="0.00">
                  <c:v>0.125</c:v>
                </c:pt>
                <c:pt idx="10" formatCode="0.00">
                  <c:v>0.15</c:v>
                </c:pt>
                <c:pt idx="11" formatCode="0.00">
                  <c:v>0.17499999999999999</c:v>
                </c:pt>
                <c:pt idx="12" formatCode="0.00">
                  <c:v>0.19</c:v>
                </c:pt>
                <c:pt idx="13" formatCode="0.00">
                  <c:v>0.2</c:v>
                </c:pt>
                <c:pt idx="14" formatCode="0.00000">
                  <c:v>0.21204999999999999</c:v>
                </c:pt>
              </c:numCache>
            </c:numRef>
          </c:xVal>
          <c:yVal>
            <c:numRef>
              <c:f>Ejes!$CN$7:$CN$21</c:f>
              <c:numCache>
                <c:formatCode>General</c:formatCode>
                <c:ptCount val="15"/>
                <c:pt idx="0">
                  <c:v>7.5522135750273169E-6</c:v>
                </c:pt>
                <c:pt idx="1">
                  <c:v>7.2631202733944261E-6</c:v>
                </c:pt>
                <c:pt idx="2">
                  <c:v>6.3958403684957537E-6</c:v>
                </c:pt>
                <c:pt idx="3">
                  <c:v>4.9503738603312997E-6</c:v>
                </c:pt>
                <c:pt idx="4">
                  <c:v>3.4105978898416558E-6</c:v>
                </c:pt>
                <c:pt idx="5">
                  <c:v>1.1401739309465521E-6</c:v>
                </c:pt>
                <c:pt idx="6">
                  <c:v>-1.0871127446991895E-6</c:v>
                </c:pt>
                <c:pt idx="7">
                  <c:v>-2.4537292802621574E-8</c:v>
                </c:pt>
                <c:pt idx="8">
                  <c:v>1.3803163320462836E-7</c:v>
                </c:pt>
                <c:pt idx="9">
                  <c:v>2.5775759428168607E-6</c:v>
                </c:pt>
                <c:pt idx="10">
                  <c:v>4.5311893749715583E-6</c:v>
                </c:pt>
                <c:pt idx="11">
                  <c:v>5.8296675180066479E-6</c:v>
                </c:pt>
                <c:pt idx="12">
                  <c:v>6.2942894650502615E-6</c:v>
                </c:pt>
                <c:pt idx="13">
                  <c:v>6.4730103719220819E-6</c:v>
                </c:pt>
                <c:pt idx="14">
                  <c:v>6.5491121973768142E-6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A-4B5F-85CB-B48EE6532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19343"/>
        <c:axId val="1343319823"/>
      </c:scatterChart>
      <c:valAx>
        <c:axId val="1343319343"/>
        <c:scaling>
          <c:orientation val="minMax"/>
          <c:max val="0.220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Posición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319823"/>
        <c:crosses val="autoZero"/>
        <c:crossBetween val="midCat"/>
      </c:valAx>
      <c:valAx>
        <c:axId val="1343319823"/>
        <c:scaling>
          <c:orientation val="minMax"/>
          <c:max val="1.5000000000000005E-5"/>
          <c:min val="-1.5000000000000005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 baseline="0"/>
                  <a:t>Pendiente [rad]</a:t>
                </a:r>
                <a:endParaRPr lang="es-CO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319343"/>
        <c:crosses val="autoZero"/>
        <c:crossBetween val="midCat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Deflexión del Eje - x</a:t>
            </a:r>
            <a:endParaRPr lang="es-CO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Ejes!$CK$7:$CK$21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3.7850000000000002E-2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0.10145</c:v>
                </c:pt>
                <c:pt idx="9" formatCode="0.00">
                  <c:v>0.125</c:v>
                </c:pt>
                <c:pt idx="10" formatCode="0.00">
                  <c:v>0.15</c:v>
                </c:pt>
                <c:pt idx="11" formatCode="0.00">
                  <c:v>0.17499999999999999</c:v>
                </c:pt>
                <c:pt idx="12" formatCode="0.00">
                  <c:v>0.19</c:v>
                </c:pt>
                <c:pt idx="13" formatCode="0.00">
                  <c:v>0.2</c:v>
                </c:pt>
                <c:pt idx="14" formatCode="0.00000">
                  <c:v>0.21204999999999999</c:v>
                </c:pt>
              </c:numCache>
            </c:numRef>
          </c:xVal>
          <c:yVal>
            <c:numRef>
              <c:f>Ejes!$CM$7:$CM$21</c:f>
              <c:numCache>
                <c:formatCode>General</c:formatCode>
                <c:ptCount val="15"/>
                <c:pt idx="0">
                  <c:v>-2.3359789925335819E-4</c:v>
                </c:pt>
                <c:pt idx="1">
                  <c:v>-1.5903940784186134E-4</c:v>
                </c:pt>
                <c:pt idx="2">
                  <c:v>-9.026278246302231E-5</c:v>
                </c:pt>
                <c:pt idx="3">
                  <c:v>-3.3049889149498883E-5</c:v>
                </c:pt>
                <c:pt idx="4" formatCode="0.00">
                  <c:v>-3.9079260636023758E-20</c:v>
                </c:pt>
                <c:pt idx="5">
                  <c:v>2.6859173382772849E-5</c:v>
                </c:pt>
                <c:pt idx="6">
                  <c:v>2.0668558778485087E-5</c:v>
                </c:pt>
                <c:pt idx="7">
                  <c:v>-8.0946122667530991E-8</c:v>
                </c:pt>
                <c:pt idx="8" formatCode="0.00">
                  <c:v>1.1723778190807128E-19</c:v>
                </c:pt>
                <c:pt idx="9">
                  <c:v>3.3117165768891189E-5</c:v>
                </c:pt>
                <c:pt idx="10">
                  <c:v>1.233415974269121E-4</c:v>
                </c:pt>
                <c:pt idx="11">
                  <c:v>2.542171737748059E-4</c:v>
                </c:pt>
                <c:pt idx="12">
                  <c:v>3.4544166202783629E-4</c:v>
                </c:pt>
                <c:pt idx="13">
                  <c:v>4.0936551258457902E-4</c:v>
                </c:pt>
                <c:pt idx="14">
                  <c:v>4.8797663889739348E-4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8-4E67-8C06-AC5370C92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19343"/>
        <c:axId val="1343319823"/>
      </c:scatterChart>
      <c:valAx>
        <c:axId val="1343319343"/>
        <c:scaling>
          <c:orientation val="minMax"/>
          <c:max val="0.220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Posición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319823"/>
        <c:crosses val="autoZero"/>
        <c:crossBetween val="midCat"/>
      </c:valAx>
      <c:valAx>
        <c:axId val="1343319823"/>
        <c:scaling>
          <c:orientation val="minMax"/>
          <c:max val="1.2000000000000003E-3"/>
          <c:min val="-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 baseline="0"/>
                  <a:t>Deflexión [mm]</a:t>
                </a:r>
                <a:endParaRPr lang="es-CO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319343"/>
        <c:crosses val="autoZero"/>
        <c:crossBetween val="midCat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Deflexión del Eje - y</a:t>
            </a:r>
            <a:endParaRPr lang="es-CO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Ejes!$CK$7:$CK$21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3.7850000000000002E-2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0.10145</c:v>
                </c:pt>
                <c:pt idx="9" formatCode="0.00">
                  <c:v>0.125</c:v>
                </c:pt>
                <c:pt idx="10" formatCode="0.00">
                  <c:v>0.15</c:v>
                </c:pt>
                <c:pt idx="11" formatCode="0.00">
                  <c:v>0.17499999999999999</c:v>
                </c:pt>
                <c:pt idx="12" formatCode="0.00">
                  <c:v>0.19</c:v>
                </c:pt>
                <c:pt idx="13" formatCode="0.00">
                  <c:v>0.2</c:v>
                </c:pt>
                <c:pt idx="14" formatCode="0.00000">
                  <c:v>0.21204999999999999</c:v>
                </c:pt>
              </c:numCache>
            </c:numRef>
          </c:xVal>
          <c:yVal>
            <c:numRef>
              <c:f>Ejes!$CO$7:$CO$21</c:f>
              <c:numCache>
                <c:formatCode>General</c:formatCode>
                <c:ptCount val="15"/>
                <c:pt idx="0">
                  <c:v>-8.4807510873956901E-6</c:v>
                </c:pt>
                <c:pt idx="1">
                  <c:v>-6.2401299282422725E-6</c:v>
                </c:pt>
                <c:pt idx="2">
                  <c:v>-3.9995087690888533E-6</c:v>
                </c:pt>
                <c:pt idx="3">
                  <c:v>-1.7588876099354347E-6</c:v>
                </c:pt>
                <c:pt idx="4">
                  <c:v>-1.2212268948757424E-21</c:v>
                </c:pt>
                <c:pt idx="5">
                  <c:v>2.6230012393787398E-6</c:v>
                </c:pt>
                <c:pt idx="6">
                  <c:v>5.4838270676801284E-6</c:v>
                </c:pt>
                <c:pt idx="7">
                  <c:v>6.2772775371655972E-7</c:v>
                </c:pt>
                <c:pt idx="8">
                  <c:v>0</c:v>
                </c:pt>
                <c:pt idx="9">
                  <c:v>-1.5998867490069631E-5</c:v>
                </c:pt>
                <c:pt idx="10">
                  <c:v>-4.3023350471488058E-5</c:v>
                </c:pt>
                <c:pt idx="11">
                  <c:v>-7.7459728206089685E-5</c:v>
                </c:pt>
                <c:pt idx="12">
                  <c:v>-1.0043698059859447E-4</c:v>
                </c:pt>
                <c:pt idx="13">
                  <c:v>-1.1632174172804731E-4</c:v>
                </c:pt>
                <c:pt idx="14">
                  <c:v>-1.3575148545676898E-4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C-4927-8DFA-18D303929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19343"/>
        <c:axId val="1343319823"/>
      </c:scatterChart>
      <c:valAx>
        <c:axId val="1343319343"/>
        <c:scaling>
          <c:orientation val="minMax"/>
          <c:max val="0.220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Posición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319823"/>
        <c:crosses val="autoZero"/>
        <c:crossBetween val="midCat"/>
      </c:valAx>
      <c:valAx>
        <c:axId val="1343319823"/>
        <c:scaling>
          <c:orientation val="minMax"/>
          <c:max val="1.2000000000000004E-4"/>
          <c:min val="-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 baseline="0"/>
                  <a:t>Deflexión [mm]</a:t>
                </a:r>
                <a:endParaRPr lang="es-CO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319343"/>
        <c:crosses val="autoZero"/>
        <c:crossBetween val="midCat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Pendiente del Eje - x</a:t>
            </a:r>
            <a:endParaRPr lang="es-CO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Ejes!$CK$7:$CK$21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3.7850000000000002E-2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0.10145</c:v>
                </c:pt>
                <c:pt idx="9" formatCode="0.00">
                  <c:v>0.125</c:v>
                </c:pt>
                <c:pt idx="10" formatCode="0.00">
                  <c:v>0.15</c:v>
                </c:pt>
                <c:pt idx="11" formatCode="0.00">
                  <c:v>0.17499999999999999</c:v>
                </c:pt>
                <c:pt idx="12" formatCode="0.00">
                  <c:v>0.19</c:v>
                </c:pt>
                <c:pt idx="13" formatCode="0.00">
                  <c:v>0.2</c:v>
                </c:pt>
                <c:pt idx="14" formatCode="0.00000">
                  <c:v>0.21204999999999999</c:v>
                </c:pt>
              </c:numCache>
            </c:numRef>
          </c:xVal>
          <c:yVal>
            <c:numRef>
              <c:f>Ejes!$CP$7:$CP$21</c:f>
              <c:numCache>
                <c:formatCode>General</c:formatCode>
                <c:ptCount val="15"/>
                <c:pt idx="0">
                  <c:v>2.2406211591534184E-7</c:v>
                </c:pt>
                <c:pt idx="1">
                  <c:v>2.2406211591534184E-7</c:v>
                </c:pt>
                <c:pt idx="2">
                  <c:v>2.2406211591534184E-7</c:v>
                </c:pt>
                <c:pt idx="3">
                  <c:v>2.2406211591534184E-7</c:v>
                </c:pt>
                <c:pt idx="4">
                  <c:v>2.2406211591534184E-7</c:v>
                </c:pt>
                <c:pt idx="5">
                  <c:v>1.9953039517641297E-7</c:v>
                </c:pt>
                <c:pt idx="6">
                  <c:v>-5.2848993127726778E-9</c:v>
                </c:pt>
                <c:pt idx="7">
                  <c:v>-4.1782361620478388E-7</c:v>
                </c:pt>
                <c:pt idx="8">
                  <c:v>-4.4812423183068364E-7</c:v>
                </c:pt>
                <c:pt idx="9">
                  <c:v>-8.929246379820434E-7</c:v>
                </c:pt>
                <c:pt idx="10">
                  <c:v>-1.2491256074259162E-6</c:v>
                </c:pt>
                <c:pt idx="11">
                  <c:v>-1.4858762182366995E-6</c:v>
                </c:pt>
                <c:pt idx="12">
                  <c:v>-1.5705904125792865E-6</c:v>
                </c:pt>
                <c:pt idx="13">
                  <c:v>-1.6031764704143937E-6</c:v>
                </c:pt>
                <c:pt idx="14">
                  <c:v>-1.6170520629739307E-6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1-4B84-90C7-EE2D6F45B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19343"/>
        <c:axId val="1343319823"/>
      </c:scatterChart>
      <c:valAx>
        <c:axId val="1343319343"/>
        <c:scaling>
          <c:orientation val="minMax"/>
          <c:max val="0.220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Posición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319823"/>
        <c:crosses val="autoZero"/>
        <c:crossBetween val="midCat"/>
      </c:valAx>
      <c:valAx>
        <c:axId val="1343319823"/>
        <c:scaling>
          <c:orientation val="minMax"/>
          <c:max val="1.5000000000000005E-6"/>
          <c:min val="-2.0000000000000008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 baseline="0"/>
                  <a:t>Pendiente [rad]</a:t>
                </a:r>
                <a:endParaRPr lang="es-CO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319343"/>
        <c:crosses val="autoZero"/>
        <c:crossBetween val="midCat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4.png"/><Relationship Id="rId18" Type="http://schemas.openxmlformats.org/officeDocument/2006/relationships/chart" Target="../charts/chart8.xml"/><Relationship Id="rId3" Type="http://schemas.openxmlformats.org/officeDocument/2006/relationships/chart" Target="../charts/chart1.xml"/><Relationship Id="rId21" Type="http://schemas.openxmlformats.org/officeDocument/2006/relationships/image" Target="../media/image18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17" Type="http://schemas.openxmlformats.org/officeDocument/2006/relationships/image" Target="../media/image16.png"/><Relationship Id="rId2" Type="http://schemas.openxmlformats.org/officeDocument/2006/relationships/image" Target="../media/image8.png"/><Relationship Id="rId16" Type="http://schemas.openxmlformats.org/officeDocument/2006/relationships/chart" Target="../charts/chart7.xml"/><Relationship Id="rId20" Type="http://schemas.openxmlformats.org/officeDocument/2006/relationships/image" Target="../media/image17.png"/><Relationship Id="rId1" Type="http://schemas.openxmlformats.org/officeDocument/2006/relationships/image" Target="../media/image7.png"/><Relationship Id="rId6" Type="http://schemas.openxmlformats.org/officeDocument/2006/relationships/chart" Target="../charts/chart4.xml"/><Relationship Id="rId11" Type="http://schemas.openxmlformats.org/officeDocument/2006/relationships/image" Target="../media/image12.png"/><Relationship Id="rId5" Type="http://schemas.openxmlformats.org/officeDocument/2006/relationships/chart" Target="../charts/chart3.xml"/><Relationship Id="rId15" Type="http://schemas.openxmlformats.org/officeDocument/2006/relationships/chart" Target="../charts/chart6.xml"/><Relationship Id="rId10" Type="http://schemas.openxmlformats.org/officeDocument/2006/relationships/chart" Target="../charts/chart5.xml"/><Relationship Id="rId19" Type="http://schemas.openxmlformats.org/officeDocument/2006/relationships/chart" Target="../charts/chart9.xml"/><Relationship Id="rId4" Type="http://schemas.openxmlformats.org/officeDocument/2006/relationships/chart" Target="../charts/chart2.xml"/><Relationship Id="rId9" Type="http://schemas.openxmlformats.org/officeDocument/2006/relationships/image" Target="../media/image11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76200</xdr:rowOff>
    </xdr:from>
    <xdr:to>
      <xdr:col>2</xdr:col>
      <xdr:colOff>609600</xdr:colOff>
      <xdr:row>7</xdr:row>
      <xdr:rowOff>126422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B87B22-91CD-0EF7-3354-46F1C164C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666750"/>
          <a:ext cx="1200150" cy="8122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307731</xdr:colOff>
      <xdr:row>9</xdr:row>
      <xdr:rowOff>6139</xdr:rowOff>
    </xdr:from>
    <xdr:to>
      <xdr:col>17</xdr:col>
      <xdr:colOff>444017</xdr:colOff>
      <xdr:row>17</xdr:row>
      <xdr:rowOff>15027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761DF6-B254-8F05-037B-380EE98E0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3712" y="1757274"/>
          <a:ext cx="3111017" cy="15695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157374</xdr:rowOff>
    </xdr:from>
    <xdr:to>
      <xdr:col>7</xdr:col>
      <xdr:colOff>300404</xdr:colOff>
      <xdr:row>22</xdr:row>
      <xdr:rowOff>7182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06C3AD3-5783-AEDC-146C-A2501056F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99009"/>
          <a:ext cx="3685442" cy="2194423"/>
        </a:xfrm>
        <a:prstGeom prst="rect">
          <a:avLst/>
        </a:prstGeom>
      </xdr:spPr>
    </xdr:pic>
    <xdr:clientData/>
  </xdr:twoCellAnchor>
  <xdr:twoCellAnchor editAs="oneCell">
    <xdr:from>
      <xdr:col>7</xdr:col>
      <xdr:colOff>373674</xdr:colOff>
      <xdr:row>20</xdr:row>
      <xdr:rowOff>21981</xdr:rowOff>
    </xdr:from>
    <xdr:to>
      <xdr:col>10</xdr:col>
      <xdr:colOff>401517</xdr:colOff>
      <xdr:row>27</xdr:row>
      <xdr:rowOff>140677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15125C1-8D0B-8872-EEF8-5A9188A29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8712" y="3912577"/>
          <a:ext cx="2313843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703386</xdr:colOff>
      <xdr:row>28</xdr:row>
      <xdr:rowOff>25889</xdr:rowOff>
    </xdr:from>
    <xdr:to>
      <xdr:col>10</xdr:col>
      <xdr:colOff>139491</xdr:colOff>
      <xdr:row>33</xdr:row>
      <xdr:rowOff>49248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50CC341-9ACE-427E-131D-3D3C8634E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88424" y="5455139"/>
          <a:ext cx="1722105" cy="975859"/>
        </a:xfrm>
        <a:prstGeom prst="rect">
          <a:avLst/>
        </a:prstGeom>
      </xdr:spPr>
    </xdr:pic>
    <xdr:clientData/>
  </xdr:twoCellAnchor>
  <xdr:twoCellAnchor editAs="oneCell">
    <xdr:from>
      <xdr:col>0</xdr:col>
      <xdr:colOff>123093</xdr:colOff>
      <xdr:row>22</xdr:row>
      <xdr:rowOff>93785</xdr:rowOff>
    </xdr:from>
    <xdr:to>
      <xdr:col>7</xdr:col>
      <xdr:colOff>155774</xdr:colOff>
      <xdr:row>47</xdr:row>
      <xdr:rowOff>115155</xdr:rowOff>
    </xdr:to>
    <xdr:pic>
      <xdr:nvPicPr>
        <xdr:cNvPr id="8" name="Imagen 5">
          <a:extLst>
            <a:ext uri="{FF2B5EF4-FFF2-40B4-BE49-F238E27FC236}">
              <a16:creationId xmlns:a16="http://schemas.microsoft.com/office/drawing/2014/main" id="{32984478-F3EF-2BE6-10EB-1475ED185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093" y="4243754"/>
          <a:ext cx="3414056" cy="4793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174626</xdr:colOff>
      <xdr:row>13</xdr:row>
      <xdr:rowOff>175734</xdr:rowOff>
    </xdr:from>
    <xdr:to>
      <xdr:col>14</xdr:col>
      <xdr:colOff>761382</xdr:colOff>
      <xdr:row>25</xdr:row>
      <xdr:rowOff>192725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746B84-B7FD-0725-B1EF-A051BC93E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5314" y="2739547"/>
          <a:ext cx="3634756" cy="2398241"/>
        </a:xfrm>
        <a:prstGeom prst="rect">
          <a:avLst/>
        </a:prstGeom>
      </xdr:spPr>
    </xdr:pic>
    <xdr:clientData/>
  </xdr:twoCellAnchor>
  <xdr:twoCellAnchor editAs="oneCell">
    <xdr:from>
      <xdr:col>10</xdr:col>
      <xdr:colOff>523875</xdr:colOff>
      <xdr:row>4</xdr:row>
      <xdr:rowOff>42366</xdr:rowOff>
    </xdr:from>
    <xdr:to>
      <xdr:col>14</xdr:col>
      <xdr:colOff>226465</xdr:colOff>
      <xdr:row>13</xdr:row>
      <xdr:rowOff>4815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F2DC76B-0E1D-4FFF-BE7B-178CC78CA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3188" y="828179"/>
          <a:ext cx="2750590" cy="1783311"/>
        </a:xfrm>
        <a:prstGeom prst="rect">
          <a:avLst/>
        </a:prstGeom>
      </xdr:spPr>
    </xdr:pic>
    <xdr:clientData/>
  </xdr:twoCellAnchor>
  <xdr:twoCellAnchor>
    <xdr:from>
      <xdr:col>18</xdr:col>
      <xdr:colOff>238125</xdr:colOff>
      <xdr:row>25</xdr:row>
      <xdr:rowOff>157162</xdr:rowOff>
    </xdr:from>
    <xdr:to>
      <xdr:col>22</xdr:col>
      <xdr:colOff>533400</xdr:colOff>
      <xdr:row>40</xdr:row>
      <xdr:rowOff>23812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50AB297-E614-8CA8-88F2-C3170C5BC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762000</xdr:colOff>
      <xdr:row>25</xdr:row>
      <xdr:rowOff>152400</xdr:rowOff>
    </xdr:from>
    <xdr:to>
      <xdr:col>26</xdr:col>
      <xdr:colOff>819150</xdr:colOff>
      <xdr:row>40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7B6C3CD-2A41-4C8B-B450-0B4198B2D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</xdr:colOff>
      <xdr:row>25</xdr:row>
      <xdr:rowOff>152400</xdr:rowOff>
    </xdr:from>
    <xdr:to>
      <xdr:col>31</xdr:col>
      <xdr:colOff>1066801</xdr:colOff>
      <xdr:row>40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7A6E0AA-095C-4544-A9D1-3B625C1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1219200</xdr:colOff>
      <xdr:row>25</xdr:row>
      <xdr:rowOff>142875</xdr:rowOff>
    </xdr:from>
    <xdr:to>
      <xdr:col>37</xdr:col>
      <xdr:colOff>419100</xdr:colOff>
      <xdr:row>40</xdr:row>
      <xdr:rowOff>9525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F4D93CE-9653-4C34-9E43-9823C303D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38</xdr:col>
      <xdr:colOff>267100</xdr:colOff>
      <xdr:row>3</xdr:row>
      <xdr:rowOff>66675</xdr:rowOff>
    </xdr:from>
    <xdr:to>
      <xdr:col>43</xdr:col>
      <xdr:colOff>543545</xdr:colOff>
      <xdr:row>18</xdr:row>
      <xdr:rowOff>143348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FAE05D2-655F-4761-9B67-9A320F0EF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185500" y="657225"/>
          <a:ext cx="4086445" cy="3115148"/>
        </a:xfrm>
        <a:prstGeom prst="rect">
          <a:avLst/>
        </a:prstGeom>
      </xdr:spPr>
    </xdr:pic>
    <xdr:clientData/>
  </xdr:twoCellAnchor>
  <xdr:twoCellAnchor editAs="oneCell">
    <xdr:from>
      <xdr:col>38</xdr:col>
      <xdr:colOff>38100</xdr:colOff>
      <xdr:row>19</xdr:row>
      <xdr:rowOff>34848</xdr:rowOff>
    </xdr:from>
    <xdr:to>
      <xdr:col>43</xdr:col>
      <xdr:colOff>666750</xdr:colOff>
      <xdr:row>35</xdr:row>
      <xdr:rowOff>86197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779A23D-B496-4438-ABEA-AF6D6AE1E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956500" y="3863898"/>
          <a:ext cx="4438650" cy="3242224"/>
        </a:xfrm>
        <a:prstGeom prst="rect">
          <a:avLst/>
        </a:prstGeom>
      </xdr:spPr>
    </xdr:pic>
    <xdr:clientData/>
  </xdr:twoCellAnchor>
  <xdr:twoCellAnchor editAs="oneCell">
    <xdr:from>
      <xdr:col>40</xdr:col>
      <xdr:colOff>295275</xdr:colOff>
      <xdr:row>36</xdr:row>
      <xdr:rowOff>47625</xdr:rowOff>
    </xdr:from>
    <xdr:to>
      <xdr:col>42</xdr:col>
      <xdr:colOff>209751</xdr:colOff>
      <xdr:row>42</xdr:row>
      <xdr:rowOff>171629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CF1F92C-2FFC-4DAC-8FA6-6638DDD45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737675" y="7248525"/>
          <a:ext cx="1438476" cy="1286054"/>
        </a:xfrm>
        <a:prstGeom prst="rect">
          <a:avLst/>
        </a:prstGeom>
      </xdr:spPr>
    </xdr:pic>
    <xdr:clientData/>
  </xdr:twoCellAnchor>
  <xdr:twoCellAnchor>
    <xdr:from>
      <xdr:col>71</xdr:col>
      <xdr:colOff>0</xdr:colOff>
      <xdr:row>20</xdr:row>
      <xdr:rowOff>66675</xdr:rowOff>
    </xdr:from>
    <xdr:to>
      <xdr:col>77</xdr:col>
      <xdr:colOff>666750</xdr:colOff>
      <xdr:row>34</xdr:row>
      <xdr:rowOff>104775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DF03746-6182-43FE-B8F6-4D01CDC6B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80</xdr:col>
      <xdr:colOff>390525</xdr:colOff>
      <xdr:row>31</xdr:row>
      <xdr:rowOff>180975</xdr:rowOff>
    </xdr:from>
    <xdr:to>
      <xdr:col>84</xdr:col>
      <xdr:colOff>591039</xdr:colOff>
      <xdr:row>38</xdr:row>
      <xdr:rowOff>152587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9F8C62C-6DE2-287E-789C-18DE467D8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274700" y="6391275"/>
          <a:ext cx="3505689" cy="1343212"/>
        </a:xfrm>
        <a:prstGeom prst="rect">
          <a:avLst/>
        </a:prstGeom>
      </xdr:spPr>
    </xdr:pic>
    <xdr:clientData/>
  </xdr:twoCellAnchor>
  <xdr:twoCellAnchor editAs="oneCell">
    <xdr:from>
      <xdr:col>78</xdr:col>
      <xdr:colOff>609600</xdr:colOff>
      <xdr:row>38</xdr:row>
      <xdr:rowOff>161925</xdr:rowOff>
    </xdr:from>
    <xdr:to>
      <xdr:col>85</xdr:col>
      <xdr:colOff>543624</xdr:colOff>
      <xdr:row>42</xdr:row>
      <xdr:rowOff>123929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56EEAC4-7D06-017F-CC2C-C2CC186D9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3484125" y="7743825"/>
          <a:ext cx="5010849" cy="743054"/>
        </a:xfrm>
        <a:prstGeom prst="rect">
          <a:avLst/>
        </a:prstGeom>
      </xdr:spPr>
    </xdr:pic>
    <xdr:clientData/>
  </xdr:twoCellAnchor>
  <xdr:twoCellAnchor editAs="oneCell">
    <xdr:from>
      <xdr:col>78</xdr:col>
      <xdr:colOff>647700</xdr:colOff>
      <xdr:row>56</xdr:row>
      <xdr:rowOff>38100</xdr:rowOff>
    </xdr:from>
    <xdr:to>
      <xdr:col>85</xdr:col>
      <xdr:colOff>600777</xdr:colOff>
      <xdr:row>66</xdr:row>
      <xdr:rowOff>171741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A4AA99F3-03D5-69A5-B65A-D3C3F9923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522225" y="11144250"/>
          <a:ext cx="5029902" cy="2086266"/>
        </a:xfrm>
        <a:prstGeom prst="rect">
          <a:avLst/>
        </a:prstGeom>
      </xdr:spPr>
    </xdr:pic>
    <xdr:clientData/>
  </xdr:twoCellAnchor>
  <xdr:twoCellAnchor editAs="oneCell">
    <xdr:from>
      <xdr:col>78</xdr:col>
      <xdr:colOff>619125</xdr:colOff>
      <xdr:row>42</xdr:row>
      <xdr:rowOff>104775</xdr:rowOff>
    </xdr:from>
    <xdr:to>
      <xdr:col>85</xdr:col>
      <xdr:colOff>29201</xdr:colOff>
      <xdr:row>46</xdr:row>
      <xdr:rowOff>19147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35EE643A-799E-A473-FDB9-E800F22E7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3493650" y="8467725"/>
          <a:ext cx="4486901" cy="695422"/>
        </a:xfrm>
        <a:prstGeom prst="rect">
          <a:avLst/>
        </a:prstGeom>
      </xdr:spPr>
    </xdr:pic>
    <xdr:clientData/>
  </xdr:twoCellAnchor>
  <xdr:twoCellAnchor>
    <xdr:from>
      <xdr:col>86</xdr:col>
      <xdr:colOff>0</xdr:colOff>
      <xdr:row>38</xdr:row>
      <xdr:rowOff>0</xdr:rowOff>
    </xdr:from>
    <xdr:to>
      <xdr:col>91</xdr:col>
      <xdr:colOff>695325</xdr:colOff>
      <xdr:row>52</xdr:row>
      <xdr:rowOff>85725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C4541C2-755D-4D93-86B0-7E474BA1B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86</xdr:col>
      <xdr:colOff>0</xdr:colOff>
      <xdr:row>23</xdr:row>
      <xdr:rowOff>0</xdr:rowOff>
    </xdr:from>
    <xdr:to>
      <xdr:col>91</xdr:col>
      <xdr:colOff>695325</xdr:colOff>
      <xdr:row>37</xdr:row>
      <xdr:rowOff>57150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D85A27D-8E20-44AA-8B99-2CD64164B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79</xdr:col>
      <xdr:colOff>161925</xdr:colOff>
      <xdr:row>46</xdr:row>
      <xdr:rowOff>19050</xdr:rowOff>
    </xdr:from>
    <xdr:to>
      <xdr:col>85</xdr:col>
      <xdr:colOff>334001</xdr:colOff>
      <xdr:row>56</xdr:row>
      <xdr:rowOff>270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1F47121F-D098-9F77-3BF5-ADD2EF7B0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3798450" y="9172575"/>
          <a:ext cx="4486901" cy="1933845"/>
        </a:xfrm>
        <a:prstGeom prst="rect">
          <a:avLst/>
        </a:prstGeom>
      </xdr:spPr>
    </xdr:pic>
    <xdr:clientData/>
  </xdr:twoCellAnchor>
  <xdr:twoCellAnchor>
    <xdr:from>
      <xdr:col>92</xdr:col>
      <xdr:colOff>0</xdr:colOff>
      <xdr:row>23</xdr:row>
      <xdr:rowOff>0</xdr:rowOff>
    </xdr:from>
    <xdr:to>
      <xdr:col>98</xdr:col>
      <xdr:colOff>200025</xdr:colOff>
      <xdr:row>37</xdr:row>
      <xdr:rowOff>57150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B6D15D5F-456A-418F-A78B-A887A6A6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92</xdr:col>
      <xdr:colOff>0</xdr:colOff>
      <xdr:row>38</xdr:row>
      <xdr:rowOff>0</xdr:rowOff>
    </xdr:from>
    <xdr:to>
      <xdr:col>98</xdr:col>
      <xdr:colOff>200025</xdr:colOff>
      <xdr:row>52</xdr:row>
      <xdr:rowOff>85725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953EC921-BC07-4408-BEBF-6B48FB989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95</xdr:col>
      <xdr:colOff>685800</xdr:colOff>
      <xdr:row>7</xdr:row>
      <xdr:rowOff>0</xdr:rowOff>
    </xdr:from>
    <xdr:to>
      <xdr:col>98</xdr:col>
      <xdr:colOff>390819</xdr:colOff>
      <xdr:row>9</xdr:row>
      <xdr:rowOff>133426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015F1BB-BB12-5F32-9260-3F15A5C82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285850" y="1390650"/>
          <a:ext cx="2105319" cy="543001"/>
        </a:xfrm>
        <a:prstGeom prst="rect">
          <a:avLst/>
        </a:prstGeom>
      </xdr:spPr>
    </xdr:pic>
    <xdr:clientData/>
  </xdr:twoCellAnchor>
  <xdr:twoCellAnchor editAs="oneCell">
    <xdr:from>
      <xdr:col>96</xdr:col>
      <xdr:colOff>139803</xdr:colOff>
      <xdr:row>16</xdr:row>
      <xdr:rowOff>85725</xdr:rowOff>
    </xdr:from>
    <xdr:to>
      <xdr:col>97</xdr:col>
      <xdr:colOff>790853</xdr:colOff>
      <xdr:row>22</xdr:row>
      <xdr:rowOff>143122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E17E1C1B-F740-A73B-B1AE-075ECDFDA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7501853" y="3314700"/>
          <a:ext cx="1413050" cy="125754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3CE1-7ED6-406A-9055-918F84D1FBD3}">
  <dimension ref="A1:L48"/>
  <sheetViews>
    <sheetView topLeftCell="A5" workbookViewId="0">
      <selection activeCell="F11" sqref="F11"/>
    </sheetView>
  </sheetViews>
  <sheetFormatPr baseColWidth="10" defaultColWidth="11.42578125" defaultRowHeight="15" x14ac:dyDescent="0.25"/>
  <cols>
    <col min="1" max="4" width="11.42578125" style="1"/>
    <col min="5" max="5" width="12" style="1" customWidth="1"/>
    <col min="6" max="16384" width="11.42578125" style="1"/>
  </cols>
  <sheetData>
    <row r="1" spans="1:12" x14ac:dyDescent="0.25">
      <c r="A1" s="84" t="s">
        <v>0</v>
      </c>
      <c r="B1" s="85"/>
      <c r="C1" s="85"/>
      <c r="D1" s="86"/>
    </row>
    <row r="2" spans="1:12" ht="15.75" thickBot="1" x14ac:dyDescent="0.3">
      <c r="A2" s="87"/>
      <c r="B2" s="88"/>
      <c r="C2" s="88"/>
      <c r="D2" s="89"/>
    </row>
    <row r="3" spans="1:12" ht="15.75" thickBot="1" x14ac:dyDescent="0.3"/>
    <row r="4" spans="1:12" x14ac:dyDescent="0.25">
      <c r="B4" s="2"/>
      <c r="C4" s="3"/>
      <c r="E4" s="8" t="s">
        <v>2</v>
      </c>
      <c r="F4" s="8">
        <v>9.9999999999999995E-8</v>
      </c>
    </row>
    <row r="5" spans="1:12" x14ac:dyDescent="0.25">
      <c r="B5" s="4"/>
      <c r="C5" s="5"/>
      <c r="E5" s="8" t="s">
        <v>3</v>
      </c>
      <c r="F5" s="1">
        <v>48</v>
      </c>
      <c r="H5" s="92" t="s">
        <v>19</v>
      </c>
      <c r="I5" s="92"/>
      <c r="J5" s="92"/>
      <c r="K5" s="92"/>
      <c r="L5" s="92"/>
    </row>
    <row r="6" spans="1:12" x14ac:dyDescent="0.25">
      <c r="B6" s="4"/>
      <c r="C6" s="5"/>
      <c r="E6" s="8" t="s">
        <v>5</v>
      </c>
      <c r="F6" s="1">
        <f>VLOOKUP(F5,B13:C48,2,FALSE)</f>
        <v>1635</v>
      </c>
      <c r="H6" s="92"/>
      <c r="I6" s="92"/>
      <c r="J6" s="92"/>
      <c r="K6" s="92"/>
      <c r="L6" s="92"/>
    </row>
    <row r="7" spans="1:12" x14ac:dyDescent="0.25">
      <c r="B7" s="4"/>
      <c r="C7" s="5"/>
      <c r="E7" s="1" t="s">
        <v>6</v>
      </c>
      <c r="F7" s="1">
        <v>15</v>
      </c>
    </row>
    <row r="8" spans="1:12" ht="15.75" thickBot="1" x14ac:dyDescent="0.3">
      <c r="B8" s="6"/>
      <c r="C8" s="7"/>
      <c r="E8" s="1" t="s">
        <v>7</v>
      </c>
      <c r="F8" s="1">
        <v>2</v>
      </c>
    </row>
    <row r="9" spans="1:12" ht="15.75" thickBot="1" x14ac:dyDescent="0.3">
      <c r="E9" s="1" t="s">
        <v>8</v>
      </c>
      <c r="F9" s="1">
        <f>F7*(1-(F8/100))</f>
        <v>14.7</v>
      </c>
    </row>
    <row r="10" spans="1:12" ht="15.75" thickBot="1" x14ac:dyDescent="0.3">
      <c r="B10" s="90" t="s">
        <v>1</v>
      </c>
      <c r="C10" s="91"/>
      <c r="E10" s="1" t="s">
        <v>10</v>
      </c>
      <c r="F10" s="1">
        <v>3329</v>
      </c>
    </row>
    <row r="11" spans="1:12" x14ac:dyDescent="0.25">
      <c r="E11" s="1" t="s">
        <v>9</v>
      </c>
      <c r="F11" s="1">
        <f>F10*9.81/1000</f>
        <v>32.657490000000003</v>
      </c>
    </row>
    <row r="12" spans="1:12" x14ac:dyDescent="0.25">
      <c r="B12" s="1" t="s">
        <v>3</v>
      </c>
      <c r="C12" s="1" t="s">
        <v>4</v>
      </c>
      <c r="E12" s="1" t="s">
        <v>11</v>
      </c>
      <c r="F12" s="8">
        <f>(3*F6*1000000*F9)/(F4*F11)</f>
        <v>2.2078702313006908E+16</v>
      </c>
    </row>
    <row r="13" spans="1:12" x14ac:dyDescent="0.25">
      <c r="B13" s="1">
        <v>20</v>
      </c>
      <c r="C13" s="1">
        <v>760</v>
      </c>
      <c r="E13" s="1" t="s">
        <v>12</v>
      </c>
      <c r="F13" s="1">
        <v>5000</v>
      </c>
    </row>
    <row r="14" spans="1:12" x14ac:dyDescent="0.25">
      <c r="B14" s="1">
        <v>21</v>
      </c>
      <c r="C14" s="1">
        <v>770</v>
      </c>
      <c r="E14" s="1" t="s">
        <v>13</v>
      </c>
      <c r="F14" s="1">
        <v>0.24</v>
      </c>
    </row>
    <row r="15" spans="1:12" x14ac:dyDescent="0.25">
      <c r="B15" s="1">
        <v>22</v>
      </c>
      <c r="C15" s="1">
        <v>785</v>
      </c>
      <c r="E15" s="1" t="s">
        <v>14</v>
      </c>
      <c r="F15" s="1">
        <f>PI()*F14</f>
        <v>0.7539822368615503</v>
      </c>
    </row>
    <row r="16" spans="1:12" x14ac:dyDescent="0.25">
      <c r="B16" s="1">
        <v>23</v>
      </c>
      <c r="C16" s="1">
        <v>805</v>
      </c>
      <c r="E16" s="1" t="s">
        <v>15</v>
      </c>
      <c r="F16" s="8">
        <f>F12/F15</f>
        <v>2.9282788418079272E+16</v>
      </c>
    </row>
    <row r="17" spans="2:6" x14ac:dyDescent="0.25">
      <c r="B17" s="1">
        <v>24</v>
      </c>
      <c r="C17" s="1">
        <v>825</v>
      </c>
      <c r="E17" s="1" t="s">
        <v>16</v>
      </c>
      <c r="F17" s="8">
        <f>F16/F13</f>
        <v>5856557683615.8545</v>
      </c>
    </row>
    <row r="18" spans="2:6" x14ac:dyDescent="0.25">
      <c r="B18" s="1">
        <v>25</v>
      </c>
      <c r="C18" s="1">
        <v>840</v>
      </c>
      <c r="E18" s="1" t="s">
        <v>17</v>
      </c>
      <c r="F18" s="8">
        <f>F17/60</f>
        <v>97609294726.930908</v>
      </c>
    </row>
    <row r="19" spans="2:6" x14ac:dyDescent="0.25">
      <c r="B19" s="1">
        <v>26</v>
      </c>
      <c r="C19" s="1">
        <v>860</v>
      </c>
      <c r="E19" s="1" t="s">
        <v>18</v>
      </c>
      <c r="F19" s="8">
        <f>F17/90</f>
        <v>65072863151.28727</v>
      </c>
    </row>
    <row r="20" spans="2:6" x14ac:dyDescent="0.25">
      <c r="B20" s="1">
        <v>27</v>
      </c>
      <c r="C20" s="1">
        <v>880</v>
      </c>
    </row>
    <row r="21" spans="2:6" x14ac:dyDescent="0.25">
      <c r="B21" s="1">
        <v>28</v>
      </c>
      <c r="C21" s="1">
        <v>910</v>
      </c>
    </row>
    <row r="22" spans="2:6" x14ac:dyDescent="0.25">
      <c r="B22" s="1">
        <v>29</v>
      </c>
      <c r="C22" s="1">
        <v>930</v>
      </c>
    </row>
    <row r="23" spans="2:6" x14ac:dyDescent="0.25">
      <c r="B23" s="1">
        <v>30</v>
      </c>
      <c r="C23" s="1">
        <v>950</v>
      </c>
    </row>
    <row r="24" spans="2:6" x14ac:dyDescent="0.25">
      <c r="B24" s="1">
        <v>31</v>
      </c>
      <c r="C24" s="1">
        <v>980</v>
      </c>
    </row>
    <row r="25" spans="2:6" x14ac:dyDescent="0.25">
      <c r="B25" s="1">
        <v>32</v>
      </c>
      <c r="C25" s="1">
        <v>1000</v>
      </c>
    </row>
    <row r="26" spans="2:6" x14ac:dyDescent="0.25">
      <c r="B26" s="1">
        <v>33</v>
      </c>
      <c r="C26" s="1">
        <v>1025</v>
      </c>
    </row>
    <row r="27" spans="2:6" x14ac:dyDescent="0.25">
      <c r="B27" s="1">
        <v>34</v>
      </c>
      <c r="C27" s="1">
        <v>1055</v>
      </c>
    </row>
    <row r="28" spans="2:6" x14ac:dyDescent="0.25">
      <c r="B28" s="1">
        <v>35</v>
      </c>
      <c r="C28" s="1">
        <v>1080</v>
      </c>
    </row>
    <row r="29" spans="2:6" x14ac:dyDescent="0.25">
      <c r="B29" s="1">
        <v>36</v>
      </c>
      <c r="C29" s="1">
        <v>1115</v>
      </c>
    </row>
    <row r="30" spans="2:6" x14ac:dyDescent="0.25">
      <c r="B30" s="1">
        <v>37</v>
      </c>
      <c r="C30" s="1">
        <v>1160</v>
      </c>
    </row>
    <row r="31" spans="2:6" x14ac:dyDescent="0.25">
      <c r="B31" s="1">
        <v>38</v>
      </c>
      <c r="C31" s="1">
        <v>1180</v>
      </c>
    </row>
    <row r="32" spans="2:6" x14ac:dyDescent="0.25">
      <c r="B32" s="1">
        <v>39</v>
      </c>
      <c r="C32" s="1">
        <v>1215</v>
      </c>
    </row>
    <row r="33" spans="2:3" x14ac:dyDescent="0.25">
      <c r="B33" s="1">
        <v>40</v>
      </c>
      <c r="C33" s="1">
        <v>1250</v>
      </c>
    </row>
    <row r="34" spans="2:3" x14ac:dyDescent="0.25">
      <c r="B34" s="1">
        <v>41</v>
      </c>
      <c r="C34" s="1">
        <v>1295</v>
      </c>
    </row>
    <row r="35" spans="2:3" x14ac:dyDescent="0.25">
      <c r="B35" s="1">
        <v>42</v>
      </c>
      <c r="C35" s="1">
        <v>1340</v>
      </c>
    </row>
    <row r="36" spans="2:3" x14ac:dyDescent="0.25">
      <c r="B36" s="1">
        <v>43</v>
      </c>
      <c r="C36" s="1">
        <v>1385</v>
      </c>
    </row>
    <row r="37" spans="2:3" x14ac:dyDescent="0.25">
      <c r="B37" s="1">
        <v>44</v>
      </c>
      <c r="C37" s="1">
        <v>1435</v>
      </c>
    </row>
    <row r="38" spans="2:3" x14ac:dyDescent="0.25">
      <c r="B38" s="1">
        <v>45</v>
      </c>
      <c r="C38" s="1">
        <v>1480</v>
      </c>
    </row>
    <row r="39" spans="2:3" x14ac:dyDescent="0.25">
      <c r="B39" s="1">
        <v>46</v>
      </c>
      <c r="C39" s="1">
        <v>1530</v>
      </c>
    </row>
    <row r="40" spans="2:3" x14ac:dyDescent="0.25">
      <c r="B40" s="1">
        <v>47</v>
      </c>
      <c r="C40" s="1">
        <v>1580</v>
      </c>
    </row>
    <row r="41" spans="2:3" x14ac:dyDescent="0.25">
      <c r="B41" s="1">
        <v>48</v>
      </c>
      <c r="C41" s="1">
        <v>1635</v>
      </c>
    </row>
    <row r="42" spans="2:3" x14ac:dyDescent="0.25">
      <c r="B42" s="1">
        <v>49</v>
      </c>
      <c r="C42" s="1">
        <v>1695</v>
      </c>
    </row>
    <row r="43" spans="2:3" x14ac:dyDescent="0.25">
      <c r="B43" s="1">
        <v>50</v>
      </c>
      <c r="C43" s="1">
        <v>1760</v>
      </c>
    </row>
    <row r="44" spans="2:3" x14ac:dyDescent="0.25">
      <c r="B44" s="1">
        <v>51</v>
      </c>
      <c r="C44" s="1">
        <v>1820</v>
      </c>
    </row>
    <row r="45" spans="2:3" x14ac:dyDescent="0.25">
      <c r="B45" s="1">
        <v>52</v>
      </c>
      <c r="C45" s="1">
        <v>1880</v>
      </c>
    </row>
    <row r="46" spans="2:3" x14ac:dyDescent="0.25">
      <c r="B46" s="1">
        <v>53</v>
      </c>
      <c r="C46" s="1">
        <v>1950</v>
      </c>
    </row>
    <row r="47" spans="2:3" x14ac:dyDescent="0.25">
      <c r="B47" s="1">
        <v>54</v>
      </c>
      <c r="C47" s="1">
        <v>2015</v>
      </c>
    </row>
    <row r="48" spans="2:3" x14ac:dyDescent="0.25">
      <c r="B48" s="1">
        <v>55</v>
      </c>
      <c r="C48" s="1">
        <v>2075</v>
      </c>
    </row>
  </sheetData>
  <mergeCells count="3">
    <mergeCell ref="A1:D2"/>
    <mergeCell ref="B10:C10"/>
    <mergeCell ref="H5:L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2471-1496-483A-8A02-5D113515E606}">
  <dimension ref="A1:Q23"/>
  <sheetViews>
    <sheetView zoomScale="130" zoomScaleNormal="130" workbookViewId="0">
      <selection activeCell="K13" sqref="K13"/>
    </sheetView>
  </sheetViews>
  <sheetFormatPr baseColWidth="10" defaultColWidth="11.42578125" defaultRowHeight="15" x14ac:dyDescent="0.25"/>
  <cols>
    <col min="1" max="1" width="11.42578125" style="1"/>
    <col min="2" max="3" width="3.7109375" style="1" customWidth="1"/>
    <col min="4" max="4" width="13" style="1" customWidth="1"/>
    <col min="5" max="5" width="11.42578125" style="1"/>
    <col min="6" max="7" width="3.7109375" style="1" customWidth="1"/>
    <col min="8" max="11" width="11.42578125" style="1"/>
    <col min="12" max="12" width="18.140625" style="1" customWidth="1"/>
    <col min="13" max="15" width="11.42578125" style="1"/>
    <col min="16" max="16" width="21.7109375" style="1" customWidth="1"/>
    <col min="17" max="16384" width="11.42578125" style="1"/>
  </cols>
  <sheetData>
    <row r="1" spans="1:17" x14ac:dyDescent="0.25">
      <c r="A1" s="93" t="s">
        <v>65</v>
      </c>
      <c r="B1" s="94"/>
      <c r="C1" s="94"/>
      <c r="D1" s="94"/>
      <c r="E1" s="94"/>
      <c r="F1" s="94"/>
      <c r="G1" s="95"/>
    </row>
    <row r="2" spans="1:17" ht="15.75" thickBot="1" x14ac:dyDescent="0.3">
      <c r="A2" s="96"/>
      <c r="B2" s="97"/>
      <c r="C2" s="97"/>
      <c r="D2" s="97"/>
      <c r="E2" s="97"/>
      <c r="F2" s="97"/>
      <c r="G2" s="98"/>
    </row>
    <row r="3" spans="1:17" ht="15.75" thickBot="1" x14ac:dyDescent="0.3"/>
    <row r="4" spans="1:17" ht="15.75" thickBot="1" x14ac:dyDescent="0.3">
      <c r="C4" s="99" t="s">
        <v>67</v>
      </c>
      <c r="D4" s="100"/>
      <c r="E4" s="100"/>
      <c r="F4" s="101"/>
      <c r="I4" s="99" t="s">
        <v>73</v>
      </c>
      <c r="J4" s="101"/>
      <c r="L4" s="105" t="s">
        <v>81</v>
      </c>
      <c r="M4" s="106"/>
      <c r="P4" s="105" t="s">
        <v>95</v>
      </c>
      <c r="Q4" s="106"/>
    </row>
    <row r="5" spans="1:17" x14ac:dyDescent="0.25">
      <c r="C5" s="102" t="s">
        <v>68</v>
      </c>
      <c r="D5" s="103"/>
      <c r="E5" s="104">
        <f>E6*(E7*(2*PI())/60)</f>
        <v>217.88181341253897</v>
      </c>
      <c r="F5" s="103"/>
      <c r="I5" s="19" t="s">
        <v>74</v>
      </c>
      <c r="J5" s="5">
        <v>1.3</v>
      </c>
      <c r="L5" s="19" t="s">
        <v>82</v>
      </c>
      <c r="M5" s="5" t="s">
        <v>104</v>
      </c>
      <c r="P5" s="22" t="s">
        <v>96</v>
      </c>
      <c r="Q5" s="3">
        <v>0.94</v>
      </c>
    </row>
    <row r="6" spans="1:17" x14ac:dyDescent="0.25">
      <c r="C6" s="113" t="s">
        <v>53</v>
      </c>
      <c r="D6" s="114"/>
      <c r="E6" s="116">
        <f>Ejes!J27</f>
        <v>1.300386285541185</v>
      </c>
      <c r="F6" s="114"/>
      <c r="I6" s="20" t="s">
        <v>75</v>
      </c>
      <c r="J6" s="5">
        <f>J5*E5</f>
        <v>283.24635743630068</v>
      </c>
      <c r="L6" s="20" t="s">
        <v>90</v>
      </c>
      <c r="M6" s="5">
        <v>15</v>
      </c>
      <c r="P6" s="23" t="s">
        <v>97</v>
      </c>
      <c r="Q6" s="17">
        <f>E6</f>
        <v>1.300386285541185</v>
      </c>
    </row>
    <row r="7" spans="1:17" ht="15.75" thickBot="1" x14ac:dyDescent="0.3">
      <c r="C7" s="115" t="s">
        <v>69</v>
      </c>
      <c r="D7" s="114"/>
      <c r="E7" s="92">
        <v>1600</v>
      </c>
      <c r="F7" s="114"/>
      <c r="I7" s="20" t="s">
        <v>76</v>
      </c>
      <c r="J7" s="18">
        <f>J6*0.00134102</f>
        <v>0.37983903024922794</v>
      </c>
      <c r="L7" s="20" t="s">
        <v>32</v>
      </c>
      <c r="M7" s="5">
        <f>M6*25.4</f>
        <v>381</v>
      </c>
      <c r="P7" s="20" t="s">
        <v>98</v>
      </c>
      <c r="Q7" s="5">
        <f>(Q6/Q5)*(J18/M18)</f>
        <v>0.69169483273467292</v>
      </c>
    </row>
    <row r="8" spans="1:17" ht="15.75" thickBot="1" x14ac:dyDescent="0.3">
      <c r="C8" s="113" t="s">
        <v>70</v>
      </c>
      <c r="D8" s="114"/>
      <c r="E8" s="92">
        <f>(E6/E10)/Q5</f>
        <v>0.69169483273467292</v>
      </c>
      <c r="F8" s="114"/>
      <c r="I8" s="20" t="s">
        <v>77</v>
      </c>
      <c r="J8" s="5" t="s">
        <v>78</v>
      </c>
      <c r="L8" s="20" t="s">
        <v>91</v>
      </c>
      <c r="M8" s="151">
        <v>0.38</v>
      </c>
      <c r="N8" s="152" t="s">
        <v>228</v>
      </c>
      <c r="O8" s="5"/>
      <c r="P8" s="7" t="s">
        <v>99</v>
      </c>
      <c r="Q8" s="7">
        <f>Q7*2/(J18/1000)</f>
        <v>42.776051280418685</v>
      </c>
    </row>
    <row r="9" spans="1:17" x14ac:dyDescent="0.25">
      <c r="C9" s="115" t="s">
        <v>71</v>
      </c>
      <c r="D9" s="114"/>
      <c r="E9" s="92">
        <f>(E5/E8)*(60/(2*PI()))</f>
        <v>3008</v>
      </c>
      <c r="F9" s="114"/>
      <c r="I9" s="20" t="s">
        <v>79</v>
      </c>
      <c r="J9" s="5">
        <v>0.2</v>
      </c>
      <c r="L9" s="20" t="s">
        <v>92</v>
      </c>
      <c r="M9" s="151">
        <f>(J18/25.4)*(E9/1000)*(0.0916-((7.07*0.00001)*((J18/25.4)*(E9/1000))^2))/M8</f>
        <v>0.91275656416480178</v>
      </c>
      <c r="N9" s="20">
        <v>1.23</v>
      </c>
      <c r="O9" s="151"/>
    </row>
    <row r="10" spans="1:17" ht="15.75" thickBot="1" x14ac:dyDescent="0.3">
      <c r="C10" s="107" t="s">
        <v>72</v>
      </c>
      <c r="D10" s="108"/>
      <c r="E10" s="109">
        <v>2</v>
      </c>
      <c r="F10" s="110"/>
      <c r="I10" s="20" t="s">
        <v>80</v>
      </c>
      <c r="J10" s="5">
        <f>25.4*J9</f>
        <v>5.08</v>
      </c>
      <c r="L10" s="20" t="s">
        <v>93</v>
      </c>
      <c r="M10" s="151">
        <f>J7/M9</f>
        <v>0.41614494506187577</v>
      </c>
      <c r="N10" s="20">
        <f>J7/N9</f>
        <v>0.30881221971481948</v>
      </c>
      <c r="O10" s="151"/>
    </row>
    <row r="11" spans="1:17" ht="15.75" thickBot="1" x14ac:dyDescent="0.3">
      <c r="I11" s="20" t="s">
        <v>89</v>
      </c>
      <c r="J11" s="5">
        <v>4.45</v>
      </c>
      <c r="L11" s="21" t="s">
        <v>94</v>
      </c>
      <c r="M11" s="38">
        <f>IF(MAX(M10,0.25)=0.25,0.25,MAX(M10,0.38))</f>
        <v>0.41614494506187577</v>
      </c>
      <c r="N11" s="21">
        <v>0.37</v>
      </c>
      <c r="O11" s="151"/>
    </row>
    <row r="12" spans="1:17" ht="15.75" thickBot="1" x14ac:dyDescent="0.3">
      <c r="I12" s="21" t="s">
        <v>101</v>
      </c>
      <c r="J12" s="7">
        <f>(J11*25.4)/10</f>
        <v>11.303000000000001</v>
      </c>
    </row>
    <row r="13" spans="1:17" ht="15.75" thickBot="1" x14ac:dyDescent="0.3"/>
    <row r="14" spans="1:17" ht="15.75" thickBot="1" x14ac:dyDescent="0.3">
      <c r="I14" s="111" t="s">
        <v>86</v>
      </c>
      <c r="J14" s="112"/>
      <c r="L14" s="111" t="s">
        <v>87</v>
      </c>
      <c r="M14" s="112"/>
    </row>
    <row r="15" spans="1:17" x14ac:dyDescent="0.25">
      <c r="I15" s="19" t="s">
        <v>82</v>
      </c>
      <c r="J15" s="5" t="s">
        <v>102</v>
      </c>
      <c r="L15" s="19" t="s">
        <v>88</v>
      </c>
      <c r="M15" s="5" t="s">
        <v>103</v>
      </c>
    </row>
    <row r="16" spans="1:17" x14ac:dyDescent="0.25">
      <c r="I16" s="20" t="s">
        <v>83</v>
      </c>
      <c r="J16" s="5">
        <v>20</v>
      </c>
      <c r="L16" s="20" t="s">
        <v>83</v>
      </c>
      <c r="M16" s="5">
        <v>40</v>
      </c>
    </row>
    <row r="17" spans="9:13" x14ac:dyDescent="0.25">
      <c r="I17" s="20" t="s">
        <v>84</v>
      </c>
      <c r="J17" s="5">
        <f>0.871*25.4</f>
        <v>22.1234</v>
      </c>
      <c r="L17" s="20" t="s">
        <v>84</v>
      </c>
      <c r="M17" s="5">
        <f>1.763*25.4</f>
        <v>44.780199999999994</v>
      </c>
    </row>
    <row r="18" spans="9:13" ht="15.75" thickBot="1" x14ac:dyDescent="0.3">
      <c r="I18" s="21" t="s">
        <v>85</v>
      </c>
      <c r="J18" s="7">
        <f>(($J$9*J16)/(PI()))*25.4</f>
        <v>32.34028443627313</v>
      </c>
      <c r="L18" s="21" t="s">
        <v>85</v>
      </c>
      <c r="M18" s="7">
        <f>(($J$9*M16)/(PI()))*25.4</f>
        <v>64.68056887254626</v>
      </c>
    </row>
    <row r="19" spans="9:13" ht="15.75" thickBot="1" x14ac:dyDescent="0.3">
      <c r="I19" s="24" t="s">
        <v>100</v>
      </c>
      <c r="J19" s="25">
        <f>((E9*2*PI()/60)*(J18/25.4)/12)*60</f>
        <v>2005.3333333333335</v>
      </c>
    </row>
    <row r="20" spans="9:13" ht="15.75" thickBot="1" x14ac:dyDescent="0.3"/>
    <row r="21" spans="9:13" ht="15.75" thickBot="1" x14ac:dyDescent="0.3">
      <c r="L21" s="105" t="s">
        <v>225</v>
      </c>
      <c r="M21" s="106"/>
    </row>
    <row r="22" spans="9:13" x14ac:dyDescent="0.25">
      <c r="L22" s="22" t="s">
        <v>226</v>
      </c>
      <c r="M22" s="3">
        <f>DEGREES(PI()-2*ASIN((-0.5*$J$18+0.5*$M$18)/($J$12*10)))</f>
        <v>163.55001950504223</v>
      </c>
    </row>
    <row r="23" spans="9:13" ht="15.75" thickBot="1" x14ac:dyDescent="0.3">
      <c r="L23" s="150" t="s">
        <v>227</v>
      </c>
      <c r="M23" s="7">
        <f>DEGREES(PI()+2*ASIN((-0.5*$J$18+0.5*$M$18)/($J$12*10)))</f>
        <v>196.44998049495777</v>
      </c>
    </row>
  </sheetData>
  <mergeCells count="20">
    <mergeCell ref="L21:M21"/>
    <mergeCell ref="C10:D10"/>
    <mergeCell ref="E10:F10"/>
    <mergeCell ref="I4:J4"/>
    <mergeCell ref="I14:J14"/>
    <mergeCell ref="L14:M14"/>
    <mergeCell ref="L4:M4"/>
    <mergeCell ref="C6:D6"/>
    <mergeCell ref="C7:D7"/>
    <mergeCell ref="C8:D8"/>
    <mergeCell ref="C9:D9"/>
    <mergeCell ref="E6:F6"/>
    <mergeCell ref="E7:F7"/>
    <mergeCell ref="E8:F8"/>
    <mergeCell ref="E9:F9"/>
    <mergeCell ref="A1:G2"/>
    <mergeCell ref="C4:F4"/>
    <mergeCell ref="C5:D5"/>
    <mergeCell ref="E5:F5"/>
    <mergeCell ref="P4:Q4"/>
  </mergeCells>
  <conditionalFormatting sqref="M22">
    <cfRule type="cellIs" dxfId="19" priority="1" operator="between">
      <formula>90</formula>
      <formula>170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88C1F-22CF-4A42-83A2-0E24A0BCD6C1}">
  <dimension ref="A1:CW113"/>
  <sheetViews>
    <sheetView tabSelected="1" topLeftCell="CU1" zoomScaleNormal="100" workbookViewId="0">
      <selection activeCell="DA16" sqref="DA16"/>
    </sheetView>
  </sheetViews>
  <sheetFormatPr baseColWidth="10" defaultColWidth="11.42578125" defaultRowHeight="15" x14ac:dyDescent="0.25"/>
  <cols>
    <col min="1" max="2" width="3.7109375" style="1" customWidth="1"/>
    <col min="3" max="3" width="13" style="1" customWidth="1"/>
    <col min="4" max="4" width="12.85546875" style="1" bestFit="1" customWidth="1"/>
    <col min="5" max="5" width="3.7109375" style="1" customWidth="1"/>
    <col min="6" max="6" width="21.7109375" style="1" customWidth="1"/>
    <col min="7" max="7" width="11.42578125" style="1"/>
    <col min="8" max="8" width="3.7109375" style="1" customWidth="1"/>
    <col min="9" max="15" width="11.42578125" style="1"/>
    <col min="16" max="16" width="3.7109375" style="1" customWidth="1"/>
    <col min="17" max="18" width="15.7109375" style="1" customWidth="1"/>
    <col min="19" max="19" width="3.7109375" style="1" customWidth="1"/>
    <col min="20" max="21" width="21.7109375" style="1" customWidth="1"/>
    <col min="22" max="25" width="17" style="1" customWidth="1"/>
    <col min="26" max="26" width="16.7109375" style="1" customWidth="1"/>
    <col min="27" max="27" width="16.140625" style="1" customWidth="1"/>
    <col min="28" max="28" width="13.28515625" style="1" customWidth="1"/>
    <col min="29" max="29" width="14.42578125" style="1" customWidth="1"/>
    <col min="30" max="30" width="11.42578125" style="1"/>
    <col min="31" max="31" width="15.7109375" style="1" customWidth="1"/>
    <col min="32" max="32" width="19.140625" style="1" customWidth="1"/>
    <col min="33" max="33" width="18.42578125" style="1" customWidth="1"/>
    <col min="34" max="34" width="18.5703125" style="1" customWidth="1"/>
    <col min="35" max="44" width="11.42578125" style="1"/>
    <col min="45" max="45" width="3.7109375" style="1" customWidth="1"/>
    <col min="46" max="50" width="11.42578125" style="1"/>
    <col min="51" max="51" width="14.7109375" style="1" customWidth="1"/>
    <col min="52" max="55" width="11.42578125" style="1"/>
    <col min="56" max="57" width="10.7109375" style="1" customWidth="1"/>
    <col min="58" max="63" width="11.42578125" style="1"/>
    <col min="64" max="64" width="12.7109375" style="1" customWidth="1"/>
    <col min="65" max="65" width="13.85546875" style="1" customWidth="1"/>
    <col min="66" max="67" width="11.42578125" style="1"/>
    <col min="68" max="68" width="16.42578125" style="1" customWidth="1"/>
    <col min="69" max="69" width="16.140625" style="1" customWidth="1"/>
    <col min="70" max="70" width="11.42578125" style="1"/>
    <col min="71" max="71" width="3.7109375" style="1" customWidth="1"/>
    <col min="72" max="74" width="11.42578125" style="1"/>
    <col min="75" max="75" width="11.42578125" style="1" customWidth="1"/>
    <col min="76" max="76" width="3.7109375" style="1" customWidth="1"/>
    <col min="77" max="79" width="11.42578125" style="1"/>
    <col min="80" max="80" width="3.7109375" style="1" customWidth="1"/>
    <col min="81" max="81" width="11.42578125" style="1"/>
    <col min="82" max="82" width="3.7109375" style="1" customWidth="1"/>
    <col min="83" max="83" width="20.28515625" style="1" customWidth="1"/>
    <col min="84" max="84" width="14.140625" style="1" customWidth="1"/>
    <col min="85" max="88" width="11.42578125" style="1"/>
    <col min="89" max="89" width="13.42578125" style="1" customWidth="1"/>
    <col min="90" max="90" width="18" style="1" customWidth="1"/>
    <col min="91" max="92" width="12.7109375" style="1" bestFit="1" customWidth="1"/>
    <col min="93" max="93" width="12" style="1" bestFit="1" customWidth="1"/>
    <col min="94" max="94" width="15.140625" style="1" customWidth="1"/>
    <col min="95" max="97" width="11.42578125" style="1"/>
    <col min="98" max="98" width="13.140625" style="1" customWidth="1"/>
    <col min="99" max="16384" width="11.42578125" style="1"/>
  </cols>
  <sheetData>
    <row r="1" spans="1:101" ht="15" customHeight="1" x14ac:dyDescent="0.25">
      <c r="A1" s="84" t="s">
        <v>145</v>
      </c>
      <c r="B1" s="85"/>
      <c r="C1" s="85"/>
      <c r="D1" s="85"/>
      <c r="E1" s="86"/>
    </row>
    <row r="2" spans="1:101" ht="15.75" customHeight="1" thickBot="1" x14ac:dyDescent="0.3">
      <c r="A2" s="87"/>
      <c r="B2" s="88"/>
      <c r="C2" s="88"/>
      <c r="D2" s="88"/>
      <c r="E2" s="89"/>
    </row>
    <row r="3" spans="1:101" ht="15.75" thickBot="1" x14ac:dyDescent="0.3"/>
    <row r="4" spans="1:101" ht="15.75" customHeight="1" thickBot="1" x14ac:dyDescent="0.3">
      <c r="B4" s="111" t="s">
        <v>22</v>
      </c>
      <c r="C4" s="120"/>
      <c r="D4" s="120"/>
      <c r="E4" s="120"/>
      <c r="F4" s="120"/>
      <c r="G4" s="120"/>
      <c r="H4" s="120"/>
      <c r="I4" s="120"/>
      <c r="J4" s="112"/>
      <c r="P4" s="111" t="s">
        <v>109</v>
      </c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12"/>
      <c r="AS4" s="111" t="s">
        <v>144</v>
      </c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12"/>
      <c r="CD4" s="111" t="s">
        <v>194</v>
      </c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12"/>
    </row>
    <row r="5" spans="1:101" ht="15.75" thickBot="1" x14ac:dyDescent="0.3"/>
    <row r="6" spans="1:101" ht="15.75" thickBot="1" x14ac:dyDescent="0.3">
      <c r="C6" s="99" t="s">
        <v>24</v>
      </c>
      <c r="D6" s="101"/>
      <c r="F6" s="99" t="s">
        <v>34</v>
      </c>
      <c r="G6" s="101"/>
      <c r="I6" s="99" t="s">
        <v>54</v>
      </c>
      <c r="J6" s="101"/>
      <c r="Q6" s="136" t="s">
        <v>110</v>
      </c>
      <c r="R6" s="137"/>
      <c r="T6" s="41" t="s">
        <v>121</v>
      </c>
      <c r="U6" s="42" t="s">
        <v>127</v>
      </c>
      <c r="V6" s="42" t="s">
        <v>125</v>
      </c>
      <c r="W6" s="43" t="s">
        <v>126</v>
      </c>
      <c r="X6" s="46" t="s">
        <v>121</v>
      </c>
      <c r="Y6" s="47" t="s">
        <v>127</v>
      </c>
      <c r="Z6" s="47" t="s">
        <v>131</v>
      </c>
      <c r="AA6" s="47" t="s">
        <v>122</v>
      </c>
      <c r="AB6" s="47" t="s">
        <v>123</v>
      </c>
      <c r="AC6" s="48" t="s">
        <v>124</v>
      </c>
      <c r="AE6" s="41" t="s">
        <v>140</v>
      </c>
      <c r="AF6" s="42" t="s">
        <v>143</v>
      </c>
      <c r="AG6" s="53" t="s">
        <v>141</v>
      </c>
      <c r="AH6" s="54" t="s">
        <v>142</v>
      </c>
      <c r="AT6" s="128" t="s">
        <v>146</v>
      </c>
      <c r="AU6" s="140"/>
      <c r="AV6" s="140" t="s">
        <v>147</v>
      </c>
      <c r="AW6" s="140"/>
      <c r="AX6" s="129"/>
      <c r="AY6" s="59" t="s">
        <v>183</v>
      </c>
      <c r="AZ6" s="59" t="s">
        <v>149</v>
      </c>
      <c r="BA6" s="59" t="s">
        <v>150</v>
      </c>
      <c r="BB6" s="59" t="s">
        <v>151</v>
      </c>
      <c r="BC6" s="59" t="s">
        <v>152</v>
      </c>
      <c r="BD6" s="128" t="s">
        <v>21</v>
      </c>
      <c r="BE6" s="129"/>
      <c r="BF6" s="59" t="s">
        <v>135</v>
      </c>
      <c r="BG6" s="59" t="s">
        <v>134</v>
      </c>
      <c r="BH6" s="59" t="s">
        <v>137</v>
      </c>
      <c r="BI6" s="128" t="s">
        <v>154</v>
      </c>
      <c r="BJ6" s="129"/>
      <c r="BK6" s="59" t="s">
        <v>136</v>
      </c>
      <c r="BL6" s="128" t="s">
        <v>161</v>
      </c>
      <c r="BM6" s="129"/>
      <c r="BN6" s="59" t="s">
        <v>178</v>
      </c>
      <c r="BO6" s="59" t="s">
        <v>179</v>
      </c>
      <c r="BP6" s="58" t="s">
        <v>180</v>
      </c>
      <c r="BQ6" s="59" t="s">
        <v>181</v>
      </c>
      <c r="BR6" s="60" t="s">
        <v>182</v>
      </c>
      <c r="BU6" s="130" t="s">
        <v>186</v>
      </c>
      <c r="BV6" s="131"/>
      <c r="BW6" s="132"/>
      <c r="BY6" s="133" t="s">
        <v>188</v>
      </c>
      <c r="BZ6" s="134"/>
      <c r="CA6" s="135"/>
      <c r="CE6" s="136" t="s">
        <v>195</v>
      </c>
      <c r="CF6" s="137"/>
      <c r="CH6" s="136" t="s">
        <v>110</v>
      </c>
      <c r="CI6" s="144"/>
      <c r="CK6" s="41" t="s">
        <v>121</v>
      </c>
      <c r="CL6" s="42" t="s">
        <v>217</v>
      </c>
      <c r="CM6" s="42" t="s">
        <v>213</v>
      </c>
      <c r="CN6" s="71" t="s">
        <v>210</v>
      </c>
      <c r="CO6" s="42" t="s">
        <v>214</v>
      </c>
      <c r="CP6" s="72" t="s">
        <v>215</v>
      </c>
      <c r="CQ6" s="78" t="s">
        <v>220</v>
      </c>
    </row>
    <row r="7" spans="1:101" ht="15.75" thickBot="1" x14ac:dyDescent="0.3">
      <c r="C7" s="2" t="s">
        <v>20</v>
      </c>
      <c r="D7" s="3">
        <v>200</v>
      </c>
      <c r="F7" s="4" t="s">
        <v>35</v>
      </c>
      <c r="G7" s="5">
        <v>775</v>
      </c>
      <c r="I7" s="2" t="s">
        <v>47</v>
      </c>
      <c r="J7" s="3">
        <v>300</v>
      </c>
      <c r="Q7" s="19" t="s">
        <v>128</v>
      </c>
      <c r="R7" s="19">
        <v>3.7850000000000002E-2</v>
      </c>
      <c r="T7" s="19">
        <v>0</v>
      </c>
      <c r="U7" s="1">
        <f>(T7*1000)/25.4</f>
        <v>0</v>
      </c>
      <c r="V7" s="1">
        <v>0</v>
      </c>
      <c r="W7" s="5">
        <f>0</f>
        <v>0</v>
      </c>
      <c r="X7" s="25">
        <v>0</v>
      </c>
      <c r="Y7" s="1">
        <f>(X7*1000)/25.4</f>
        <v>0</v>
      </c>
      <c r="Z7" s="1">
        <f>IF(AND($X7&gt;=0,$X7&lt;=$R$7),-$X7*$V$8,IF(AND($X7&gt;$R$7,$X7&lt;=$R$8),$Z$11-($X7-$R$7)*$V$13,IF(AND($X7&gt;$R$8,$X7&lt;=$R$9),$Z$15-($X7-$R$8)*$V$18)))</f>
        <v>0</v>
      </c>
      <c r="AA7" s="1">
        <f>IF(AND($X7&gt;=0,$X7&lt;=$R$7),-$X7*$W$8,IF(AND($X7&gt;$R$7,$X7&lt;=$R$8),$AA$11-($X7-$R$7)*$W$13,IF(AND($X7&gt;$R$8,$X7&lt;=$R$9),$AA$15-($X7-$R$8)*$W$18)))</f>
        <v>0</v>
      </c>
      <c r="AB7" s="1">
        <f>SQRT(Z7^2 + AA7^2)</f>
        <v>0</v>
      </c>
      <c r="AC7" s="17">
        <f>G21</f>
        <v>1.300386285541185</v>
      </c>
      <c r="AE7" s="4">
        <f t="shared" ref="AE7:AE21" si="0">AB7*8.85075</f>
        <v>0</v>
      </c>
      <c r="AF7" s="1">
        <f t="shared" ref="AF7:AF21" si="1">AC7*8.85075</f>
        <v>11.509393916753643</v>
      </c>
      <c r="AG7" s="19">
        <f t="shared" ref="AG7:AG21" si="2">(((16*$R$29/(PI()*$R$26))*SQRT(4*(AE7^2) + 3*(AF7^2)))^(1/3))*25.4</f>
        <v>3.2455196791992624</v>
      </c>
      <c r="AH7" s="3">
        <f t="shared" ref="AH7:AH21" si="3">(((32*$R$29/(PI()*$R$26))*SQRT((AE7^2) + (AF7^2)))^(1/3))*25.4</f>
        <v>3.4049235840793401</v>
      </c>
      <c r="AT7" s="113">
        <v>1</v>
      </c>
      <c r="AU7" s="92"/>
      <c r="AV7" s="121" t="s">
        <v>148</v>
      </c>
      <c r="AW7" s="121"/>
      <c r="AX7" s="122"/>
      <c r="AY7" s="55">
        <v>1.5</v>
      </c>
      <c r="AZ7" s="1">
        <f>BA7/25.4</f>
        <v>0.15669291338582678</v>
      </c>
      <c r="BA7" s="1">
        <v>3.98</v>
      </c>
      <c r="BB7" s="1">
        <f>AE11</f>
        <v>14.33001514268577</v>
      </c>
      <c r="BC7" s="1">
        <f>AF11</f>
        <v>11.509393916753643</v>
      </c>
      <c r="BD7" s="102" t="s">
        <v>153</v>
      </c>
      <c r="BE7" s="103"/>
      <c r="BF7" s="1">
        <v>73000</v>
      </c>
      <c r="BG7" s="1">
        <v>83000</v>
      </c>
      <c r="BH7" s="1">
        <v>23000</v>
      </c>
      <c r="BI7" s="19" t="s">
        <v>155</v>
      </c>
      <c r="BJ7" s="5">
        <f>2.7*(BG7/1000)^(-0.265)</f>
        <v>0.83715922964952727</v>
      </c>
      <c r="BK7" s="1">
        <f>BH7*BJ7*BJ8*BJ9*BJ10*BJ11*BJ12</f>
        <v>16124.261525852271</v>
      </c>
      <c r="BL7" s="2" t="s">
        <v>162</v>
      </c>
      <c r="BM7" s="3">
        <v>0.25</v>
      </c>
      <c r="BN7" s="1">
        <f>BM17*32*BB7/(PI()*POWER(AZ7,3))</f>
        <v>46480.687585604246</v>
      </c>
      <c r="BO7" s="1">
        <f>BM18*16*BC7/(PI()*POWER(AZ7,3))</f>
        <v>17190.119292043346</v>
      </c>
      <c r="BP7" s="56">
        <f>1/((BN7/BK7)+(BO7/BG7))</f>
        <v>0.32364919399868208</v>
      </c>
      <c r="BQ7" s="57">
        <f>SQRT(1/((BN7/BK7)^2+(BO7/BF7)^2))</f>
        <v>0.34575069444131712</v>
      </c>
      <c r="BR7" s="34">
        <f>BF7/(BN7+BO7)</f>
        <v>1.1465223008761263</v>
      </c>
      <c r="BU7" s="61" t="s">
        <v>187</v>
      </c>
      <c r="BV7" s="28" t="s">
        <v>218</v>
      </c>
      <c r="BW7" s="28" t="s">
        <v>48</v>
      </c>
      <c r="BY7" s="148" t="s">
        <v>163</v>
      </c>
      <c r="BZ7" s="148" t="s">
        <v>189</v>
      </c>
      <c r="CA7" s="126" t="s">
        <v>139</v>
      </c>
      <c r="CE7" s="19" t="s">
        <v>196</v>
      </c>
      <c r="CF7" s="19">
        <f>SUM(CF8:CF12)</f>
        <v>1.072219191310119E-7</v>
      </c>
      <c r="CH7" s="2" t="s">
        <v>128</v>
      </c>
      <c r="CI7" s="19">
        <f>R7</f>
        <v>3.7850000000000002E-2</v>
      </c>
      <c r="CK7" s="28">
        <f>T8</f>
        <v>0</v>
      </c>
      <c r="CL7" s="61">
        <f>2*1000*BW9</f>
        <v>20</v>
      </c>
      <c r="CM7" s="24">
        <f>1000*IF((CK7&lt;$CI$7),($CI$12*POWER(CK7,3) + 6*$CF$26*CK7 + 6*$CF$27)/(6*$CF$15*$CF$7),IF(AND(CK7&gt;=$CI$7,CK7&lt;=$CI$8),($CI$12*POWER(CK7,3) - $CI$18*POWER(CK7-$CI$7,3) + 6*$CF$26*CK7 + 6*$CF$27)/(6*$CF$15*$CF$7),IF((CK7&gt;$CI$8),($CI$12*POWER(CK7,3) - $CI$18*POWER(CK7-$CI$7,3) - $CI$20*POWER(CK7-$CI$8,3) + 6*$CF$26*CK7 + 6*$CF$27)/(6*$CF$15*$CF$7),)))</f>
        <v>-2.3359789925335819E-4</v>
      </c>
      <c r="CN7" s="74">
        <f>IF((CK7&lt;$CI$7),($CI$12*POWER(CK7,2) + 2*$CF$26)/(2*$CF$15*$CF$7),IF(AND(CK7&gt;=$CI$7,CK7&lt;=$CI$8),($CI$12*POWER(CK7,2) - $CI$18*POWER(CK7-$CI$7,2) + 2*$CF$26)/(2*$CF$15*$CF$7),IF((CK7&gt;$CI$8),($CI$12*POWER(CK7,2) - $CI$18*POWER(CK7-$CI$7,2) - $CI$20*POWER(CK7-$CI$8,2) + 2*$CF$26)/(2*$CF$15*$CF$7),)))</f>
        <v>7.5522135750273169E-6</v>
      </c>
      <c r="CO7" s="74">
        <f>1000*IF((CK7&lt;$CI$7),( 6*$CF$29*CK7 + 6*$CF$30)/(6*$CF$15*$CF$7),IF(AND(CK7&gt;=$CI$7,CK7&lt;=$CI$8),( -1*$CI$19*POWER(CK7-$CI$7,3) + 6*$CF$29*CK7 + 6*$CF$30)/(6*$CF$15*$CF$7),IF((CK7&gt;$CI$8),(-1*$CI$19*POWER(CK7-$CI$7,3) - $CI$21*POWER(CK7-$CI$8,3) + 6*$CF$29*CK7 + 6*$CF$30)/(6*$CF$15*$CF$7))))</f>
        <v>-8.4807510873956901E-6</v>
      </c>
      <c r="CP7" s="13">
        <f>IF((CK7&lt;$CI$7),( 2*$CF$29)/(2*$CF$15*$CF$7),IF(AND(CK7&gt;=$CI$7,CK7&lt;=$CI$8),( -1*$CI$19*POWER(CK7-$CI$7,2) + 2*$CF$29)/(2*$CF$15*$CF$7),IF((CK7&gt;$CI$8),(-1*$CI$19*POWER(CK7-$CI$7,2) - $CI$21*POWER(CK7-$CI$8,2) + 2*$CF$29)/(2*$CF$15*$CF$7))))</f>
        <v>2.2406211591534184E-7</v>
      </c>
      <c r="CQ7" s="20"/>
    </row>
    <row r="8" spans="1:101" ht="15.75" thickBot="1" x14ac:dyDescent="0.3">
      <c r="C8" s="4" t="s">
        <v>13</v>
      </c>
      <c r="D8" s="5">
        <f>D7/1000</f>
        <v>0.2</v>
      </c>
      <c r="F8" s="4" t="s">
        <v>36</v>
      </c>
      <c r="G8" s="5">
        <v>42</v>
      </c>
      <c r="I8" s="4" t="s">
        <v>48</v>
      </c>
      <c r="J8" s="5">
        <f>D8/2</f>
        <v>0.1</v>
      </c>
      <c r="Q8" s="20" t="s">
        <v>129</v>
      </c>
      <c r="R8" s="20">
        <v>0.10145</v>
      </c>
      <c r="T8" s="21">
        <v>0</v>
      </c>
      <c r="U8" s="1">
        <v>0</v>
      </c>
      <c r="V8" s="1">
        <f>-R12</f>
        <v>42.776051280418685</v>
      </c>
      <c r="W8" s="5">
        <v>0</v>
      </c>
      <c r="X8" s="4">
        <v>0.01</v>
      </c>
      <c r="Y8" s="1">
        <f t="shared" ref="Y8:Y22" si="4">(X8*1000)/25.4</f>
        <v>0.39370078740157483</v>
      </c>
      <c r="Z8" s="1">
        <f t="shared" ref="Z8:Z20" si="5">IF(AND($X8&gt;=0,$X8&lt;=$R$7),-$X8*$V$8,IF(AND($X8&gt;$R$7,$X8&lt;=$R$8),$Z$11-($X8-$R$7)*$V$13,IF(AND($X8&gt;$R$8,$X8&lt;=$R$9),$Z$15-($X8-$R$8)*$V$18)))</f>
        <v>-0.42776051280418687</v>
      </c>
      <c r="AA8" s="1">
        <f t="shared" ref="AA8:AA21" si="6">IF(AND($X8&gt;=0,$X8&lt;=$R$7),-$X8*$W$8,IF(AND($X8&gt;$R$7,$X8&lt;=$R$8),$AA$11-($X8-$R$7)*$W$13,IF(AND($X8&gt;$R$8,$X8&lt;=$R$9),$AA$15-($X8-$R$8)*$W$18)))</f>
        <v>0</v>
      </c>
      <c r="AB8" s="1">
        <f t="shared" ref="AB8:AB21" si="7">SQRT(Z8^2 + AA8^2)</f>
        <v>0.42776051280418687</v>
      </c>
      <c r="AC8" s="17">
        <f>AC7</f>
        <v>1.300386285541185</v>
      </c>
      <c r="AE8" s="4">
        <f t="shared" si="0"/>
        <v>3.7860013587016565</v>
      </c>
      <c r="AF8" s="1">
        <f t="shared" si="1"/>
        <v>11.509393916753643</v>
      </c>
      <c r="AG8" s="20">
        <f t="shared" si="2"/>
        <v>3.3192457277697001</v>
      </c>
      <c r="AH8" s="5">
        <f t="shared" si="3"/>
        <v>3.4637313869420754</v>
      </c>
      <c r="AT8" s="113"/>
      <c r="AU8" s="92"/>
      <c r="AV8" s="121"/>
      <c r="AW8" s="121"/>
      <c r="AX8" s="122"/>
      <c r="AY8" s="55"/>
      <c r="BD8" s="113"/>
      <c r="BE8" s="114"/>
      <c r="BI8" s="20" t="s">
        <v>156</v>
      </c>
      <c r="BJ8" s="5">
        <f>IF(AND(AZ7&lt;=2,AZ7&gt;=0.11),POWER(AZ7/0.3,-0.107),0.91*POWER(AZ7,-0.157))</f>
        <v>1.0719676842371186</v>
      </c>
      <c r="BL8" s="4" t="s">
        <v>163</v>
      </c>
      <c r="BM8" s="5">
        <v>1.2</v>
      </c>
      <c r="BR8" s="5"/>
      <c r="BU8" s="19">
        <v>0</v>
      </c>
      <c r="BV8" s="19">
        <f>BU8</f>
        <v>0</v>
      </c>
      <c r="BW8" s="3">
        <f>BW9</f>
        <v>0.01</v>
      </c>
      <c r="BY8" s="149"/>
      <c r="BZ8" s="149"/>
      <c r="CA8" s="127"/>
      <c r="CE8" s="20" t="s">
        <v>204</v>
      </c>
      <c r="CF8" s="20">
        <f>PI()*POWER(BW9*2,4)/64</f>
        <v>7.8539816339744827E-9</v>
      </c>
      <c r="CH8" s="4" t="s">
        <v>129</v>
      </c>
      <c r="CI8" s="20">
        <f t="shared" ref="CI8:CI9" si="8">R8</f>
        <v>0.10145</v>
      </c>
      <c r="CK8" s="20">
        <f t="shared" ref="CK8:CK10" si="9">T9</f>
        <v>0.01</v>
      </c>
      <c r="CL8" s="4"/>
      <c r="CM8" s="4">
        <f t="shared" ref="CM8:CM21" si="10">1000*IF((CK8&lt;$CI$7),($CI$12*POWER(CK8,3) + 6*$CF$26*CK8 + 6*$CF$27)/(6*$CF$15*$CF$7),IF(AND(CK8&gt;=$CI$7,CK8&lt;=$CI$8),($CI$12*POWER(CK8,3) - $CI$18*POWER(CK8-$CI$7,3) + 6*$CF$26*CK8 + 6*$CF$27)/(6*$CF$15*$CF$7),IF((CK8&gt;$CI$8),($CI$12*POWER(CK8,3) - $CI$18*POWER(CK8-$CI$7,3) - $CI$20*POWER(CK8-$CI$8,3) + 6*$CF$26*CK8 + 6*$CF$27)/(6*$CF$15*$CF$7),)))</f>
        <v>-1.5903940784186134E-4</v>
      </c>
      <c r="CN8" s="1">
        <f t="shared" ref="CN8:CN21" si="11">IF((CK8&lt;$CI$7),($CI$12*POWER(CK8,2) + 2*$CF$26)/(2*$CF$15*$CF$7),IF(AND(CK8&gt;=$CI$7,CK8&lt;=$CI$8),($CI$12*POWER(CK8,2) - $CI$18*POWER(CK8-$CI$7,2) + 2*$CF$26)/(2*$CF$15*$CF$7),IF((CK8&gt;$CI$8),($CI$12*POWER(CK8,2) - $CI$18*POWER(CK8-$CI$7,2) - $CI$20*POWER(CK8-$CI$8,2) + 2*$CF$26)/(2*$CF$15*$CF$7),)))</f>
        <v>7.2631202733944261E-6</v>
      </c>
      <c r="CO8" s="1">
        <f t="shared" ref="CO8:CO21" si="12">1000*IF((CK8&lt;$CI$7),( 6*$CF$29*CK8 + 6*$CF$30)/(6*$CF$15*$CF$7),IF(AND(CK8&gt;=$CI$7,CK8&lt;=$CI$8),( -1*$CI$19*POWER(CK8-$CI$7,3) + 6*$CF$29*CK8 + 6*$CF$30)/(6*$CF$15*$CF$7),IF((CK8&gt;$CI$8),(-1*$CI$19*POWER(CK8-$CI$7,3) - $CI$21*POWER(CK8-$CI$8,3) + 6*$CF$29*CK8 + 6*$CF$30)/(6*$CF$15*$CF$7))))</f>
        <v>-6.2401299282422725E-6</v>
      </c>
      <c r="CP8" s="5">
        <f t="shared" ref="CP8:CP21" si="13">IF((CK8&lt;$CI$7),( 2*$CF$29)/(2*$CF$15*$CF$7),IF(AND(CK8&gt;=$CI$7,CK8&lt;=$CI$8),( -1*$CI$19*POWER(CK8-$CI$7,2) + 2*$CF$29)/(2*$CF$15*$CF$7),IF((CK8&gt;$CI$8),(-1*$CI$19*POWER(CK8-$CI$7,2) - $CI$21*POWER(CK8-$CI$8,2) + 2*$CF$29)/(2*$CF$15*$CF$7))))</f>
        <v>2.2406211591534184E-7</v>
      </c>
      <c r="CQ8" s="20"/>
    </row>
    <row r="9" spans="1:101" ht="16.5" thickBot="1" x14ac:dyDescent="0.3">
      <c r="C9" s="4" t="s">
        <v>58</v>
      </c>
      <c r="D9" s="5">
        <v>3</v>
      </c>
      <c r="F9" s="4" t="s">
        <v>37</v>
      </c>
      <c r="G9" s="5">
        <f>G8/1000</f>
        <v>4.2000000000000003E-2</v>
      </c>
      <c r="I9" s="9" t="s">
        <v>49</v>
      </c>
      <c r="J9" s="5">
        <v>62.65</v>
      </c>
      <c r="Q9" s="21" t="s">
        <v>130</v>
      </c>
      <c r="R9" s="21">
        <v>0.21204999999999999</v>
      </c>
      <c r="T9" s="4">
        <f>X8</f>
        <v>0.01</v>
      </c>
      <c r="U9" s="1">
        <f t="shared" ref="U9:U25" si="14">(T9*1000)/25.4</f>
        <v>0.39370078740157483</v>
      </c>
      <c r="V9" s="1">
        <f>V8</f>
        <v>42.776051280418685</v>
      </c>
      <c r="W9" s="5">
        <v>0</v>
      </c>
      <c r="X9" s="4">
        <v>0.02</v>
      </c>
      <c r="Y9" s="1">
        <f t="shared" si="4"/>
        <v>0.78740157480314965</v>
      </c>
      <c r="Z9" s="1">
        <f t="shared" si="5"/>
        <v>-0.85552102560837373</v>
      </c>
      <c r="AA9" s="1">
        <f t="shared" si="6"/>
        <v>0</v>
      </c>
      <c r="AB9" s="1">
        <f t="shared" si="7"/>
        <v>0.85552102560837373</v>
      </c>
      <c r="AC9" s="17">
        <f t="shared" ref="AC9:AC21" si="15">AC8</f>
        <v>1.300386285541185</v>
      </c>
      <c r="AE9" s="4">
        <f t="shared" si="0"/>
        <v>7.5720027174033131</v>
      </c>
      <c r="AF9" s="1">
        <f t="shared" si="1"/>
        <v>11.509393916753643</v>
      </c>
      <c r="AG9" s="20">
        <f t="shared" si="2"/>
        <v>3.5015557569635551</v>
      </c>
      <c r="AH9" s="5">
        <f t="shared" si="3"/>
        <v>3.615262002380653</v>
      </c>
      <c r="AT9" s="113"/>
      <c r="AU9" s="92"/>
      <c r="AV9" s="121"/>
      <c r="AW9" s="121"/>
      <c r="AX9" s="122"/>
      <c r="AY9" s="55"/>
      <c r="BD9" s="113"/>
      <c r="BE9" s="114"/>
      <c r="BI9" s="20" t="s">
        <v>157</v>
      </c>
      <c r="BJ9" s="5">
        <v>1</v>
      </c>
      <c r="BL9" s="4" t="s">
        <v>168</v>
      </c>
      <c r="BM9" s="5">
        <f>AZ7*BM8</f>
        <v>0.18803149606299213</v>
      </c>
      <c r="BR9" s="5"/>
      <c r="BT9" s="62">
        <v>1</v>
      </c>
      <c r="BU9" s="21">
        <v>35</v>
      </c>
      <c r="BV9" s="20">
        <f t="shared" ref="BV9:BV17" si="16">BV8+BU9</f>
        <v>35</v>
      </c>
      <c r="BW9" s="7">
        <v>0.01</v>
      </c>
      <c r="BY9" s="126">
        <f>BW10/BW9</f>
        <v>1.25</v>
      </c>
      <c r="BZ9" s="126">
        <f>BM66*25.4</f>
        <v>1.4000000000000001</v>
      </c>
      <c r="CA9" s="141">
        <f>MIN(BP63:BR63)</f>
        <v>37.252579319617261</v>
      </c>
      <c r="CE9" s="20" t="s">
        <v>205</v>
      </c>
      <c r="CF9" s="20">
        <f>PI()*POWER(BW11*2,4)/64</f>
        <v>1.9174759848570524E-8</v>
      </c>
      <c r="CH9" s="6" t="s">
        <v>130</v>
      </c>
      <c r="CI9" s="21">
        <f t="shared" si="8"/>
        <v>0.21204999999999999</v>
      </c>
      <c r="CK9" s="20">
        <f t="shared" si="9"/>
        <v>0.02</v>
      </c>
      <c r="CL9" s="4"/>
      <c r="CM9" s="4">
        <f t="shared" si="10"/>
        <v>-9.026278246302231E-5</v>
      </c>
      <c r="CN9" s="1">
        <f t="shared" si="11"/>
        <v>6.3958403684957537E-6</v>
      </c>
      <c r="CO9" s="1">
        <f t="shared" si="12"/>
        <v>-3.9995087690888533E-6</v>
      </c>
      <c r="CP9" s="5">
        <f t="shared" si="13"/>
        <v>2.2406211591534184E-7</v>
      </c>
      <c r="CQ9" s="20"/>
    </row>
    <row r="10" spans="1:101" ht="16.5" thickBot="1" x14ac:dyDescent="0.3">
      <c r="C10" s="4" t="s">
        <v>57</v>
      </c>
      <c r="D10" s="5">
        <f>D9/1000</f>
        <v>3.0000000000000001E-3</v>
      </c>
      <c r="F10" s="4" t="s">
        <v>38</v>
      </c>
      <c r="G10" s="5">
        <v>32</v>
      </c>
      <c r="I10" s="9" t="s">
        <v>50</v>
      </c>
      <c r="J10" s="5">
        <v>30.75</v>
      </c>
      <c r="T10" s="4">
        <f t="shared" ref="T10:T11" si="17">X9</f>
        <v>0.02</v>
      </c>
      <c r="U10" s="1">
        <f t="shared" si="14"/>
        <v>0.78740157480314965</v>
      </c>
      <c r="V10" s="1">
        <f t="shared" ref="V10:V12" si="18">V9</f>
        <v>42.776051280418685</v>
      </c>
      <c r="W10" s="5">
        <v>0</v>
      </c>
      <c r="X10" s="4">
        <v>0.03</v>
      </c>
      <c r="Y10" s="1">
        <f t="shared" si="4"/>
        <v>1.1811023622047245</v>
      </c>
      <c r="Z10" s="1">
        <f t="shared" si="5"/>
        <v>-1.2832815384125604</v>
      </c>
      <c r="AA10" s="1">
        <f t="shared" si="6"/>
        <v>0</v>
      </c>
      <c r="AB10" s="1">
        <f t="shared" si="7"/>
        <v>1.2832815384125604</v>
      </c>
      <c r="AC10" s="17">
        <f t="shared" si="15"/>
        <v>1.300386285541185</v>
      </c>
      <c r="AE10" s="4">
        <f t="shared" si="0"/>
        <v>11.358004076104969</v>
      </c>
      <c r="AF10" s="1">
        <f t="shared" si="1"/>
        <v>11.509393916753643</v>
      </c>
      <c r="AG10" s="20">
        <f t="shared" si="2"/>
        <v>3.7284181501904321</v>
      </c>
      <c r="AH10" s="5">
        <f t="shared" si="3"/>
        <v>3.8135283096749131</v>
      </c>
      <c r="AT10" s="113"/>
      <c r="AU10" s="92"/>
      <c r="AV10" s="121"/>
      <c r="AW10" s="121"/>
      <c r="AX10" s="122"/>
      <c r="AY10" s="55"/>
      <c r="BD10" s="113"/>
      <c r="BE10" s="114"/>
      <c r="BI10" s="20" t="s">
        <v>158</v>
      </c>
      <c r="BJ10" s="5">
        <v>1</v>
      </c>
      <c r="BL10" s="4" t="s">
        <v>169</v>
      </c>
      <c r="BM10" s="5">
        <f>BM7*AZ7</f>
        <v>3.9173228346456694E-2</v>
      </c>
      <c r="BR10" s="5"/>
      <c r="BT10" s="63"/>
      <c r="BU10" s="19">
        <v>0</v>
      </c>
      <c r="BV10" s="20">
        <f t="shared" si="16"/>
        <v>35</v>
      </c>
      <c r="BW10" s="3">
        <f>BW11</f>
        <v>1.2500000000000001E-2</v>
      </c>
      <c r="BY10" s="127"/>
      <c r="BZ10" s="127"/>
      <c r="CA10" s="127"/>
      <c r="CE10" s="20" t="s">
        <v>206</v>
      </c>
      <c r="CF10" s="20">
        <f>PI()*POWER(BW13*2,4)/64</f>
        <v>5.147185403641517E-8</v>
      </c>
      <c r="CK10" s="20">
        <f t="shared" si="9"/>
        <v>0.03</v>
      </c>
      <c r="CL10" s="4"/>
      <c r="CM10" s="4">
        <f t="shared" si="10"/>
        <v>-3.3049889149498883E-5</v>
      </c>
      <c r="CN10" s="1">
        <f t="shared" si="11"/>
        <v>4.9503738603312997E-6</v>
      </c>
      <c r="CO10" s="1">
        <f t="shared" si="12"/>
        <v>-1.7588876099354347E-6</v>
      </c>
      <c r="CP10" s="5">
        <f t="shared" si="13"/>
        <v>2.2406211591534184E-7</v>
      </c>
      <c r="CQ10" s="20"/>
    </row>
    <row r="11" spans="1:101" ht="16.5" thickBot="1" x14ac:dyDescent="0.3">
      <c r="C11" s="4" t="s">
        <v>21</v>
      </c>
      <c r="D11" s="5" t="s">
        <v>23</v>
      </c>
      <c r="F11" s="4" t="s">
        <v>39</v>
      </c>
      <c r="G11" s="5">
        <f>G10/1000</f>
        <v>3.2000000000000001E-2</v>
      </c>
      <c r="I11" s="9" t="s">
        <v>51</v>
      </c>
      <c r="J11" s="5">
        <f>RADIANS(J9)</f>
        <v>1.0934487763744474</v>
      </c>
      <c r="Q11" s="138" t="s">
        <v>111</v>
      </c>
      <c r="R11" s="139"/>
      <c r="T11" s="4">
        <f t="shared" si="17"/>
        <v>0.03</v>
      </c>
      <c r="U11" s="1">
        <f t="shared" si="14"/>
        <v>1.1811023622047245</v>
      </c>
      <c r="V11" s="1">
        <f t="shared" si="18"/>
        <v>42.776051280418685</v>
      </c>
      <c r="W11" s="5">
        <v>0</v>
      </c>
      <c r="X11" s="25">
        <f>R7</f>
        <v>3.7850000000000002E-2</v>
      </c>
      <c r="Y11" s="1">
        <f t="shared" si="4"/>
        <v>1.4901574803149609</v>
      </c>
      <c r="Z11" s="1">
        <f t="shared" si="5"/>
        <v>-1.6190735409638473</v>
      </c>
      <c r="AA11" s="1">
        <f t="shared" si="6"/>
        <v>0</v>
      </c>
      <c r="AB11" s="1">
        <f t="shared" si="7"/>
        <v>1.6190735409638473</v>
      </c>
      <c r="AC11" s="17">
        <f t="shared" si="15"/>
        <v>1.300386285541185</v>
      </c>
      <c r="AE11" s="4">
        <f t="shared" si="0"/>
        <v>14.33001514268577</v>
      </c>
      <c r="AF11" s="1">
        <f t="shared" si="1"/>
        <v>11.509393916753643</v>
      </c>
      <c r="AG11" s="20">
        <f t="shared" si="2"/>
        <v>3.9120257966682774</v>
      </c>
      <c r="AH11" s="5">
        <f t="shared" si="3"/>
        <v>3.9798784621748977</v>
      </c>
      <c r="AT11" s="113"/>
      <c r="AU11" s="92"/>
      <c r="AV11" s="121"/>
      <c r="AW11" s="121"/>
      <c r="AX11" s="122"/>
      <c r="AY11" s="55"/>
      <c r="BD11" s="113"/>
      <c r="BE11" s="114"/>
      <c r="BI11" s="20" t="s">
        <v>159</v>
      </c>
      <c r="BJ11" s="5">
        <v>0.86799999999999999</v>
      </c>
      <c r="BL11" s="4" t="s">
        <v>170</v>
      </c>
      <c r="BM11" s="5">
        <f>(BM9-AZ7)/2</f>
        <v>1.5669291338582678E-2</v>
      </c>
      <c r="BR11" s="5"/>
      <c r="BT11" s="62">
        <v>2</v>
      </c>
      <c r="BU11" s="21">
        <v>45</v>
      </c>
      <c r="BV11" s="20">
        <f t="shared" si="16"/>
        <v>80</v>
      </c>
      <c r="BW11" s="7">
        <v>1.2500000000000001E-2</v>
      </c>
      <c r="BY11" s="126">
        <f>BW12/BW11</f>
        <v>1.28</v>
      </c>
      <c r="BZ11" s="126">
        <f>BM79*25.4</f>
        <v>0.49999999999999994</v>
      </c>
      <c r="CA11" s="141">
        <f>MIN(BP76:BR76)</f>
        <v>14.686660125590192</v>
      </c>
      <c r="CE11" s="20" t="s">
        <v>207</v>
      </c>
      <c r="CF11" s="20">
        <f>PI()*POWER(BW15*2,4)/64</f>
        <v>1.9174759848570524E-8</v>
      </c>
      <c r="CH11" s="138" t="s">
        <v>111</v>
      </c>
      <c r="CI11" s="139"/>
      <c r="CK11" s="28">
        <f>T12</f>
        <v>3.7850000000000002E-2</v>
      </c>
      <c r="CL11" s="61">
        <f>2*1000*BW11</f>
        <v>25</v>
      </c>
      <c r="CM11" s="75">
        <f t="shared" si="10"/>
        <v>-3.9079260636023758E-20</v>
      </c>
      <c r="CN11" s="74">
        <f t="shared" si="11"/>
        <v>3.4105978898416558E-6</v>
      </c>
      <c r="CO11" s="74">
        <f t="shared" si="12"/>
        <v>-1.2212268948757424E-21</v>
      </c>
      <c r="CP11" s="13">
        <f t="shared" si="13"/>
        <v>2.2406211591534184E-7</v>
      </c>
      <c r="CQ11" s="80">
        <f>CL11*POWER(CI22*MAX(ABS(CN11),ABS(CP11))/CF18,0.25)</f>
        <v>5.2653484379335476</v>
      </c>
    </row>
    <row r="12" spans="1:101" ht="16.5" thickBot="1" x14ac:dyDescent="0.3">
      <c r="C12" s="9" t="s">
        <v>42</v>
      </c>
      <c r="D12" s="5">
        <v>7800</v>
      </c>
      <c r="F12" s="4" t="s">
        <v>40</v>
      </c>
      <c r="G12" s="5">
        <f>0.25*PI()*G11*G11*G9</f>
        <v>3.3778404211397461E-5</v>
      </c>
      <c r="I12" s="9" t="s">
        <v>52</v>
      </c>
      <c r="J12" s="5">
        <f>RADIANS(J10)</f>
        <v>0.53668874498825636</v>
      </c>
      <c r="Q12" s="19" t="s">
        <v>113</v>
      </c>
      <c r="R12" s="19">
        <f>-G23</f>
        <v>-42.776051280418685</v>
      </c>
      <c r="T12" s="19">
        <f>R7</f>
        <v>3.7850000000000002E-2</v>
      </c>
      <c r="U12" s="1">
        <f t="shared" si="14"/>
        <v>1.4901574803149609</v>
      </c>
      <c r="V12" s="1">
        <f t="shared" si="18"/>
        <v>42.776051280418685</v>
      </c>
      <c r="W12" s="5">
        <v>0</v>
      </c>
      <c r="X12" s="4">
        <v>0.05</v>
      </c>
      <c r="Y12" s="1">
        <f t="shared" si="4"/>
        <v>1.9685039370078741</v>
      </c>
      <c r="Z12" s="1">
        <f t="shared" si="5"/>
        <v>-1.1459150637850617</v>
      </c>
      <c r="AA12" s="1">
        <f t="shared" si="6"/>
        <v>-2.9875445963418245E-2</v>
      </c>
      <c r="AB12" s="1">
        <f t="shared" si="7"/>
        <v>1.1463044428427533</v>
      </c>
      <c r="AC12" s="17">
        <f t="shared" si="15"/>
        <v>1.300386285541185</v>
      </c>
      <c r="AE12" s="4">
        <f t="shared" si="0"/>
        <v>10.145654047490499</v>
      </c>
      <c r="AF12" s="1">
        <f t="shared" si="1"/>
        <v>11.509393916753643</v>
      </c>
      <c r="AG12" s="20">
        <f t="shared" si="2"/>
        <v>3.6538448901308471</v>
      </c>
      <c r="AH12" s="5">
        <f t="shared" si="3"/>
        <v>3.7473514961600154</v>
      </c>
      <c r="AT12" s="113"/>
      <c r="AU12" s="92"/>
      <c r="AV12" s="121"/>
      <c r="AW12" s="121"/>
      <c r="AX12" s="122"/>
      <c r="AY12" s="55"/>
      <c r="BD12" s="113"/>
      <c r="BE12" s="114"/>
      <c r="BI12" s="21" t="s">
        <v>160</v>
      </c>
      <c r="BJ12" s="7">
        <v>0.9</v>
      </c>
      <c r="BL12" s="4" t="s">
        <v>171</v>
      </c>
      <c r="BM12" s="1">
        <f>BM11/BM10</f>
        <v>0.4</v>
      </c>
      <c r="BN12" s="35"/>
      <c r="BO12" s="35" t="s">
        <v>164</v>
      </c>
      <c r="BP12" s="3" t="s">
        <v>165</v>
      </c>
      <c r="BR12" s="5"/>
      <c r="BT12" s="63"/>
      <c r="BU12" s="19">
        <v>0</v>
      </c>
      <c r="BV12" s="20">
        <f t="shared" si="16"/>
        <v>80</v>
      </c>
      <c r="BW12" s="3">
        <f>BW13</f>
        <v>1.6E-2</v>
      </c>
      <c r="BY12" s="127"/>
      <c r="BZ12" s="127"/>
      <c r="CA12" s="127"/>
      <c r="CE12" s="20" t="s">
        <v>208</v>
      </c>
      <c r="CF12" s="20">
        <f>PI()*POWER(BW17*2,4)/64</f>
        <v>9.5465637634811978E-9</v>
      </c>
      <c r="CH12" s="19" t="s">
        <v>113</v>
      </c>
      <c r="CI12" s="19">
        <f>R12</f>
        <v>-42.776051280418685</v>
      </c>
      <c r="CK12" s="20">
        <f>T14</f>
        <v>0.05</v>
      </c>
      <c r="CL12" s="4"/>
      <c r="CM12" s="4">
        <f t="shared" si="10"/>
        <v>2.6859173382772849E-5</v>
      </c>
      <c r="CN12" s="1">
        <f t="shared" si="11"/>
        <v>1.1401739309465521E-6</v>
      </c>
      <c r="CO12" s="1">
        <f t="shared" si="12"/>
        <v>2.6230012393787398E-6</v>
      </c>
      <c r="CP12" s="5">
        <f t="shared" si="13"/>
        <v>1.9953039517641297E-7</v>
      </c>
      <c r="CQ12" s="20"/>
      <c r="CS12" s="151"/>
      <c r="CT12" s="153" t="s">
        <v>221</v>
      </c>
    </row>
    <row r="13" spans="1:101" ht="15.75" thickBot="1" x14ac:dyDescent="0.3">
      <c r="C13" s="4" t="s">
        <v>8</v>
      </c>
      <c r="D13" s="5">
        <f>89070.17*(1/1000)^3</f>
        <v>8.9070169999999998E-5</v>
      </c>
      <c r="F13" s="4" t="s">
        <v>21</v>
      </c>
      <c r="G13" s="5" t="s">
        <v>41</v>
      </c>
      <c r="I13" s="27" t="s">
        <v>45</v>
      </c>
      <c r="J13" s="13">
        <f>J16/(D8/2)</f>
        <v>11.307706830792913</v>
      </c>
      <c r="P13" s="1" t="s">
        <v>105</v>
      </c>
      <c r="Q13" s="20" t="s">
        <v>114</v>
      </c>
      <c r="R13" s="20">
        <f>G21</f>
        <v>1.300386285541185</v>
      </c>
      <c r="T13" s="21">
        <f>T12</f>
        <v>3.7850000000000002E-2</v>
      </c>
      <c r="U13" s="1">
        <f t="shared" si="14"/>
        <v>1.4901574803149609</v>
      </c>
      <c r="V13" s="37">
        <f>V8+R18</f>
        <v>-38.943084541463833</v>
      </c>
      <c r="W13" s="18">
        <f>W8+R19</f>
        <v>2.4588844414336002</v>
      </c>
      <c r="X13" s="4">
        <v>7.4999999999999997E-2</v>
      </c>
      <c r="Y13" s="1">
        <f t="shared" si="4"/>
        <v>2.9527559055118111</v>
      </c>
      <c r="Z13" s="1">
        <f t="shared" si="5"/>
        <v>-0.1723379502484661</v>
      </c>
      <c r="AA13" s="1">
        <f t="shared" si="6"/>
        <v>-9.1347556999258242E-2</v>
      </c>
      <c r="AB13" s="1">
        <f t="shared" si="7"/>
        <v>0.19505062231527362</v>
      </c>
      <c r="AC13" s="17">
        <f t="shared" si="15"/>
        <v>1.300386285541185</v>
      </c>
      <c r="AE13" s="4">
        <f t="shared" si="0"/>
        <v>1.7263442954569079</v>
      </c>
      <c r="AF13" s="1">
        <f t="shared" si="1"/>
        <v>11.509393916753643</v>
      </c>
      <c r="AG13" s="20">
        <f t="shared" si="2"/>
        <v>3.2615468858054788</v>
      </c>
      <c r="AH13" s="5">
        <f t="shared" si="3"/>
        <v>3.4175730225463448</v>
      </c>
      <c r="AT13" s="113"/>
      <c r="AU13" s="92"/>
      <c r="AV13" s="121"/>
      <c r="AW13" s="121"/>
      <c r="AX13" s="122"/>
      <c r="BD13" s="113"/>
      <c r="BE13" s="114"/>
      <c r="BL13" s="4" t="s">
        <v>164</v>
      </c>
      <c r="BM13" s="1">
        <f>BO13+BO14*(2*BM11/BM9)+BO15*(2*BM11/BM9)^2+BO16*(2*BM11/BM9)^3</f>
        <v>1.4092846031158228</v>
      </c>
      <c r="BN13" s="1" t="s">
        <v>172</v>
      </c>
      <c r="BO13" s="1">
        <f>IF(BM12&gt;=2,1.232+0.832*SQRT(BM12)-0.008*BM12,0.947+1.206*SQRT(BM12)-0.131*BM12)</f>
        <v>1.6573413716326131</v>
      </c>
      <c r="BP13" s="5">
        <f>0.905+0.783*SQRT(BM12)-0.075*BM12</f>
        <v>1.3702126815823683</v>
      </c>
      <c r="BR13" s="5"/>
      <c r="BT13" s="62">
        <v>3</v>
      </c>
      <c r="BU13" s="21">
        <v>35</v>
      </c>
      <c r="BV13" s="20">
        <f t="shared" si="16"/>
        <v>115</v>
      </c>
      <c r="BW13" s="7">
        <v>1.6E-2</v>
      </c>
      <c r="BY13" s="126">
        <f>BW13/BW14</f>
        <v>1.28</v>
      </c>
      <c r="BZ13" s="126">
        <f>BM92*25.4</f>
        <v>0.49999999999999994</v>
      </c>
      <c r="CA13" s="141">
        <f>MIN(BP89:BR89)</f>
        <v>22.187575182785849</v>
      </c>
      <c r="CE13" s="20" t="s">
        <v>21</v>
      </c>
      <c r="CF13" s="20" t="s">
        <v>197</v>
      </c>
      <c r="CH13" s="20" t="s">
        <v>114</v>
      </c>
      <c r="CI13" s="20">
        <f>R13</f>
        <v>1.300386285541185</v>
      </c>
      <c r="CK13" s="20">
        <f t="shared" ref="CK13:CK15" si="19">T15</f>
        <v>7.4999999999999997E-2</v>
      </c>
      <c r="CL13" s="4"/>
      <c r="CM13" s="4">
        <f t="shared" si="10"/>
        <v>2.0668558778485087E-5</v>
      </c>
      <c r="CN13" s="1">
        <f t="shared" si="11"/>
        <v>-1.0871127446991895E-6</v>
      </c>
      <c r="CO13" s="1">
        <f t="shared" si="12"/>
        <v>5.4838270676801284E-6</v>
      </c>
      <c r="CP13" s="5">
        <f t="shared" si="13"/>
        <v>-5.2848993127726778E-9</v>
      </c>
      <c r="CQ13" s="20"/>
      <c r="CS13" s="29" t="s">
        <v>222</v>
      </c>
      <c r="CT13" s="19">
        <f>SQRT(9.81*(-CI12*CM7-CI18*CM11-CI20*CM15+CI14*CM21)/(CI12*CM7^2-CI18*CM11^2-CI20*CM15^2+CI14*CM21^2))</f>
        <v>353.42589154356324</v>
      </c>
    </row>
    <row r="14" spans="1:101" ht="15.75" thickBot="1" x14ac:dyDescent="0.3">
      <c r="C14" s="16" t="s">
        <v>30</v>
      </c>
      <c r="D14" s="26">
        <f>D12*D13</f>
        <v>0.694747326</v>
      </c>
      <c r="F14" s="9" t="s">
        <v>42</v>
      </c>
      <c r="G14" s="5">
        <v>8960</v>
      </c>
      <c r="I14" s="27" t="s">
        <v>107</v>
      </c>
      <c r="J14" s="13">
        <f>(J10+J9)/2</f>
        <v>46.7</v>
      </c>
      <c r="Q14" s="20" t="s">
        <v>112</v>
      </c>
      <c r="R14" s="20">
        <f>J13*COS(J15)</f>
        <v>7.7550328740800376</v>
      </c>
      <c r="T14" s="4">
        <f>X12</f>
        <v>0.05</v>
      </c>
      <c r="U14" s="1">
        <f t="shared" si="14"/>
        <v>1.9685039370078741</v>
      </c>
      <c r="V14" s="37">
        <f>V13</f>
        <v>-38.943084541463833</v>
      </c>
      <c r="W14" s="18">
        <f>W13</f>
        <v>2.4588844414336002</v>
      </c>
      <c r="X14" s="4">
        <v>0.1</v>
      </c>
      <c r="Y14" s="1">
        <f t="shared" si="4"/>
        <v>3.9370078740157481</v>
      </c>
      <c r="Z14" s="1">
        <f t="shared" si="5"/>
        <v>0.80123916328812994</v>
      </c>
      <c r="AA14" s="1">
        <f t="shared" si="6"/>
        <v>-0.15281966803509825</v>
      </c>
      <c r="AB14" s="1">
        <f t="shared" si="7"/>
        <v>0.81568256553945062</v>
      </c>
      <c r="AC14" s="17">
        <f t="shared" si="15"/>
        <v>1.300386285541185</v>
      </c>
      <c r="AE14" s="4">
        <f t="shared" si="0"/>
        <v>7.2194024669482921</v>
      </c>
      <c r="AF14" s="1">
        <f t="shared" si="1"/>
        <v>11.509393916753643</v>
      </c>
      <c r="AG14" s="20">
        <f t="shared" si="2"/>
        <v>3.4818551051264794</v>
      </c>
      <c r="AH14" s="5">
        <f t="shared" si="3"/>
        <v>3.5985122049507652</v>
      </c>
      <c r="AT14" s="113"/>
      <c r="AU14" s="92"/>
      <c r="AV14" s="121"/>
      <c r="AW14" s="121"/>
      <c r="AX14" s="122"/>
      <c r="BD14" s="113"/>
      <c r="BE14" s="114"/>
      <c r="BL14" s="4" t="s">
        <v>165</v>
      </c>
      <c r="BM14" s="1">
        <f>BP13+BP14*(2*BM11/BM9)+BP15*(2*BM11/BM9)^2+BP16*(2*BM11/BM9)^3</f>
        <v>1.1781215736126252</v>
      </c>
      <c r="BN14" s="1" t="s">
        <v>173</v>
      </c>
      <c r="BO14" s="1">
        <f>IF(BM12&gt;=2,-3.813+0.968*SQRT(BM12)-0.26*BM12,0.022-3.405*SQRT(BM12)+0.915*BM12)</f>
        <v>-1.7655110865746662</v>
      </c>
      <c r="BP14" s="5">
        <f>-0.437-1.969*SQRT(BM12)+0.553*BM12</f>
        <v>-1.4611049425743079</v>
      </c>
      <c r="BR14" s="5"/>
      <c r="BT14" s="63"/>
      <c r="BU14" s="19">
        <v>0</v>
      </c>
      <c r="BV14" s="20">
        <f t="shared" si="16"/>
        <v>115</v>
      </c>
      <c r="BW14" s="3">
        <f>BW15</f>
        <v>1.2500000000000001E-2</v>
      </c>
      <c r="BY14" s="127"/>
      <c r="BZ14" s="127"/>
      <c r="CA14" s="127"/>
      <c r="CE14" s="20" t="s">
        <v>138</v>
      </c>
      <c r="CF14" s="68">
        <f>10*10^3</f>
        <v>10000</v>
      </c>
      <c r="CH14" s="20" t="s">
        <v>112</v>
      </c>
      <c r="CI14" s="20">
        <f t="shared" ref="CI14:CI17" si="20">R14</f>
        <v>7.7550328740800376</v>
      </c>
      <c r="CK14" s="20">
        <f t="shared" si="19"/>
        <v>0.1</v>
      </c>
      <c r="CL14" s="4"/>
      <c r="CM14" s="4">
        <f t="shared" si="10"/>
        <v>-8.0946122667530991E-8</v>
      </c>
      <c r="CN14" s="1">
        <f t="shared" si="11"/>
        <v>-2.4537292802621574E-8</v>
      </c>
      <c r="CO14" s="1">
        <f t="shared" si="12"/>
        <v>6.2772775371655972E-7</v>
      </c>
      <c r="CP14" s="5">
        <f t="shared" si="13"/>
        <v>-4.1782361620478388E-7</v>
      </c>
      <c r="CQ14" s="20"/>
      <c r="CS14" s="30" t="s">
        <v>223</v>
      </c>
      <c r="CT14" s="20">
        <f>SQRT(9.81*(CI19*CO11+CI21*CO15-CI15*CO21+CI17*CO21)/(CI19*CO11^2+CI21*CO15^2+CI15*CO21^2-CI17*CO21^2))</f>
        <v>268.82039098688631</v>
      </c>
    </row>
    <row r="15" spans="1:101" ht="15.75" thickBot="1" x14ac:dyDescent="0.3">
      <c r="C15" s="16" t="s">
        <v>106</v>
      </c>
      <c r="D15" s="26">
        <f>D14*9.81</f>
        <v>6.8154712680600005</v>
      </c>
      <c r="F15" s="4" t="s">
        <v>30</v>
      </c>
      <c r="G15" s="5">
        <f>G14*G12</f>
        <v>0.30265450173412123</v>
      </c>
      <c r="I15" s="27" t="s">
        <v>108</v>
      </c>
      <c r="J15" s="13">
        <f>RADIANS(J14)</f>
        <v>0.81506876068135192</v>
      </c>
      <c r="Q15" s="20" t="s">
        <v>115</v>
      </c>
      <c r="R15" s="20">
        <f>J13*SIN(J15)</f>
        <v>8.2294409830254338</v>
      </c>
      <c r="T15" s="4">
        <f t="shared" ref="T15:T16" si="21">X13</f>
        <v>7.4999999999999997E-2</v>
      </c>
      <c r="U15" s="1">
        <f t="shared" si="14"/>
        <v>2.9527559055118111</v>
      </c>
      <c r="V15" s="37">
        <f t="shared" ref="V15:V17" si="22">V14</f>
        <v>-38.943084541463833</v>
      </c>
      <c r="W15" s="18">
        <f t="shared" ref="W15:W17" si="23">W14</f>
        <v>2.4588844414336002</v>
      </c>
      <c r="X15" s="49">
        <f>R8</f>
        <v>0.10145</v>
      </c>
      <c r="Y15" s="1">
        <f t="shared" si="4"/>
        <v>3.9940944881889768</v>
      </c>
      <c r="Z15" s="1">
        <f t="shared" si="5"/>
        <v>0.85770663587325213</v>
      </c>
      <c r="AA15" s="1">
        <f t="shared" si="6"/>
        <v>-0.15638505047517695</v>
      </c>
      <c r="AB15" s="1">
        <f t="shared" si="7"/>
        <v>0.8718468657012739</v>
      </c>
      <c r="AC15" s="17">
        <f t="shared" si="15"/>
        <v>1.300386285541185</v>
      </c>
      <c r="AE15" s="4">
        <f t="shared" si="0"/>
        <v>7.7164986466055501</v>
      </c>
      <c r="AF15" s="1">
        <f t="shared" si="1"/>
        <v>11.509393916753643</v>
      </c>
      <c r="AG15" s="20">
        <f t="shared" si="2"/>
        <v>3.5097360035602438</v>
      </c>
      <c r="AH15" s="5">
        <f t="shared" si="3"/>
        <v>3.6222413260074644</v>
      </c>
      <c r="AT15" s="113"/>
      <c r="AU15" s="92"/>
      <c r="AV15" s="121"/>
      <c r="AW15" s="121"/>
      <c r="AX15" s="122"/>
      <c r="BD15" s="113"/>
      <c r="BE15" s="114"/>
      <c r="BL15" s="4" t="s">
        <v>176</v>
      </c>
      <c r="BM15" s="1">
        <v>0.55000000000000004</v>
      </c>
      <c r="BN15" s="1" t="s">
        <v>174</v>
      </c>
      <c r="BO15" s="1">
        <f>IF(BM12&lt;=2,0.869+1.777*SQRT(BM12)-0.555*BM12,7.423-4.868*SQRT(BM12)+0.869*BM12)</f>
        <v>1.770873480423842</v>
      </c>
      <c r="BP15" s="5">
        <f>1.557+1.073*SQRT(BM12)-0.578*BM12</f>
        <v>2.0044247858721342</v>
      </c>
      <c r="BR15" s="5"/>
      <c r="BT15" s="62">
        <v>4</v>
      </c>
      <c r="BU15" s="21">
        <v>112</v>
      </c>
      <c r="BV15" s="20">
        <f t="shared" si="16"/>
        <v>227</v>
      </c>
      <c r="BW15" s="7">
        <v>1.2500000000000001E-2</v>
      </c>
      <c r="BY15" s="126">
        <f>BW15/BW16</f>
        <v>1.1904761904761905</v>
      </c>
      <c r="BZ15" s="126">
        <f>BM105*25.4</f>
        <v>0.42000000000000004</v>
      </c>
      <c r="CA15" s="145">
        <f>MIN(BP102:BR102)</f>
        <v>26.533009434769863</v>
      </c>
      <c r="CE15" s="21" t="s">
        <v>56</v>
      </c>
      <c r="CF15" s="69">
        <f>69*10^9</f>
        <v>69000000000</v>
      </c>
      <c r="CH15" s="20" t="s">
        <v>115</v>
      </c>
      <c r="CI15" s="20">
        <f t="shared" si="20"/>
        <v>8.2294409830254338</v>
      </c>
      <c r="CK15" s="28">
        <f t="shared" si="19"/>
        <v>0.10145</v>
      </c>
      <c r="CL15" s="61">
        <f>2*1000*BW15</f>
        <v>25</v>
      </c>
      <c r="CM15" s="75">
        <f t="shared" si="10"/>
        <v>1.1723778190807128E-19</v>
      </c>
      <c r="CN15" s="74">
        <f t="shared" si="11"/>
        <v>1.3803163320462836E-7</v>
      </c>
      <c r="CO15" s="74">
        <f t="shared" si="12"/>
        <v>0</v>
      </c>
      <c r="CP15" s="13">
        <f t="shared" si="13"/>
        <v>-4.4812423183068364E-7</v>
      </c>
      <c r="CQ15" s="80">
        <f>CL15*POWER(CI22*MAX(ABS(CN15),ABS(CP15))/CF19,0.25)</f>
        <v>3.170071761845398</v>
      </c>
      <c r="CS15" s="31" t="s">
        <v>224</v>
      </c>
      <c r="CT15" s="21">
        <f>SQRT(CT13^2+CT14^2)</f>
        <v>444.04308735043378</v>
      </c>
    </row>
    <row r="16" spans="1:101" ht="15.75" thickBot="1" x14ac:dyDescent="0.3">
      <c r="C16" s="6" t="s">
        <v>33</v>
      </c>
      <c r="D16" s="7">
        <v>8190.8519999999999</v>
      </c>
      <c r="F16" s="4" t="s">
        <v>43</v>
      </c>
      <c r="G16" s="5">
        <f>0.5*G15*(G11/2)^2</f>
        <v>3.8739776221967517E-5</v>
      </c>
      <c r="I16" s="28" t="s">
        <v>53</v>
      </c>
      <c r="J16" s="13">
        <f>-J7*J8^2*(SIN(J12)-SIN(J11))</f>
        <v>1.1307706830792914</v>
      </c>
      <c r="Q16" s="20" t="s">
        <v>116</v>
      </c>
      <c r="R16" s="20">
        <f>J16</f>
        <v>1.1307706830792914</v>
      </c>
      <c r="T16" s="4">
        <f t="shared" si="21"/>
        <v>0.1</v>
      </c>
      <c r="U16" s="1">
        <f t="shared" si="14"/>
        <v>3.9370078740157481</v>
      </c>
      <c r="V16" s="37">
        <f t="shared" si="22"/>
        <v>-38.943084541463833</v>
      </c>
      <c r="W16" s="18">
        <f t="shared" si="23"/>
        <v>2.4588844414336002</v>
      </c>
      <c r="X16" s="36">
        <v>0.125</v>
      </c>
      <c r="Y16" s="1">
        <f t="shared" si="4"/>
        <v>4.9212598425196852</v>
      </c>
      <c r="Z16" s="1">
        <f t="shared" si="5"/>
        <v>0.67507561168866725</v>
      </c>
      <c r="AA16" s="1">
        <f t="shared" si="6"/>
        <v>-0.123086063687741</v>
      </c>
      <c r="AB16" s="1">
        <f t="shared" si="7"/>
        <v>0.68620496979471879</v>
      </c>
      <c r="AC16" s="17">
        <f t="shared" si="15"/>
        <v>1.300386285541185</v>
      </c>
      <c r="AE16" s="4">
        <f t="shared" si="0"/>
        <v>6.0734286364106067</v>
      </c>
      <c r="AF16" s="1">
        <f t="shared" si="1"/>
        <v>11.509393916753643</v>
      </c>
      <c r="AG16" s="20">
        <f t="shared" si="2"/>
        <v>3.4208860657428803</v>
      </c>
      <c r="AH16" s="5">
        <f t="shared" si="3"/>
        <v>3.5472236014424685</v>
      </c>
      <c r="AT16" s="113"/>
      <c r="AU16" s="92"/>
      <c r="AV16" s="121"/>
      <c r="AW16" s="121"/>
      <c r="AX16" s="122"/>
      <c r="BD16" s="113"/>
      <c r="BE16" s="114"/>
      <c r="BL16" s="4" t="s">
        <v>177</v>
      </c>
      <c r="BM16" s="1">
        <v>0.72</v>
      </c>
      <c r="BN16" s="38" t="s">
        <v>175</v>
      </c>
      <c r="BO16" s="38">
        <f>IF(BM12&lt;=2,-0.81+0.422*SQRT(BM12)-0.26*BM12,-3.839+3.07*SQRT(BM12)-0.6*BM12)</f>
        <v>-0.64710376548178883</v>
      </c>
      <c r="BP16" s="7">
        <f>-1.061+0.171*SQRT(BM12)+0.086*BM12</f>
        <v>-0.91845010402224136</v>
      </c>
      <c r="BR16" s="5"/>
      <c r="BT16" s="63"/>
      <c r="BU16" s="19">
        <v>0</v>
      </c>
      <c r="BV16" s="20">
        <f t="shared" si="16"/>
        <v>227</v>
      </c>
      <c r="BW16" s="3">
        <f>BW17</f>
        <v>1.0500000000000001E-2</v>
      </c>
      <c r="BY16" s="127"/>
      <c r="BZ16" s="127"/>
      <c r="CA16" s="127"/>
      <c r="CH16" s="20" t="s">
        <v>116</v>
      </c>
      <c r="CI16" s="20">
        <f t="shared" si="20"/>
        <v>1.1307706830792914</v>
      </c>
      <c r="CK16" s="73">
        <f>T19</f>
        <v>0.125</v>
      </c>
      <c r="CL16" s="36"/>
      <c r="CM16" s="4">
        <f t="shared" si="10"/>
        <v>3.3117165768891189E-5</v>
      </c>
      <c r="CN16" s="1">
        <f t="shared" si="11"/>
        <v>2.5775759428168607E-6</v>
      </c>
      <c r="CO16" s="1">
        <f t="shared" si="12"/>
        <v>-1.5998867490069631E-5</v>
      </c>
      <c r="CP16" s="5">
        <f t="shared" si="13"/>
        <v>-8.929246379820434E-7</v>
      </c>
      <c r="CQ16" s="20"/>
      <c r="CS16" s="28" t="s">
        <v>229</v>
      </c>
      <c r="CT16" s="83">
        <f>CT15*30/PI()</f>
        <v>4240.2991378564684</v>
      </c>
    </row>
    <row r="17" spans="3:95" ht="15.75" thickBot="1" x14ac:dyDescent="0.3">
      <c r="F17" s="6" t="s">
        <v>44</v>
      </c>
      <c r="G17" s="7">
        <v>7.9</v>
      </c>
      <c r="I17" s="9" t="s">
        <v>55</v>
      </c>
      <c r="J17" s="5">
        <v>0.25</v>
      </c>
      <c r="Q17" s="21" t="s">
        <v>106</v>
      </c>
      <c r="R17" s="21">
        <f>D15</f>
        <v>6.8154712680600005</v>
      </c>
      <c r="T17" s="19">
        <f>R8</f>
        <v>0.10145</v>
      </c>
      <c r="U17" s="1">
        <f t="shared" si="14"/>
        <v>3.9940944881889768</v>
      </c>
      <c r="V17" s="37">
        <f t="shared" si="22"/>
        <v>-38.943084541463833</v>
      </c>
      <c r="W17" s="18">
        <f t="shared" si="23"/>
        <v>2.4588844414336002</v>
      </c>
      <c r="X17" s="36">
        <v>0.15</v>
      </c>
      <c r="Y17" s="1">
        <f t="shared" si="4"/>
        <v>5.9055118110236222</v>
      </c>
      <c r="Z17" s="1">
        <f t="shared" si="5"/>
        <v>0.48119978983666639</v>
      </c>
      <c r="AA17" s="1">
        <f t="shared" si="6"/>
        <v>-8.7736820813605162E-2</v>
      </c>
      <c r="AB17" s="1">
        <f t="shared" si="7"/>
        <v>0.48913289346079614</v>
      </c>
      <c r="AC17" s="17">
        <f t="shared" si="15"/>
        <v>1.300386285541185</v>
      </c>
      <c r="AE17" s="4">
        <f t="shared" si="0"/>
        <v>4.3291929567981411</v>
      </c>
      <c r="AF17" s="1">
        <f t="shared" si="1"/>
        <v>11.509393916753643</v>
      </c>
      <c r="AG17" s="20">
        <f t="shared" si="2"/>
        <v>3.3403579300946129</v>
      </c>
      <c r="AH17" s="5">
        <f t="shared" si="3"/>
        <v>3.4808532036118485</v>
      </c>
      <c r="AT17" s="113"/>
      <c r="AU17" s="92"/>
      <c r="AV17" s="121"/>
      <c r="AW17" s="121"/>
      <c r="AX17" s="122"/>
      <c r="BD17" s="113"/>
      <c r="BE17" s="114"/>
      <c r="BL17" s="4" t="s">
        <v>166</v>
      </c>
      <c r="BM17" s="5">
        <f xml:space="preserve"> 1+(BM15*(BM13-1))</f>
        <v>1.2251065317137027</v>
      </c>
      <c r="BR17" s="5"/>
      <c r="BT17" s="62">
        <v>5</v>
      </c>
      <c r="BU17" s="21">
        <v>23</v>
      </c>
      <c r="BV17" s="21">
        <f t="shared" si="16"/>
        <v>250</v>
      </c>
      <c r="BW17" s="7">
        <v>1.0500000000000001E-2</v>
      </c>
      <c r="BY17" s="67" t="s">
        <v>230</v>
      </c>
      <c r="BZ17" s="13">
        <v>7.0000000000000007E-2</v>
      </c>
      <c r="CE17" s="146" t="s">
        <v>199</v>
      </c>
      <c r="CF17" s="147"/>
      <c r="CH17" s="21" t="s">
        <v>106</v>
      </c>
      <c r="CI17" s="20">
        <f t="shared" si="20"/>
        <v>6.8154712680600005</v>
      </c>
      <c r="CK17" s="73">
        <f t="shared" ref="CK17:CK19" si="24">T20</f>
        <v>0.15</v>
      </c>
      <c r="CL17" s="36"/>
      <c r="CM17" s="4">
        <f t="shared" si="10"/>
        <v>1.233415974269121E-4</v>
      </c>
      <c r="CN17" s="1">
        <f t="shared" si="11"/>
        <v>4.5311893749715583E-6</v>
      </c>
      <c r="CO17" s="1">
        <f t="shared" si="12"/>
        <v>-4.3023350471488058E-5</v>
      </c>
      <c r="CP17" s="5">
        <f t="shared" si="13"/>
        <v>-1.2491256074259162E-6</v>
      </c>
      <c r="CQ17" s="20"/>
    </row>
    <row r="18" spans="3:95" ht="15.75" thickBot="1" x14ac:dyDescent="0.3">
      <c r="C18" s="99" t="s">
        <v>25</v>
      </c>
      <c r="D18" s="101"/>
      <c r="I18" s="4" t="s">
        <v>56</v>
      </c>
      <c r="J18" s="10">
        <v>1000000</v>
      </c>
      <c r="Q18" s="29" t="s">
        <v>117</v>
      </c>
      <c r="R18" s="32">
        <f>R14+R12-R20</f>
        <v>-81.719135821882517</v>
      </c>
      <c r="T18" s="21">
        <f>T17</f>
        <v>0.10145</v>
      </c>
      <c r="U18" s="1">
        <f t="shared" si="14"/>
        <v>3.9940944881889768</v>
      </c>
      <c r="V18" s="37">
        <f>V13+R20</f>
        <v>7.7550328740800367</v>
      </c>
      <c r="W18" s="18">
        <f>W13+R21</f>
        <v>-1.4139697149654333</v>
      </c>
      <c r="X18" s="36">
        <v>0.17499999999999999</v>
      </c>
      <c r="Y18" s="1">
        <f t="shared" si="4"/>
        <v>6.8897637795275593</v>
      </c>
      <c r="Z18" s="1">
        <f t="shared" si="5"/>
        <v>0.28732396798466553</v>
      </c>
      <c r="AA18" s="1">
        <f t="shared" si="6"/>
        <v>-5.238757793946934E-2</v>
      </c>
      <c r="AB18" s="1">
        <f t="shared" si="7"/>
        <v>0.29206081712687354</v>
      </c>
      <c r="AC18" s="17">
        <f t="shared" si="15"/>
        <v>1.300386285541185</v>
      </c>
      <c r="AE18" s="4">
        <f t="shared" si="0"/>
        <v>2.5849572771856759</v>
      </c>
      <c r="AF18" s="1">
        <f t="shared" si="1"/>
        <v>11.509393916753643</v>
      </c>
      <c r="AG18" s="20">
        <f t="shared" si="2"/>
        <v>3.2809210590004261</v>
      </c>
      <c r="AH18" s="5">
        <f t="shared" si="3"/>
        <v>3.4329656573993392</v>
      </c>
      <c r="AT18" s="107"/>
      <c r="AU18" s="119"/>
      <c r="AV18" s="123"/>
      <c r="AW18" s="123"/>
      <c r="AX18" s="124"/>
      <c r="AY18" s="38"/>
      <c r="AZ18" s="38"/>
      <c r="BA18" s="38"/>
      <c r="BB18" s="38"/>
      <c r="BC18" s="38"/>
      <c r="BD18" s="107"/>
      <c r="BE18" s="108"/>
      <c r="BF18" s="38"/>
      <c r="BG18" s="38"/>
      <c r="BH18" s="38"/>
      <c r="BI18" s="38"/>
      <c r="BJ18" s="38"/>
      <c r="BK18" s="38"/>
      <c r="BL18" s="6" t="s">
        <v>167</v>
      </c>
      <c r="BM18" s="7">
        <f xml:space="preserve"> 1+(BM16*(BM14-1))</f>
        <v>1.1282475330010902</v>
      </c>
      <c r="BN18" s="38"/>
      <c r="BO18" s="38"/>
      <c r="BP18" s="38"/>
      <c r="BQ18" s="38"/>
      <c r="BR18" s="7"/>
      <c r="BV18" s="24">
        <v>250</v>
      </c>
      <c r="BW18" s="25">
        <v>0</v>
      </c>
      <c r="BY18" s="67" t="s">
        <v>231</v>
      </c>
      <c r="BZ18" s="13">
        <v>0.02</v>
      </c>
      <c r="CE18" s="19" t="s">
        <v>200</v>
      </c>
      <c r="CF18" s="81">
        <v>2.5999999999999999E-3</v>
      </c>
      <c r="CH18" s="29" t="s">
        <v>117</v>
      </c>
      <c r="CI18" s="32">
        <f>CI14+CI12-CI20</f>
        <v>-81.719135821882517</v>
      </c>
      <c r="CK18" s="73">
        <f t="shared" si="24"/>
        <v>0.17499999999999999</v>
      </c>
      <c r="CL18" s="36"/>
      <c r="CM18" s="4">
        <f t="shared" si="10"/>
        <v>2.542171737748059E-4</v>
      </c>
      <c r="CN18" s="1">
        <f t="shared" si="11"/>
        <v>5.8296675180066479E-6</v>
      </c>
      <c r="CO18" s="1">
        <f t="shared" si="12"/>
        <v>-7.7459728206089685E-5</v>
      </c>
      <c r="CP18" s="5">
        <f t="shared" si="13"/>
        <v>-1.4858762182366995E-6</v>
      </c>
      <c r="CQ18" s="20"/>
    </row>
    <row r="19" spans="3:95" ht="15.75" thickBot="1" x14ac:dyDescent="0.3">
      <c r="C19" s="2" t="s">
        <v>26</v>
      </c>
      <c r="D19" s="3">
        <v>50</v>
      </c>
      <c r="F19" s="105" t="s">
        <v>95</v>
      </c>
      <c r="G19" s="106"/>
      <c r="I19" s="4" t="s">
        <v>57</v>
      </c>
      <c r="J19" s="5">
        <f>D10</f>
        <v>3.0000000000000001E-3</v>
      </c>
      <c r="Q19" s="30" t="s">
        <v>118</v>
      </c>
      <c r="R19" s="33">
        <f>R17-R21-R15</f>
        <v>2.4588844414336002</v>
      </c>
      <c r="T19" s="36">
        <f>X16</f>
        <v>0.125</v>
      </c>
      <c r="U19" s="1">
        <f t="shared" si="14"/>
        <v>4.9212598425196852</v>
      </c>
      <c r="V19" s="37">
        <f>V18</f>
        <v>7.7550328740800367</v>
      </c>
      <c r="W19" s="18">
        <f>W18</f>
        <v>-1.4139697149654333</v>
      </c>
      <c r="X19" s="36">
        <v>0.19</v>
      </c>
      <c r="Y19" s="1">
        <f t="shared" si="4"/>
        <v>7.4803149606299213</v>
      </c>
      <c r="Z19" s="1">
        <f t="shared" si="5"/>
        <v>0.17099847487346487</v>
      </c>
      <c r="AA19" s="1">
        <f t="shared" si="6"/>
        <v>-3.1178032214987828E-2</v>
      </c>
      <c r="AB19" s="1">
        <f t="shared" si="7"/>
        <v>0.17381757132651984</v>
      </c>
      <c r="AC19" s="17">
        <f t="shared" si="15"/>
        <v>1.300386285541185</v>
      </c>
      <c r="AE19" s="4">
        <f t="shared" si="0"/>
        <v>1.5384158694181955</v>
      </c>
      <c r="AF19" s="1">
        <f t="shared" si="1"/>
        <v>11.509393916753643</v>
      </c>
      <c r="AG19" s="20">
        <f t="shared" si="2"/>
        <v>3.2582794935263872</v>
      </c>
      <c r="AH19" s="5">
        <f t="shared" si="3"/>
        <v>3.4149880020409742</v>
      </c>
      <c r="BY19" s="67" t="s">
        <v>232</v>
      </c>
      <c r="BZ19" s="13">
        <v>0.02</v>
      </c>
      <c r="CE19" s="21" t="s">
        <v>201</v>
      </c>
      <c r="CF19" s="82">
        <v>2.5999999999999999E-3</v>
      </c>
      <c r="CH19" s="30" t="s">
        <v>118</v>
      </c>
      <c r="CI19" s="33">
        <f>CI17-CI21-CI15</f>
        <v>2.4588844414336002</v>
      </c>
      <c r="CK19" s="73">
        <f t="shared" si="24"/>
        <v>0.19</v>
      </c>
      <c r="CL19" s="36"/>
      <c r="CM19" s="4">
        <f t="shared" si="10"/>
        <v>3.4544166202783629E-4</v>
      </c>
      <c r="CN19" s="1">
        <f t="shared" si="11"/>
        <v>6.2942894650502615E-6</v>
      </c>
      <c r="CO19" s="1">
        <f t="shared" si="12"/>
        <v>-1.0043698059859447E-4</v>
      </c>
      <c r="CP19" s="5">
        <f t="shared" si="13"/>
        <v>-1.5705904125792865E-6</v>
      </c>
      <c r="CQ19" s="20"/>
    </row>
    <row r="20" spans="3:95" ht="15.75" thickBot="1" x14ac:dyDescent="0.3">
      <c r="C20" s="4" t="s">
        <v>27</v>
      </c>
      <c r="D20" s="5">
        <v>8</v>
      </c>
      <c r="F20" s="22" t="s">
        <v>96</v>
      </c>
      <c r="G20" s="3">
        <v>0.94</v>
      </c>
      <c r="I20" s="4" t="s">
        <v>59</v>
      </c>
      <c r="J20" s="5">
        <v>0.154</v>
      </c>
      <c r="Q20" s="30" t="s">
        <v>119</v>
      </c>
      <c r="R20" s="33">
        <f>(R14*(R9-R7)-R12*R7)/(R8-R7)</f>
        <v>46.698117415543869</v>
      </c>
      <c r="T20" s="36">
        <f t="shared" ref="T20:T23" si="25">X17</f>
        <v>0.15</v>
      </c>
      <c r="U20" s="1">
        <f t="shared" si="14"/>
        <v>5.9055118110236222</v>
      </c>
      <c r="V20" s="37">
        <f t="shared" ref="V20:V21" si="26">V19</f>
        <v>7.7550328740800367</v>
      </c>
      <c r="W20" s="18">
        <f t="shared" ref="W20:W21" si="27">W19</f>
        <v>-1.4139697149654333</v>
      </c>
      <c r="X20" s="36">
        <v>0.2</v>
      </c>
      <c r="Y20" s="1">
        <f t="shared" si="4"/>
        <v>7.8740157480314963</v>
      </c>
      <c r="Z20" s="1">
        <f t="shared" si="5"/>
        <v>9.3448146132664389E-2</v>
      </c>
      <c r="AA20" s="1">
        <f t="shared" si="6"/>
        <v>-1.7038335065333476E-2</v>
      </c>
      <c r="AB20" s="1">
        <f t="shared" si="7"/>
        <v>9.4988740792950666E-2</v>
      </c>
      <c r="AC20" s="17">
        <f t="shared" si="15"/>
        <v>1.300386285541185</v>
      </c>
      <c r="AE20" s="4">
        <f t="shared" si="0"/>
        <v>0.84072159757320808</v>
      </c>
      <c r="AF20" s="1">
        <f t="shared" si="1"/>
        <v>11.509393916753643</v>
      </c>
      <c r="AG20" s="20">
        <f t="shared" si="2"/>
        <v>3.2493566413327049</v>
      </c>
      <c r="AH20" s="5">
        <f t="shared" si="3"/>
        <v>3.407944872196734</v>
      </c>
      <c r="AT20" s="128" t="s">
        <v>146</v>
      </c>
      <c r="AU20" s="140"/>
      <c r="AV20" s="140" t="s">
        <v>147</v>
      </c>
      <c r="AW20" s="140"/>
      <c r="AX20" s="129"/>
      <c r="AY20" s="59" t="s">
        <v>183</v>
      </c>
      <c r="AZ20" s="59" t="s">
        <v>149</v>
      </c>
      <c r="BA20" s="59" t="s">
        <v>150</v>
      </c>
      <c r="BB20" s="59" t="s">
        <v>151</v>
      </c>
      <c r="BC20" s="59" t="s">
        <v>152</v>
      </c>
      <c r="BD20" s="128" t="s">
        <v>21</v>
      </c>
      <c r="BE20" s="129"/>
      <c r="BF20" s="59" t="s">
        <v>135</v>
      </c>
      <c r="BG20" s="59" t="s">
        <v>134</v>
      </c>
      <c r="BH20" s="59" t="s">
        <v>137</v>
      </c>
      <c r="BI20" s="128" t="s">
        <v>154</v>
      </c>
      <c r="BJ20" s="129"/>
      <c r="BK20" s="59" t="s">
        <v>136</v>
      </c>
      <c r="BL20" s="128" t="s">
        <v>161</v>
      </c>
      <c r="BM20" s="129"/>
      <c r="BN20" s="59" t="s">
        <v>178</v>
      </c>
      <c r="BO20" s="59" t="s">
        <v>179</v>
      </c>
      <c r="BP20" s="58" t="s">
        <v>180</v>
      </c>
      <c r="BQ20" s="59" t="s">
        <v>181</v>
      </c>
      <c r="BR20" s="60" t="s">
        <v>182</v>
      </c>
      <c r="CH20" s="30" t="s">
        <v>119</v>
      </c>
      <c r="CI20" s="33">
        <f>(CI14*(CI9-CI7)-CI12*CI7)/(CI8-CI7)</f>
        <v>46.698117415543869</v>
      </c>
      <c r="CK20" s="73">
        <f>T23</f>
        <v>0.2</v>
      </c>
      <c r="CL20" s="36"/>
      <c r="CM20" s="4">
        <f t="shared" si="10"/>
        <v>4.0936551258457902E-4</v>
      </c>
      <c r="CN20" s="1">
        <f t="shared" si="11"/>
        <v>6.4730103719220819E-6</v>
      </c>
      <c r="CO20" s="1">
        <f t="shared" si="12"/>
        <v>-1.1632174172804731E-4</v>
      </c>
      <c r="CP20" s="5">
        <f t="shared" si="13"/>
        <v>-1.6031764704143937E-6</v>
      </c>
      <c r="CQ20" s="20"/>
    </row>
    <row r="21" spans="3:95" ht="15.75" thickBot="1" x14ac:dyDescent="0.3">
      <c r="C21" s="4" t="s">
        <v>33</v>
      </c>
      <c r="D21" s="5">
        <v>545.58500000000004</v>
      </c>
      <c r="F21" s="23" t="s">
        <v>97</v>
      </c>
      <c r="G21" s="17">
        <f>Flexible!Q6</f>
        <v>1.300386285541185</v>
      </c>
      <c r="I21" s="4" t="s">
        <v>60</v>
      </c>
      <c r="J21" s="5">
        <v>6.4065999999999998E-2</v>
      </c>
      <c r="Q21" s="31" t="s">
        <v>120</v>
      </c>
      <c r="R21" s="34">
        <f>(R17-R15)*(R9-R7)/(R8-R7)</f>
        <v>-3.8728541563990335</v>
      </c>
      <c r="T21" s="36">
        <f t="shared" si="25"/>
        <v>0.17499999999999999</v>
      </c>
      <c r="U21" s="1">
        <f t="shared" si="14"/>
        <v>6.8897637795275593</v>
      </c>
      <c r="V21" s="37">
        <f t="shared" si="26"/>
        <v>7.7550328740800367</v>
      </c>
      <c r="W21" s="18">
        <f t="shared" si="27"/>
        <v>-1.4139697149654333</v>
      </c>
      <c r="X21" s="51">
        <f>R9</f>
        <v>0.21204999999999999</v>
      </c>
      <c r="Y21" s="1">
        <f t="shared" si="4"/>
        <v>8.3484251968503926</v>
      </c>
      <c r="Z21" s="44">
        <f t="shared" ref="Z21" si="28">IF(AND(X21&gt;=0,X21&lt;=$R$7),-X21*$V$8,IF(AND(X21&gt;$R$7,X21&lt;=$R$8),$Z$11-(X21-$R$7)*$V$13,IF(AND(X21&gt;$R$8,X21&lt;=$R$9),$Z$15-(X21-$R$8)*$V$18)))</f>
        <v>1.1102230246251565E-16</v>
      </c>
      <c r="AA21" s="44">
        <f t="shared" si="6"/>
        <v>-2.7755575615628914E-17</v>
      </c>
      <c r="AB21" s="45">
        <f t="shared" si="7"/>
        <v>1.1443916996305594E-16</v>
      </c>
      <c r="AC21" s="17">
        <f t="shared" si="15"/>
        <v>1.300386285541185</v>
      </c>
      <c r="AE21" s="52">
        <f t="shared" si="0"/>
        <v>1.0128724835505174E-15</v>
      </c>
      <c r="AF21" s="38">
        <f t="shared" si="1"/>
        <v>11.509393916753643</v>
      </c>
      <c r="AG21" s="21">
        <f t="shared" si="2"/>
        <v>3.2455196791992624</v>
      </c>
      <c r="AH21" s="7">
        <f t="shared" si="3"/>
        <v>3.4049235840793401</v>
      </c>
      <c r="AT21" s="113">
        <v>2</v>
      </c>
      <c r="AU21" s="92"/>
      <c r="AV21" s="121" t="s">
        <v>148</v>
      </c>
      <c r="AW21" s="121"/>
      <c r="AX21" s="122"/>
      <c r="AY21" s="55">
        <v>1.5</v>
      </c>
      <c r="AZ21" s="1">
        <f>BA21/25.4</f>
        <v>0.98425196850393704</v>
      </c>
      <c r="BA21" s="1">
        <v>25</v>
      </c>
      <c r="BB21" s="1">
        <f>BB7</f>
        <v>14.33001514268577</v>
      </c>
      <c r="BC21" s="1">
        <f>BC7</f>
        <v>11.509393916753643</v>
      </c>
      <c r="BD21" s="102" t="s">
        <v>153</v>
      </c>
      <c r="BE21" s="103"/>
      <c r="BF21" s="1">
        <v>73000</v>
      </c>
      <c r="BG21" s="1">
        <v>83000</v>
      </c>
      <c r="BH21" s="1">
        <v>23000</v>
      </c>
      <c r="BI21" s="19" t="s">
        <v>155</v>
      </c>
      <c r="BJ21" s="5">
        <f>2.7*(BG21/1000)^(-0.265)</f>
        <v>0.83715922964952727</v>
      </c>
      <c r="BK21" s="1">
        <f>BH21*BJ21*BJ22*BJ23*BJ24*BJ25*BJ26</f>
        <v>13246.091213962653</v>
      </c>
      <c r="BL21" s="2" t="s">
        <v>162</v>
      </c>
      <c r="BM21" s="3">
        <v>0.25</v>
      </c>
      <c r="BN21" s="1">
        <f>BM31*32*BB21/(PI()*POWER(AZ21,3))</f>
        <v>187.54337797448963</v>
      </c>
      <c r="BO21" s="1">
        <f>BM32*16*BC21/(PI()*POWER(AZ21,3))</f>
        <v>69.359839694211814</v>
      </c>
      <c r="BP21" s="56">
        <f>1/((BN21/BK21)+(BO21/BG21))</f>
        <v>66.693100745882788</v>
      </c>
      <c r="BQ21" s="57">
        <f>SQRT(1/((BN21/BK21)^2+(BO21/BF21)^2))</f>
        <v>70.470977777522251</v>
      </c>
      <c r="BR21" s="34">
        <f>BF21/(BN21+BO21)</f>
        <v>284.15370061320021</v>
      </c>
      <c r="CE21" s="146" t="s">
        <v>198</v>
      </c>
      <c r="CF21" s="147"/>
      <c r="CH21" s="31" t="s">
        <v>120</v>
      </c>
      <c r="CI21" s="34">
        <f>(CI17-CI15)*(CI9-CI7)/(CI8-CI7)</f>
        <v>-3.8728541563990335</v>
      </c>
      <c r="CK21" s="76">
        <f>T24</f>
        <v>0.21204999999999999</v>
      </c>
      <c r="CL21" s="77" t="s">
        <v>219</v>
      </c>
      <c r="CM21" s="24">
        <f t="shared" si="10"/>
        <v>4.8797663889739348E-4</v>
      </c>
      <c r="CN21" s="74">
        <f t="shared" si="11"/>
        <v>6.5491121973768142E-6</v>
      </c>
      <c r="CO21" s="74">
        <f t="shared" si="12"/>
        <v>-1.3575148545676898E-4</v>
      </c>
      <c r="CP21" s="13">
        <f t="shared" si="13"/>
        <v>-1.6170520629739307E-6</v>
      </c>
      <c r="CQ21" s="21"/>
    </row>
    <row r="22" spans="3:95" ht="15.75" thickBot="1" x14ac:dyDescent="0.3">
      <c r="C22" s="4" t="s">
        <v>21</v>
      </c>
      <c r="D22" s="5" t="s">
        <v>29</v>
      </c>
      <c r="F22" s="20" t="s">
        <v>98</v>
      </c>
      <c r="G22" s="5">
        <f>Flexible!Q7</f>
        <v>0.69169483273467292</v>
      </c>
      <c r="I22" s="9" t="s">
        <v>61</v>
      </c>
      <c r="J22" s="5">
        <f>J8-J21</f>
        <v>3.5934000000000008E-2</v>
      </c>
      <c r="T22" s="36">
        <f t="shared" si="25"/>
        <v>0.19</v>
      </c>
      <c r="U22" s="1">
        <f t="shared" ref="U22:U23" si="29">(T22*1000)/25.4</f>
        <v>7.4803149606299213</v>
      </c>
      <c r="V22" s="37">
        <f t="shared" ref="V22:V23" si="30">V21</f>
        <v>7.7550328740800367</v>
      </c>
      <c r="W22" s="18">
        <f t="shared" ref="W22:W23" si="31">W21</f>
        <v>-1.4139697149654333</v>
      </c>
      <c r="X22" s="50">
        <f>X21</f>
        <v>0.21204999999999999</v>
      </c>
      <c r="Y22" s="38">
        <f t="shared" si="4"/>
        <v>8.3484251968503926</v>
      </c>
      <c r="Z22" s="38"/>
      <c r="AA22" s="38"/>
      <c r="AB22" s="38"/>
      <c r="AC22" s="12">
        <f>AC21-J27</f>
        <v>0</v>
      </c>
      <c r="AT22" s="113"/>
      <c r="AU22" s="92"/>
      <c r="AV22" s="121"/>
      <c r="AW22" s="121"/>
      <c r="AX22" s="122"/>
      <c r="AY22" s="55"/>
      <c r="BD22" s="113"/>
      <c r="BE22" s="114"/>
      <c r="BI22" s="20" t="s">
        <v>156</v>
      </c>
      <c r="BJ22" s="5">
        <f>IF(AND(AZ21&lt;=2,AZ21&gt;=0.11),POWER(AZ21/0.3,-0.107),0.91*POWER(AZ21,-0.157))</f>
        <v>0.88062214204719436</v>
      </c>
      <c r="BL22" s="4" t="s">
        <v>163</v>
      </c>
      <c r="BM22" s="5">
        <v>1.2</v>
      </c>
      <c r="BR22" s="5"/>
      <c r="CE22" s="19" t="s">
        <v>202</v>
      </c>
      <c r="CF22" s="3">
        <v>0</v>
      </c>
      <c r="CH22" s="78" t="s">
        <v>139</v>
      </c>
      <c r="CI22" s="79">
        <v>1.5</v>
      </c>
      <c r="CK22" s="45"/>
    </row>
    <row r="23" spans="3:95" ht="15.75" thickBot="1" x14ac:dyDescent="0.3">
      <c r="C23" s="4" t="s">
        <v>30</v>
      </c>
      <c r="D23" s="5">
        <v>1.38</v>
      </c>
      <c r="F23" s="21" t="s">
        <v>99</v>
      </c>
      <c r="G23" s="7">
        <f>Flexible!Q8</f>
        <v>42.776051280418685</v>
      </c>
      <c r="I23" s="4" t="s">
        <v>63</v>
      </c>
      <c r="J23" s="10">
        <f>J17*J18*(J19/J20)*J22</f>
        <v>175.0032467532468</v>
      </c>
      <c r="Q23" s="111" t="s">
        <v>132</v>
      </c>
      <c r="R23" s="112"/>
      <c r="T23" s="36">
        <f t="shared" si="25"/>
        <v>0.2</v>
      </c>
      <c r="U23" s="1">
        <f t="shared" si="29"/>
        <v>7.8740157480314963</v>
      </c>
      <c r="V23" s="37">
        <f t="shared" si="30"/>
        <v>7.7550328740800367</v>
      </c>
      <c r="W23" s="18">
        <f t="shared" si="31"/>
        <v>-1.4139697149654333</v>
      </c>
      <c r="X23" s="37"/>
      <c r="Y23" s="37"/>
      <c r="AT23" s="113"/>
      <c r="AU23" s="92"/>
      <c r="AV23" s="121"/>
      <c r="AW23" s="121"/>
      <c r="AX23" s="122"/>
      <c r="AY23" s="55"/>
      <c r="BD23" s="113"/>
      <c r="BE23" s="114"/>
      <c r="BI23" s="20" t="s">
        <v>157</v>
      </c>
      <c r="BJ23" s="5">
        <v>1</v>
      </c>
      <c r="BL23" s="4" t="s">
        <v>168</v>
      </c>
      <c r="BM23" s="5">
        <f>AZ21*BM22</f>
        <v>1.1811023622047243</v>
      </c>
      <c r="BR23" s="5"/>
      <c r="CE23" s="21" t="s">
        <v>203</v>
      </c>
      <c r="CF23" s="7">
        <v>0</v>
      </c>
      <c r="CI23" s="8"/>
      <c r="CK23" s="45"/>
    </row>
    <row r="24" spans="3:95" ht="15.75" thickBot="1" x14ac:dyDescent="0.3">
      <c r="C24" s="4" t="s">
        <v>32</v>
      </c>
      <c r="D24" s="5">
        <v>280</v>
      </c>
      <c r="I24" s="4" t="s">
        <v>62</v>
      </c>
      <c r="J24" s="5">
        <f>0.05*0.154</f>
        <v>7.7000000000000002E-3</v>
      </c>
      <c r="Q24" s="19" t="s">
        <v>21</v>
      </c>
      <c r="R24" s="5" t="s">
        <v>133</v>
      </c>
      <c r="T24" s="19">
        <f>R9</f>
        <v>0.21204999999999999</v>
      </c>
      <c r="U24" s="1">
        <f t="shared" si="14"/>
        <v>8.3484251968503926</v>
      </c>
      <c r="V24" s="37">
        <f>V21</f>
        <v>7.7550328740800367</v>
      </c>
      <c r="W24" s="18">
        <f>W21</f>
        <v>-1.4139697149654333</v>
      </c>
      <c r="X24" s="37"/>
      <c r="Y24" s="37"/>
      <c r="AT24" s="113"/>
      <c r="AU24" s="92"/>
      <c r="AV24" s="121"/>
      <c r="AW24" s="121"/>
      <c r="AX24" s="122"/>
      <c r="AY24" s="55"/>
      <c r="BD24" s="113"/>
      <c r="BE24" s="114"/>
      <c r="BI24" s="20" t="s">
        <v>158</v>
      </c>
      <c r="BJ24" s="5">
        <v>1</v>
      </c>
      <c r="BL24" s="4" t="s">
        <v>169</v>
      </c>
      <c r="BM24" s="5">
        <f>BM21*AZ21</f>
        <v>0.24606299212598426</v>
      </c>
      <c r="BR24" s="5"/>
    </row>
    <row r="25" spans="3:95" ht="15.75" thickBot="1" x14ac:dyDescent="0.3">
      <c r="C25" s="4" t="s">
        <v>31</v>
      </c>
      <c r="D25" s="5">
        <f>D24/1000</f>
        <v>0.28000000000000003</v>
      </c>
      <c r="I25" s="14" t="s">
        <v>64</v>
      </c>
      <c r="J25" s="15">
        <f>J16*(J26-1)</f>
        <v>0.16961560246189361</v>
      </c>
      <c r="Q25" s="20" t="s">
        <v>134</v>
      </c>
      <c r="R25" s="5">
        <v>83000</v>
      </c>
      <c r="T25" s="21">
        <f>T24</f>
        <v>0.21204999999999999</v>
      </c>
      <c r="U25" s="38">
        <f t="shared" si="14"/>
        <v>8.3484251968503926</v>
      </c>
      <c r="V25" s="39">
        <f>V18-R14</f>
        <v>0</v>
      </c>
      <c r="W25" s="40">
        <f>W24+R15-R17</f>
        <v>0</v>
      </c>
      <c r="X25" s="37"/>
      <c r="Y25" s="37"/>
      <c r="AT25" s="113"/>
      <c r="AU25" s="92"/>
      <c r="AV25" s="121"/>
      <c r="AW25" s="121"/>
      <c r="AX25" s="122"/>
      <c r="AY25" s="55"/>
      <c r="BD25" s="113"/>
      <c r="BE25" s="114"/>
      <c r="BI25" s="20" t="s">
        <v>159</v>
      </c>
      <c r="BJ25" s="5">
        <v>0.86799999999999999</v>
      </c>
      <c r="BL25" s="4" t="s">
        <v>170</v>
      </c>
      <c r="BM25" s="5">
        <f>(BM23-AZ21)/2</f>
        <v>9.8425196850393637E-2</v>
      </c>
      <c r="BR25" s="5"/>
      <c r="CE25" s="142" t="s">
        <v>209</v>
      </c>
      <c r="CF25" s="143"/>
    </row>
    <row r="26" spans="3:95" ht="15.75" thickBot="1" x14ac:dyDescent="0.3">
      <c r="C26" s="6" t="s">
        <v>28</v>
      </c>
      <c r="D26" s="7">
        <f>0.15764</f>
        <v>0.15764</v>
      </c>
      <c r="I26" s="16" t="s">
        <v>66</v>
      </c>
      <c r="J26" s="17">
        <v>1.1499999999999999</v>
      </c>
      <c r="Q26" s="20" t="s">
        <v>135</v>
      </c>
      <c r="R26" s="5">
        <v>73000</v>
      </c>
      <c r="AT26" s="113"/>
      <c r="AU26" s="92"/>
      <c r="AV26" s="121"/>
      <c r="AW26" s="121"/>
      <c r="AX26" s="122"/>
      <c r="AY26" s="55"/>
      <c r="BD26" s="113"/>
      <c r="BE26" s="114"/>
      <c r="BI26" s="21" t="s">
        <v>160</v>
      </c>
      <c r="BJ26" s="7">
        <v>0.9</v>
      </c>
      <c r="BL26" s="4" t="s">
        <v>171</v>
      </c>
      <c r="BM26" s="1">
        <f>BM25/BM24</f>
        <v>0.39999999999999974</v>
      </c>
      <c r="BN26" s="35"/>
      <c r="BO26" s="35" t="s">
        <v>164</v>
      </c>
      <c r="BP26" s="3" t="s">
        <v>165</v>
      </c>
      <c r="BR26" s="5"/>
      <c r="CE26" s="19" t="s">
        <v>211</v>
      </c>
      <c r="CF26" s="70">
        <f>((CI12*(CI7^3-CI8^3))/(6*(CI8-CI7)))+((CI18*POWER(CI8-CI7,3))/(6*(CI8-CI7)))</f>
        <v>5.5873635490917936E-2</v>
      </c>
    </row>
    <row r="27" spans="3:95" ht="15.75" thickBot="1" x14ac:dyDescent="0.3">
      <c r="I27" s="11" t="s">
        <v>46</v>
      </c>
      <c r="J27" s="12">
        <f>(J16+J25)</f>
        <v>1.300386285541185</v>
      </c>
      <c r="Q27" s="20" t="s">
        <v>137</v>
      </c>
      <c r="R27" s="5">
        <v>23000</v>
      </c>
      <c r="AT27" s="113"/>
      <c r="AU27" s="92"/>
      <c r="AV27" s="121"/>
      <c r="AW27" s="121"/>
      <c r="AX27" s="122"/>
      <c r="BD27" s="113"/>
      <c r="BE27" s="114"/>
      <c r="BL27" s="4" t="s">
        <v>164</v>
      </c>
      <c r="BM27" s="1">
        <f>BO27+BO28*(2*BM25/BM23)+BO29*(2*BM25/BM23)^2+BO30*(2*BM25/BM23)^3</f>
        <v>1.4092846031158224</v>
      </c>
      <c r="BN27" s="1" t="s">
        <v>172</v>
      </c>
      <c r="BO27" s="1">
        <f>IF(BM26&gt;=2,1.232+0.832*SQRT(BM26)-0.008*BM26,0.947+1.206*SQRT(BM26)-0.131*BM26)</f>
        <v>1.6573413716326129</v>
      </c>
      <c r="BP27" s="5">
        <f>0.905+0.783*SQRT(BM26)-0.075*BM26</f>
        <v>1.3702126815823681</v>
      </c>
      <c r="BR27" s="5"/>
      <c r="CE27" s="21" t="s">
        <v>212</v>
      </c>
      <c r="CF27" s="7">
        <f>-((CI12*POWER(CI7,3))/6)-(CF26*CI7)</f>
        <v>-1.7282302393413307E-3</v>
      </c>
    </row>
    <row r="28" spans="3:95" ht="15.75" thickBot="1" x14ac:dyDescent="0.3">
      <c r="Q28" s="20" t="s">
        <v>138</v>
      </c>
      <c r="R28" s="5">
        <v>10400</v>
      </c>
      <c r="AT28" s="113"/>
      <c r="AU28" s="92"/>
      <c r="AV28" s="121"/>
      <c r="AW28" s="121"/>
      <c r="AX28" s="122"/>
      <c r="BD28" s="113"/>
      <c r="BE28" s="114"/>
      <c r="BL28" s="4" t="s">
        <v>165</v>
      </c>
      <c r="BM28" s="1">
        <f>BP27+BP28*(2*BM25/BM23)+BP29*(2*BM25/BM23)^2+BP30*(2*BM25/BM23)^3</f>
        <v>1.1781215736126249</v>
      </c>
      <c r="BN28" s="1" t="s">
        <v>173</v>
      </c>
      <c r="BO28" s="1">
        <f>IF(BM26&gt;=2,-3.813+0.968*SQRT(BM26)-0.26*BM26,0.022-3.405*SQRT(BM26)+0.915*BM26)</f>
        <v>-1.7655110865746662</v>
      </c>
      <c r="BP28" s="5">
        <f>-0.437-1.969*SQRT(BM26)+0.553*BM26</f>
        <v>-1.4611049425743077</v>
      </c>
      <c r="BR28" s="5"/>
      <c r="CE28" s="142" t="s">
        <v>216</v>
      </c>
      <c r="CF28" s="143"/>
    </row>
    <row r="29" spans="3:95" ht="15.75" thickBot="1" x14ac:dyDescent="0.3">
      <c r="Q29" s="21" t="s">
        <v>139</v>
      </c>
      <c r="R29" s="7">
        <v>1.5</v>
      </c>
      <c r="AT29" s="113"/>
      <c r="AU29" s="92"/>
      <c r="AV29" s="121"/>
      <c r="AW29" s="121"/>
      <c r="AX29" s="122"/>
      <c r="BD29" s="113"/>
      <c r="BE29" s="114"/>
      <c r="BL29" s="4" t="s">
        <v>176</v>
      </c>
      <c r="BM29" s="1">
        <v>0.55000000000000004</v>
      </c>
      <c r="BN29" s="1" t="s">
        <v>174</v>
      </c>
      <c r="BO29" s="1">
        <f>IF(BM26&lt;=2,0.869+1.777*SQRT(BM26)-0.555*BM26,7.423-4.868*SQRT(BM26)+0.869*BM26)</f>
        <v>1.7708734804238415</v>
      </c>
      <c r="BP29" s="5">
        <f>1.557+1.073*SQRT(BM26)-0.578*BM26</f>
        <v>2.0044247858721342</v>
      </c>
      <c r="BR29" s="5"/>
      <c r="CE29" s="19" t="s">
        <v>211</v>
      </c>
      <c r="CF29" s="70">
        <f>((CI19*POWER(CI8-CI7,3))/(6*(CI8-CI7)))</f>
        <v>1.6576815350368755E-3</v>
      </c>
    </row>
    <row r="30" spans="3:95" ht="15.75" thickBot="1" x14ac:dyDescent="0.3">
      <c r="AT30" s="113"/>
      <c r="AU30" s="92"/>
      <c r="AV30" s="121"/>
      <c r="AW30" s="121"/>
      <c r="AX30" s="122"/>
      <c r="BD30" s="113"/>
      <c r="BE30" s="114"/>
      <c r="BL30" s="4" t="s">
        <v>177</v>
      </c>
      <c r="BM30" s="1">
        <v>0.72</v>
      </c>
      <c r="BN30" s="38" t="s">
        <v>175</v>
      </c>
      <c r="BO30" s="38">
        <f>IF(BM26&lt;=2,-0.81+0.422*SQRT(BM26)-0.26*BM26,-3.839+3.07*SQRT(BM26)-0.6*BM26)</f>
        <v>-0.64710376548178894</v>
      </c>
      <c r="BP30" s="7">
        <f>-1.061+0.171*SQRT(BM26)+0.086*BM26</f>
        <v>-0.91845010402224136</v>
      </c>
      <c r="BR30" s="5"/>
      <c r="CE30" s="21" t="s">
        <v>212</v>
      </c>
      <c r="CF30" s="7">
        <f>-CF29*CI7</f>
        <v>-6.2743246101145748E-5</v>
      </c>
    </row>
    <row r="31" spans="3:95" x14ac:dyDescent="0.25">
      <c r="AT31" s="113"/>
      <c r="AU31" s="92"/>
      <c r="AV31" s="121"/>
      <c r="AW31" s="121"/>
      <c r="AX31" s="122"/>
      <c r="BD31" s="113"/>
      <c r="BE31" s="114"/>
      <c r="BL31" s="4" t="s">
        <v>166</v>
      </c>
      <c r="BM31" s="5">
        <f xml:space="preserve"> 1+(BM29*(BM27-1))</f>
        <v>1.2251065317137022</v>
      </c>
      <c r="BR31" s="5"/>
    </row>
    <row r="32" spans="3:95" ht="15.75" thickBot="1" x14ac:dyDescent="0.3">
      <c r="AT32" s="107"/>
      <c r="AU32" s="119"/>
      <c r="AV32" s="123"/>
      <c r="AW32" s="123"/>
      <c r="AX32" s="124"/>
      <c r="AY32" s="38"/>
      <c r="AZ32" s="38"/>
      <c r="BA32" s="38"/>
      <c r="BB32" s="38"/>
      <c r="BC32" s="38"/>
      <c r="BD32" s="107"/>
      <c r="BE32" s="108"/>
      <c r="BF32" s="38"/>
      <c r="BG32" s="38"/>
      <c r="BH32" s="38"/>
      <c r="BI32" s="38"/>
      <c r="BJ32" s="38"/>
      <c r="BK32" s="38"/>
      <c r="BL32" s="6" t="s">
        <v>167</v>
      </c>
      <c r="BM32" s="7">
        <f xml:space="preserve"> 1+(BM30*(BM28-1))</f>
        <v>1.1282475330010899</v>
      </c>
      <c r="BN32" s="38"/>
      <c r="BO32" s="38"/>
      <c r="BP32" s="38"/>
      <c r="BQ32" s="38"/>
      <c r="BR32" s="7"/>
    </row>
    <row r="33" spans="46:70" ht="15.75" thickBot="1" x14ac:dyDescent="0.3"/>
    <row r="34" spans="46:70" ht="15.75" thickBot="1" x14ac:dyDescent="0.3">
      <c r="AT34" s="128" t="s">
        <v>146</v>
      </c>
      <c r="AU34" s="140"/>
      <c r="AV34" s="140" t="s">
        <v>147</v>
      </c>
      <c r="AW34" s="140"/>
      <c r="AX34" s="129"/>
      <c r="AY34" s="59" t="s">
        <v>183</v>
      </c>
      <c r="AZ34" s="59" t="s">
        <v>149</v>
      </c>
      <c r="BA34" s="59" t="s">
        <v>150</v>
      </c>
      <c r="BB34" s="59" t="s">
        <v>151</v>
      </c>
      <c r="BC34" s="59" t="s">
        <v>152</v>
      </c>
      <c r="BD34" s="128" t="s">
        <v>21</v>
      </c>
      <c r="BE34" s="129"/>
      <c r="BF34" s="59" t="s">
        <v>135</v>
      </c>
      <c r="BG34" s="59" t="s">
        <v>134</v>
      </c>
      <c r="BH34" s="59" t="s">
        <v>137</v>
      </c>
      <c r="BI34" s="128" t="s">
        <v>154</v>
      </c>
      <c r="BJ34" s="129"/>
      <c r="BK34" s="59" t="s">
        <v>136</v>
      </c>
      <c r="BL34" s="128" t="s">
        <v>161</v>
      </c>
      <c r="BM34" s="129"/>
      <c r="BN34" s="59" t="s">
        <v>178</v>
      </c>
      <c r="BO34" s="59" t="s">
        <v>179</v>
      </c>
      <c r="BP34" s="58" t="s">
        <v>180</v>
      </c>
      <c r="BQ34" s="59" t="s">
        <v>181</v>
      </c>
      <c r="BR34" s="60" t="s">
        <v>182</v>
      </c>
    </row>
    <row r="35" spans="46:70" ht="15.75" thickBot="1" x14ac:dyDescent="0.3">
      <c r="AT35" s="113">
        <v>3</v>
      </c>
      <c r="AU35" s="92"/>
      <c r="AV35" s="121" t="s">
        <v>148</v>
      </c>
      <c r="AW35" s="121"/>
      <c r="AX35" s="122"/>
      <c r="AY35" s="55">
        <v>1.5</v>
      </c>
      <c r="AZ35" s="1">
        <f>BA35/25.4</f>
        <v>0.98425196850393704</v>
      </c>
      <c r="BA35" s="1">
        <v>25</v>
      </c>
      <c r="BB35" s="1">
        <f>BB21</f>
        <v>14.33001514268577</v>
      </c>
      <c r="BC35" s="1">
        <f>BC21</f>
        <v>11.509393916753643</v>
      </c>
      <c r="BD35" s="102" t="s">
        <v>184</v>
      </c>
      <c r="BE35" s="103"/>
      <c r="BF35" s="1">
        <v>6000</v>
      </c>
      <c r="BG35" s="1">
        <v>16000</v>
      </c>
      <c r="BH35" s="1">
        <v>7000</v>
      </c>
      <c r="BI35" s="19" t="s">
        <v>155</v>
      </c>
      <c r="BJ35" s="5">
        <f>2.7*(BG35/1000)^(-0.265)</f>
        <v>1.2950065610891071</v>
      </c>
      <c r="BK35" s="1">
        <f>BH35*BJ35*BJ36*BJ37*BJ38*BJ39*BJ40</f>
        <v>6236.2259829764216</v>
      </c>
      <c r="BL35" s="2" t="s">
        <v>162</v>
      </c>
      <c r="BM35" s="3">
        <v>0.25</v>
      </c>
      <c r="BN35" s="1">
        <f>BM45*32*BB35/(PI()*POWER(AZ35,3))</f>
        <v>187.54337797448963</v>
      </c>
      <c r="BO35" s="1">
        <f>BM46*16*BC35/(PI()*POWER(AZ35,3))</f>
        <v>69.359839694211814</v>
      </c>
      <c r="BP35" s="56">
        <f>1/((BN35/BK35)+(BO35/BG35))</f>
        <v>29.062833677021175</v>
      </c>
      <c r="BQ35" s="57">
        <f>SQRT(1/((BN35/BK35)^2+(BO35/BF35)^2))</f>
        <v>31.038073755435441</v>
      </c>
      <c r="BR35" s="34">
        <f>BF35/(BN35+BO35)</f>
        <v>23.355098680537001</v>
      </c>
    </row>
    <row r="36" spans="46:70" x14ac:dyDescent="0.25">
      <c r="AT36" s="113"/>
      <c r="AU36" s="92"/>
      <c r="AV36" s="121"/>
      <c r="AW36" s="121"/>
      <c r="AX36" s="122"/>
      <c r="AY36" s="55"/>
      <c r="BD36" s="113"/>
      <c r="BE36" s="114"/>
      <c r="BI36" s="20" t="s">
        <v>156</v>
      </c>
      <c r="BJ36" s="5">
        <f>IF(AND(AZ35&lt;=2,AZ35&gt;=0.11),POWER(AZ35/0.3,-0.107),0.91*POWER(AZ35,-0.157))</f>
        <v>0.88062214204719436</v>
      </c>
      <c r="BL36" s="4" t="s">
        <v>163</v>
      </c>
      <c r="BM36" s="5">
        <v>1.2</v>
      </c>
      <c r="BR36" s="5"/>
    </row>
    <row r="37" spans="46:70" x14ac:dyDescent="0.25">
      <c r="AT37" s="113"/>
      <c r="AU37" s="92"/>
      <c r="AV37" s="121"/>
      <c r="AW37" s="121"/>
      <c r="AX37" s="122"/>
      <c r="AY37" s="55"/>
      <c r="BD37" s="113"/>
      <c r="BE37" s="114"/>
      <c r="BI37" s="20" t="s">
        <v>157</v>
      </c>
      <c r="BJ37" s="5">
        <v>1</v>
      </c>
      <c r="BL37" s="4" t="s">
        <v>168</v>
      </c>
      <c r="BM37" s="5">
        <f>AZ35*BM36</f>
        <v>1.1811023622047243</v>
      </c>
      <c r="BR37" s="5"/>
    </row>
    <row r="38" spans="46:70" x14ac:dyDescent="0.25">
      <c r="AT38" s="113"/>
      <c r="AU38" s="92"/>
      <c r="AV38" s="121"/>
      <c r="AW38" s="121"/>
      <c r="AX38" s="122"/>
      <c r="AY38" s="55"/>
      <c r="BD38" s="113"/>
      <c r="BE38" s="114"/>
      <c r="BI38" s="20" t="s">
        <v>158</v>
      </c>
      <c r="BJ38" s="5">
        <v>1</v>
      </c>
      <c r="BL38" s="4" t="s">
        <v>169</v>
      </c>
      <c r="BM38" s="5">
        <f>BM35*AZ35</f>
        <v>0.24606299212598426</v>
      </c>
      <c r="BR38" s="5"/>
    </row>
    <row r="39" spans="46:70" ht="15.75" thickBot="1" x14ac:dyDescent="0.3">
      <c r="AT39" s="113"/>
      <c r="AU39" s="92"/>
      <c r="AV39" s="121"/>
      <c r="AW39" s="121"/>
      <c r="AX39" s="122"/>
      <c r="AY39" s="55"/>
      <c r="BD39" s="113"/>
      <c r="BE39" s="114"/>
      <c r="BI39" s="20" t="s">
        <v>159</v>
      </c>
      <c r="BJ39" s="5">
        <v>0.86799999999999999</v>
      </c>
      <c r="BL39" s="4" t="s">
        <v>170</v>
      </c>
      <c r="BM39" s="5">
        <f>(BM37-AZ35)/2</f>
        <v>9.8425196850393637E-2</v>
      </c>
      <c r="BR39" s="5"/>
    </row>
    <row r="40" spans="46:70" ht="15.75" thickBot="1" x14ac:dyDescent="0.3">
      <c r="AT40" s="113"/>
      <c r="AU40" s="92"/>
      <c r="AV40" s="121"/>
      <c r="AW40" s="121"/>
      <c r="AX40" s="122"/>
      <c r="AY40" s="55"/>
      <c r="BD40" s="113"/>
      <c r="BE40" s="114"/>
      <c r="BI40" s="21" t="s">
        <v>160</v>
      </c>
      <c r="BJ40" s="7">
        <v>0.9</v>
      </c>
      <c r="BL40" s="4" t="s">
        <v>171</v>
      </c>
      <c r="BM40" s="1">
        <f>BM39/BM38</f>
        <v>0.39999999999999974</v>
      </c>
      <c r="BN40" s="35"/>
      <c r="BO40" s="35" t="s">
        <v>164</v>
      </c>
      <c r="BP40" s="3" t="s">
        <v>165</v>
      </c>
      <c r="BR40" s="5"/>
    </row>
    <row r="41" spans="46:70" x14ac:dyDescent="0.25">
      <c r="AT41" s="113"/>
      <c r="AU41" s="92"/>
      <c r="AV41" s="121"/>
      <c r="AW41" s="121"/>
      <c r="AX41" s="122"/>
      <c r="BD41" s="113"/>
      <c r="BE41" s="114"/>
      <c r="BL41" s="4" t="s">
        <v>164</v>
      </c>
      <c r="BM41" s="1">
        <f>BO41+BO42*(2*BM39/BM37)+BO43*(2*BM39/BM37)^2+BO44*(2*BM39/BM37)^3</f>
        <v>1.4092846031158224</v>
      </c>
      <c r="BN41" s="1" t="s">
        <v>172</v>
      </c>
      <c r="BO41" s="1">
        <f>IF(BM40&gt;=2,1.232+0.832*SQRT(BM40)-0.008*BM40,0.947+1.206*SQRT(BM40)-0.131*BM40)</f>
        <v>1.6573413716326129</v>
      </c>
      <c r="BP41" s="5">
        <f>0.905+0.783*SQRT(BM40)-0.075*BM40</f>
        <v>1.3702126815823681</v>
      </c>
      <c r="BR41" s="5"/>
    </row>
    <row r="42" spans="46:70" x14ac:dyDescent="0.25">
      <c r="AT42" s="113"/>
      <c r="AU42" s="92"/>
      <c r="AV42" s="121"/>
      <c r="AW42" s="121"/>
      <c r="AX42" s="122"/>
      <c r="BD42" s="113"/>
      <c r="BE42" s="114"/>
      <c r="BL42" s="4" t="s">
        <v>165</v>
      </c>
      <c r="BM42" s="1">
        <f>BP41+BP42*(2*BM39/BM37)+BP43*(2*BM39/BM37)^2+BP44*(2*BM39/BM37)^3</f>
        <v>1.1781215736126249</v>
      </c>
      <c r="BN42" s="1" t="s">
        <v>173</v>
      </c>
      <c r="BO42" s="1">
        <f>IF(BM40&gt;=2,-3.813+0.968*SQRT(BM40)-0.26*BM40,0.022-3.405*SQRT(BM40)+0.915*BM40)</f>
        <v>-1.7655110865746662</v>
      </c>
      <c r="BP42" s="5">
        <f>-0.437-1.969*SQRT(BM40)+0.553*BM40</f>
        <v>-1.4611049425743077</v>
      </c>
      <c r="BR42" s="5"/>
    </row>
    <row r="43" spans="46:70" x14ac:dyDescent="0.25">
      <c r="AT43" s="113"/>
      <c r="AU43" s="92"/>
      <c r="AV43" s="121"/>
      <c r="AW43" s="121"/>
      <c r="AX43" s="122"/>
      <c r="BD43" s="113"/>
      <c r="BE43" s="114"/>
      <c r="BL43" s="4" t="s">
        <v>176</v>
      </c>
      <c r="BM43" s="1">
        <v>0.55000000000000004</v>
      </c>
      <c r="BN43" s="1" t="s">
        <v>174</v>
      </c>
      <c r="BO43" s="1">
        <f>IF(BM40&lt;=2,0.869+1.777*SQRT(BM40)-0.555*BM40,7.423-4.868*SQRT(BM40)+0.869*BM40)</f>
        <v>1.7708734804238415</v>
      </c>
      <c r="BP43" s="5">
        <f>1.557+1.073*SQRT(BM40)-0.578*BM40</f>
        <v>2.0044247858721342</v>
      </c>
      <c r="BR43" s="5"/>
    </row>
    <row r="44" spans="46:70" ht="15.75" thickBot="1" x14ac:dyDescent="0.3">
      <c r="AT44" s="113"/>
      <c r="AU44" s="92"/>
      <c r="AV44" s="121"/>
      <c r="AW44" s="121"/>
      <c r="AX44" s="122"/>
      <c r="BD44" s="113"/>
      <c r="BE44" s="114"/>
      <c r="BL44" s="4" t="s">
        <v>177</v>
      </c>
      <c r="BM44" s="1">
        <v>0.72</v>
      </c>
      <c r="BN44" s="38" t="s">
        <v>175</v>
      </c>
      <c r="BO44" s="38">
        <f>IF(BM40&lt;=2,-0.81+0.422*SQRT(BM40)-0.26*BM40,-3.839+3.07*SQRT(BM40)-0.6*BM40)</f>
        <v>-0.64710376548178894</v>
      </c>
      <c r="BP44" s="7">
        <f>-1.061+0.171*SQRT(BM40)+0.086*BM40</f>
        <v>-0.91845010402224136</v>
      </c>
      <c r="BR44" s="5"/>
    </row>
    <row r="45" spans="46:70" x14ac:dyDescent="0.25">
      <c r="AT45" s="113"/>
      <c r="AU45" s="92"/>
      <c r="AV45" s="121"/>
      <c r="AW45" s="121"/>
      <c r="AX45" s="122"/>
      <c r="BD45" s="113"/>
      <c r="BE45" s="114"/>
      <c r="BL45" s="4" t="s">
        <v>166</v>
      </c>
      <c r="BM45" s="5">
        <f xml:space="preserve"> 1+(BM43*(BM41-1))</f>
        <v>1.2251065317137022</v>
      </c>
      <c r="BR45" s="5"/>
    </row>
    <row r="46" spans="46:70" ht="15.75" thickBot="1" x14ac:dyDescent="0.3">
      <c r="AT46" s="107"/>
      <c r="AU46" s="119"/>
      <c r="AV46" s="123"/>
      <c r="AW46" s="123"/>
      <c r="AX46" s="124"/>
      <c r="AY46" s="38"/>
      <c r="AZ46" s="38"/>
      <c r="BA46" s="38"/>
      <c r="BB46" s="38"/>
      <c r="BC46" s="38"/>
      <c r="BD46" s="107"/>
      <c r="BE46" s="108"/>
      <c r="BF46" s="38"/>
      <c r="BG46" s="38"/>
      <c r="BH46" s="38"/>
      <c r="BI46" s="38"/>
      <c r="BJ46" s="38"/>
      <c r="BK46" s="38"/>
      <c r="BL46" s="6" t="s">
        <v>167</v>
      </c>
      <c r="BM46" s="7">
        <f xml:space="preserve"> 1+(BM44*(BM42-1))</f>
        <v>1.1282475330010899</v>
      </c>
      <c r="BN46" s="38"/>
      <c r="BO46" s="38"/>
      <c r="BP46" s="38"/>
      <c r="BQ46" s="38"/>
      <c r="BR46" s="7"/>
    </row>
    <row r="47" spans="46:70" ht="15.75" thickBot="1" x14ac:dyDescent="0.3"/>
    <row r="48" spans="46:70" ht="15.75" thickBot="1" x14ac:dyDescent="0.3">
      <c r="AT48" s="128" t="s">
        <v>146</v>
      </c>
      <c r="AU48" s="140"/>
      <c r="AV48" s="140" t="s">
        <v>147</v>
      </c>
      <c r="AW48" s="140"/>
      <c r="AX48" s="129"/>
      <c r="AY48" s="59" t="s">
        <v>183</v>
      </c>
      <c r="AZ48" s="59" t="s">
        <v>149</v>
      </c>
      <c r="BA48" s="59" t="s">
        <v>150</v>
      </c>
      <c r="BB48" s="59" t="s">
        <v>151</v>
      </c>
      <c r="BC48" s="59" t="s">
        <v>152</v>
      </c>
      <c r="BD48" s="128" t="s">
        <v>21</v>
      </c>
      <c r="BE48" s="129"/>
      <c r="BF48" s="59" t="s">
        <v>135</v>
      </c>
      <c r="BG48" s="59" t="s">
        <v>134</v>
      </c>
      <c r="BH48" s="59" t="s">
        <v>137</v>
      </c>
      <c r="BI48" s="128" t="s">
        <v>154</v>
      </c>
      <c r="BJ48" s="129"/>
      <c r="BK48" s="59" t="s">
        <v>136</v>
      </c>
      <c r="BL48" s="128" t="s">
        <v>161</v>
      </c>
      <c r="BM48" s="129"/>
      <c r="BN48" s="59" t="s">
        <v>178</v>
      </c>
      <c r="BO48" s="59" t="s">
        <v>179</v>
      </c>
      <c r="BP48" s="58" t="s">
        <v>180</v>
      </c>
      <c r="BQ48" s="59" t="s">
        <v>181</v>
      </c>
      <c r="BR48" s="60" t="s">
        <v>182</v>
      </c>
    </row>
    <row r="49" spans="46:70" ht="15.75" thickBot="1" x14ac:dyDescent="0.3">
      <c r="AT49" s="113">
        <v>4</v>
      </c>
      <c r="AU49" s="92"/>
      <c r="AV49" s="121" t="s">
        <v>148</v>
      </c>
      <c r="AW49" s="121"/>
      <c r="AX49" s="122"/>
      <c r="AY49" s="55">
        <v>1.5</v>
      </c>
      <c r="AZ49" s="1">
        <f>BA49/25.4</f>
        <v>0.98425196850393704</v>
      </c>
      <c r="BA49" s="1">
        <v>25</v>
      </c>
      <c r="BB49" s="1">
        <f>BB35</f>
        <v>14.33001514268577</v>
      </c>
      <c r="BC49" s="1">
        <f>BC35</f>
        <v>11.509393916753643</v>
      </c>
      <c r="BD49" s="102" t="s">
        <v>185</v>
      </c>
      <c r="BE49" s="103"/>
      <c r="BF49" s="1">
        <v>40000</v>
      </c>
      <c r="BG49" s="1">
        <v>45000</v>
      </c>
      <c r="BH49" s="1">
        <v>14000</v>
      </c>
      <c r="BI49" s="19" t="s">
        <v>155</v>
      </c>
      <c r="BJ49" s="5">
        <f>2.7*(BG49/1000)^(-0.265)</f>
        <v>0.98460593211391623</v>
      </c>
      <c r="BK49" s="1">
        <f>BH49*BJ49*BJ50*BJ51*BJ52*BJ53*BJ54</f>
        <v>9482.9250775031796</v>
      </c>
      <c r="BL49" s="2" t="s">
        <v>162</v>
      </c>
      <c r="BM49" s="3">
        <v>0.25</v>
      </c>
      <c r="BN49" s="1">
        <f>BM59*32*BB49/(PI()*POWER(AZ49,3))</f>
        <v>187.54337797448963</v>
      </c>
      <c r="BO49" s="1">
        <f>BM60*16*BC49/(PI()*POWER(AZ49,3))</f>
        <v>69.359839694211814</v>
      </c>
      <c r="BP49" s="56">
        <f>1/((BN49/BK49)+(BO49/BG49))</f>
        <v>46.908090085949979</v>
      </c>
      <c r="BQ49" s="57">
        <f>SQRT(1/((BN49/BK49)^2+(BO49/BF49)^2))</f>
        <v>50.370664383919774</v>
      </c>
      <c r="BR49" s="34">
        <f>BF49/(BN49+BO49)</f>
        <v>155.70065787024669</v>
      </c>
    </row>
    <row r="50" spans="46:70" x14ac:dyDescent="0.25">
      <c r="AT50" s="113"/>
      <c r="AU50" s="92"/>
      <c r="AV50" s="121"/>
      <c r="AW50" s="121"/>
      <c r="AX50" s="122"/>
      <c r="AY50" s="55"/>
      <c r="BD50" s="113"/>
      <c r="BE50" s="114"/>
      <c r="BI50" s="20" t="s">
        <v>156</v>
      </c>
      <c r="BJ50" s="5">
        <f>IF(AND(AZ49&lt;=2,AZ49&gt;=0.11),POWER(AZ49/0.3,-0.107),0.91*POWER(AZ49,-0.157))</f>
        <v>0.88062214204719436</v>
      </c>
      <c r="BL50" s="4" t="s">
        <v>163</v>
      </c>
      <c r="BM50" s="5">
        <v>1.2</v>
      </c>
      <c r="BR50" s="5"/>
    </row>
    <row r="51" spans="46:70" x14ac:dyDescent="0.25">
      <c r="AT51" s="113"/>
      <c r="AU51" s="92"/>
      <c r="AV51" s="121"/>
      <c r="AW51" s="121"/>
      <c r="AX51" s="122"/>
      <c r="AY51" s="55"/>
      <c r="BD51" s="113"/>
      <c r="BE51" s="114"/>
      <c r="BI51" s="20" t="s">
        <v>157</v>
      </c>
      <c r="BJ51" s="5">
        <v>1</v>
      </c>
      <c r="BL51" s="4" t="s">
        <v>168</v>
      </c>
      <c r="BM51" s="5">
        <f>AZ49*BM50</f>
        <v>1.1811023622047243</v>
      </c>
      <c r="BR51" s="5"/>
    </row>
    <row r="52" spans="46:70" x14ac:dyDescent="0.25">
      <c r="AT52" s="113"/>
      <c r="AU52" s="92"/>
      <c r="AV52" s="121"/>
      <c r="AW52" s="121"/>
      <c r="AX52" s="122"/>
      <c r="AY52" s="55"/>
      <c r="BD52" s="113"/>
      <c r="BE52" s="114"/>
      <c r="BI52" s="20" t="s">
        <v>158</v>
      </c>
      <c r="BJ52" s="5">
        <v>1</v>
      </c>
      <c r="BL52" s="4" t="s">
        <v>169</v>
      </c>
      <c r="BM52" s="5">
        <f>BM49*AZ49</f>
        <v>0.24606299212598426</v>
      </c>
      <c r="BR52" s="5"/>
    </row>
    <row r="53" spans="46:70" ht="15.75" thickBot="1" x14ac:dyDescent="0.3">
      <c r="AT53" s="113"/>
      <c r="AU53" s="92"/>
      <c r="AV53" s="121"/>
      <c r="AW53" s="121"/>
      <c r="AX53" s="122"/>
      <c r="AY53" s="55"/>
      <c r="BD53" s="113"/>
      <c r="BE53" s="114"/>
      <c r="BI53" s="20" t="s">
        <v>159</v>
      </c>
      <c r="BJ53" s="5">
        <v>0.86799999999999999</v>
      </c>
      <c r="BL53" s="4" t="s">
        <v>170</v>
      </c>
      <c r="BM53" s="5">
        <f>(BM51-AZ49)/2</f>
        <v>9.8425196850393637E-2</v>
      </c>
      <c r="BR53" s="5"/>
    </row>
    <row r="54" spans="46:70" ht="15.75" thickBot="1" x14ac:dyDescent="0.3">
      <c r="AT54" s="113"/>
      <c r="AU54" s="92"/>
      <c r="AV54" s="121"/>
      <c r="AW54" s="121"/>
      <c r="AX54" s="122"/>
      <c r="AY54" s="55"/>
      <c r="BD54" s="113"/>
      <c r="BE54" s="114"/>
      <c r="BI54" s="21" t="s">
        <v>160</v>
      </c>
      <c r="BJ54" s="7">
        <v>0.9</v>
      </c>
      <c r="BL54" s="4" t="s">
        <v>171</v>
      </c>
      <c r="BM54" s="1">
        <f>BM53/BM52</f>
        <v>0.39999999999999974</v>
      </c>
      <c r="BN54" s="35"/>
      <c r="BO54" s="35" t="s">
        <v>164</v>
      </c>
      <c r="BP54" s="3" t="s">
        <v>165</v>
      </c>
      <c r="BR54" s="5"/>
    </row>
    <row r="55" spans="46:70" x14ac:dyDescent="0.25">
      <c r="AT55" s="113"/>
      <c r="AU55" s="92"/>
      <c r="AV55" s="121"/>
      <c r="AW55" s="121"/>
      <c r="AX55" s="122"/>
      <c r="BD55" s="113"/>
      <c r="BE55" s="114"/>
      <c r="BL55" s="4" t="s">
        <v>164</v>
      </c>
      <c r="BM55" s="1">
        <f>BO55+BO56*(2*BM53/BM51)+BO57*(2*BM53/BM51)^2+BO58*(2*BM53/BM51)^3</f>
        <v>1.4092846031158224</v>
      </c>
      <c r="BN55" s="1" t="s">
        <v>172</v>
      </c>
      <c r="BO55" s="1">
        <f>IF(BM54&gt;=2,1.232+0.832*SQRT(BM54)-0.008*BM54,0.947+1.206*SQRT(BM54)-0.131*BM54)</f>
        <v>1.6573413716326129</v>
      </c>
      <c r="BP55" s="5">
        <f>0.905+0.783*SQRT(BM54)-0.075*BM54</f>
        <v>1.3702126815823681</v>
      </c>
      <c r="BR55" s="5"/>
    </row>
    <row r="56" spans="46:70" x14ac:dyDescent="0.25">
      <c r="AT56" s="113"/>
      <c r="AU56" s="92"/>
      <c r="AV56" s="121"/>
      <c r="AW56" s="121"/>
      <c r="AX56" s="122"/>
      <c r="BD56" s="113"/>
      <c r="BE56" s="114"/>
      <c r="BL56" s="4" t="s">
        <v>165</v>
      </c>
      <c r="BM56" s="1">
        <f>BP55+BP56*(2*BM53/BM51)+BP57*(2*BM53/BM51)^2+BP58*(2*BM53/BM51)^3</f>
        <v>1.1781215736126249</v>
      </c>
      <c r="BN56" s="1" t="s">
        <v>173</v>
      </c>
      <c r="BO56" s="1">
        <f>IF(BM54&gt;=2,-3.813+0.968*SQRT(BM54)-0.26*BM54,0.022-3.405*SQRT(BM54)+0.915*BM54)</f>
        <v>-1.7655110865746662</v>
      </c>
      <c r="BP56" s="5">
        <f>-0.437-1.969*SQRT(BM54)+0.553*BM54</f>
        <v>-1.4611049425743077</v>
      </c>
      <c r="BR56" s="5"/>
    </row>
    <row r="57" spans="46:70" x14ac:dyDescent="0.25">
      <c r="AT57" s="113"/>
      <c r="AU57" s="92"/>
      <c r="AV57" s="121"/>
      <c r="AW57" s="121"/>
      <c r="AX57" s="122"/>
      <c r="BD57" s="113"/>
      <c r="BE57" s="114"/>
      <c r="BL57" s="4" t="s">
        <v>176</v>
      </c>
      <c r="BM57" s="1">
        <v>0.55000000000000004</v>
      </c>
      <c r="BN57" s="1" t="s">
        <v>174</v>
      </c>
      <c r="BO57" s="1">
        <f>IF(BM54&lt;=2,0.869+1.777*SQRT(BM54)-0.555*BM54,7.423-4.868*SQRT(BM54)+0.869*BM54)</f>
        <v>1.7708734804238415</v>
      </c>
      <c r="BP57" s="5">
        <f>1.557+1.073*SQRT(BM54)-0.578*BM54</f>
        <v>2.0044247858721342</v>
      </c>
      <c r="BR57" s="5"/>
    </row>
    <row r="58" spans="46:70" ht="15.75" thickBot="1" x14ac:dyDescent="0.3">
      <c r="AT58" s="113"/>
      <c r="AU58" s="92"/>
      <c r="AV58" s="121"/>
      <c r="AW58" s="121"/>
      <c r="AX58" s="122"/>
      <c r="BD58" s="113"/>
      <c r="BE58" s="114"/>
      <c r="BL58" s="4" t="s">
        <v>177</v>
      </c>
      <c r="BM58" s="1">
        <v>0.72</v>
      </c>
      <c r="BN58" s="38" t="s">
        <v>175</v>
      </c>
      <c r="BO58" s="38">
        <f>IF(BM54&lt;=2,-0.81+0.422*SQRT(BM54)-0.26*BM54,-3.839+3.07*SQRT(BM54)-0.6*BM54)</f>
        <v>-0.64710376548178894</v>
      </c>
      <c r="BP58" s="7">
        <f>-1.061+0.171*SQRT(BM54)+0.086*BM54</f>
        <v>-0.91845010402224136</v>
      </c>
      <c r="BR58" s="5"/>
    </row>
    <row r="59" spans="46:70" x14ac:dyDescent="0.25">
      <c r="AT59" s="113"/>
      <c r="AU59" s="92"/>
      <c r="AV59" s="121"/>
      <c r="AW59" s="121"/>
      <c r="AX59" s="122"/>
      <c r="BD59" s="113"/>
      <c r="BE59" s="114"/>
      <c r="BL59" s="4" t="s">
        <v>166</v>
      </c>
      <c r="BM59" s="5">
        <f xml:space="preserve"> 1+(BM57*(BM55-1))</f>
        <v>1.2251065317137022</v>
      </c>
      <c r="BR59" s="5"/>
    </row>
    <row r="60" spans="46:70" ht="15.75" thickBot="1" x14ac:dyDescent="0.3">
      <c r="AT60" s="107"/>
      <c r="AU60" s="119"/>
      <c r="AV60" s="123"/>
      <c r="AW60" s="123"/>
      <c r="AX60" s="124"/>
      <c r="AY60" s="38"/>
      <c r="AZ60" s="38"/>
      <c r="BA60" s="38"/>
      <c r="BB60" s="38"/>
      <c r="BC60" s="38"/>
      <c r="BD60" s="107"/>
      <c r="BE60" s="108"/>
      <c r="BF60" s="38"/>
      <c r="BG60" s="38"/>
      <c r="BH60" s="38"/>
      <c r="BI60" s="38"/>
      <c r="BJ60" s="38"/>
      <c r="BK60" s="38"/>
      <c r="BL60" s="6" t="s">
        <v>167</v>
      </c>
      <c r="BM60" s="7">
        <f xml:space="preserve"> 1+(BM58*(BM56-1))</f>
        <v>1.1282475330010899</v>
      </c>
      <c r="BN60" s="38"/>
      <c r="BO60" s="38"/>
      <c r="BP60" s="38"/>
      <c r="BQ60" s="38"/>
      <c r="BR60" s="7"/>
    </row>
    <row r="61" spans="46:70" ht="15.75" thickBot="1" x14ac:dyDescent="0.3"/>
    <row r="62" spans="46:70" ht="15.75" thickBot="1" x14ac:dyDescent="0.3">
      <c r="AT62" s="117" t="s">
        <v>146</v>
      </c>
      <c r="AU62" s="125"/>
      <c r="AV62" s="125" t="s">
        <v>147</v>
      </c>
      <c r="AW62" s="125"/>
      <c r="AX62" s="118"/>
      <c r="AY62" s="65" t="s">
        <v>183</v>
      </c>
      <c r="AZ62" s="65" t="s">
        <v>149</v>
      </c>
      <c r="BA62" s="65" t="s">
        <v>150</v>
      </c>
      <c r="BB62" s="65" t="s">
        <v>151</v>
      </c>
      <c r="BC62" s="65" t="s">
        <v>152</v>
      </c>
      <c r="BD62" s="117" t="s">
        <v>21</v>
      </c>
      <c r="BE62" s="118"/>
      <c r="BF62" s="65" t="s">
        <v>135</v>
      </c>
      <c r="BG62" s="65" t="s">
        <v>134</v>
      </c>
      <c r="BH62" s="65" t="s">
        <v>137</v>
      </c>
      <c r="BI62" s="117" t="s">
        <v>154</v>
      </c>
      <c r="BJ62" s="118"/>
      <c r="BK62" s="65" t="s">
        <v>136</v>
      </c>
      <c r="BL62" s="117" t="s">
        <v>161</v>
      </c>
      <c r="BM62" s="118"/>
      <c r="BN62" s="65" t="s">
        <v>178</v>
      </c>
      <c r="BO62" s="65" t="s">
        <v>179</v>
      </c>
      <c r="BP62" s="64" t="s">
        <v>180</v>
      </c>
      <c r="BQ62" s="65" t="s">
        <v>181</v>
      </c>
      <c r="BR62" s="66" t="s">
        <v>182</v>
      </c>
    </row>
    <row r="63" spans="46:70" ht="15.75" thickBot="1" x14ac:dyDescent="0.3">
      <c r="AT63" s="113" t="s">
        <v>190</v>
      </c>
      <c r="AU63" s="92"/>
      <c r="AV63" s="121" t="s">
        <v>191</v>
      </c>
      <c r="AW63" s="121"/>
      <c r="AX63" s="122"/>
      <c r="AY63" s="55">
        <v>1.5</v>
      </c>
      <c r="AZ63" s="1">
        <f>BA63/25.4</f>
        <v>0.78740157480314965</v>
      </c>
      <c r="BA63" s="1">
        <f>BW9*2000</f>
        <v>20</v>
      </c>
      <c r="BB63" s="1">
        <v>0</v>
      </c>
      <c r="BC63" s="1">
        <f>BC49</f>
        <v>11.509393916753643</v>
      </c>
      <c r="BD63" s="102" t="s">
        <v>184</v>
      </c>
      <c r="BE63" s="103"/>
      <c r="BF63" s="1">
        <v>6000</v>
      </c>
      <c r="BG63" s="1">
        <v>16000</v>
      </c>
      <c r="BH63" s="1">
        <v>7000</v>
      </c>
      <c r="BI63" s="19" t="s">
        <v>155</v>
      </c>
      <c r="BJ63" s="5">
        <f>2.7*(BG63/1000)^(-0.265)</f>
        <v>1.2950065610891071</v>
      </c>
      <c r="BK63" s="1">
        <f>BH63*BJ63*BJ64*BJ65*BJ66*BJ67*BJ68</f>
        <v>6386.9161673459012</v>
      </c>
      <c r="BL63" s="2" t="s">
        <v>162</v>
      </c>
      <c r="BM63" s="3">
        <f>BZ17</f>
        <v>7.0000000000000007E-2</v>
      </c>
      <c r="BN63" s="1">
        <f>BM73*32*BB63/(PI()*POWER(AZ63,3))</f>
        <v>0</v>
      </c>
      <c r="BO63" s="1">
        <f>BM74*16*BC63/(PI()*POWER(AZ63,3))</f>
        <v>161.06267296343668</v>
      </c>
      <c r="BP63" s="56">
        <f>1/((BN63/BK63)+(BO63/BG63))</f>
        <v>99.340211518979373</v>
      </c>
      <c r="BQ63" s="57">
        <f>SQRT(1/((BN63/BK63)^2+(BO63/BF63)^2))</f>
        <v>37.252579319617269</v>
      </c>
      <c r="BR63" s="34">
        <f>BF63/(BN63+BO63)</f>
        <v>37.252579319617261</v>
      </c>
    </row>
    <row r="64" spans="46:70" x14ac:dyDescent="0.25">
      <c r="AT64" s="113"/>
      <c r="AU64" s="92"/>
      <c r="AV64" s="121"/>
      <c r="AW64" s="121"/>
      <c r="AX64" s="122"/>
      <c r="AY64" s="55"/>
      <c r="BD64" s="113"/>
      <c r="BE64" s="114"/>
      <c r="BI64" s="20" t="s">
        <v>156</v>
      </c>
      <c r="BJ64" s="5">
        <f>IF(AND(AZ63&lt;=2,AZ63&gt;=0.11),POWER(AZ63/0.3,-0.107),0.91*POWER(AZ63,-0.157))</f>
        <v>0.90190121585035421</v>
      </c>
      <c r="BL64" s="4" t="s">
        <v>163</v>
      </c>
      <c r="BM64" s="5">
        <f>BY9</f>
        <v>1.25</v>
      </c>
      <c r="BR64" s="5"/>
    </row>
    <row r="65" spans="46:70" x14ac:dyDescent="0.25">
      <c r="AT65" s="113"/>
      <c r="AU65" s="92"/>
      <c r="AV65" s="121"/>
      <c r="AW65" s="121"/>
      <c r="AX65" s="122"/>
      <c r="AY65" s="55"/>
      <c r="BD65" s="113"/>
      <c r="BE65" s="114"/>
      <c r="BI65" s="20" t="s">
        <v>157</v>
      </c>
      <c r="BJ65" s="5">
        <v>1</v>
      </c>
      <c r="BL65" s="4" t="s">
        <v>168</v>
      </c>
      <c r="BM65" s="5">
        <f>AZ63*BM64</f>
        <v>0.98425196850393704</v>
      </c>
      <c r="BR65" s="5"/>
    </row>
    <row r="66" spans="46:70" x14ac:dyDescent="0.25">
      <c r="AT66" s="113"/>
      <c r="AU66" s="92"/>
      <c r="AV66" s="121"/>
      <c r="AW66" s="121"/>
      <c r="AX66" s="122"/>
      <c r="AY66" s="55"/>
      <c r="BD66" s="113"/>
      <c r="BE66" s="114"/>
      <c r="BI66" s="20" t="s">
        <v>158</v>
      </c>
      <c r="BJ66" s="5">
        <v>1</v>
      </c>
      <c r="BL66" s="4" t="s">
        <v>169</v>
      </c>
      <c r="BM66" s="5">
        <f>BM63*AZ63</f>
        <v>5.5118110236220479E-2</v>
      </c>
      <c r="BR66" s="5"/>
    </row>
    <row r="67" spans="46:70" ht="15.75" thickBot="1" x14ac:dyDescent="0.3">
      <c r="AT67" s="113"/>
      <c r="AU67" s="92"/>
      <c r="AV67" s="121"/>
      <c r="AW67" s="121"/>
      <c r="AX67" s="122"/>
      <c r="AY67" s="55"/>
      <c r="BD67" s="113"/>
      <c r="BE67" s="114"/>
      <c r="BI67" s="20" t="s">
        <v>159</v>
      </c>
      <c r="BJ67" s="5">
        <v>0.86799999999999999</v>
      </c>
      <c r="BL67" s="4" t="s">
        <v>170</v>
      </c>
      <c r="BM67" s="5">
        <f>(BM65-AZ63)/2</f>
        <v>9.8425196850393692E-2</v>
      </c>
      <c r="BR67" s="5"/>
    </row>
    <row r="68" spans="46:70" ht="15.75" thickBot="1" x14ac:dyDescent="0.3">
      <c r="AT68" s="113"/>
      <c r="AU68" s="92"/>
      <c r="AV68" s="121"/>
      <c r="AW68" s="121"/>
      <c r="AX68" s="122"/>
      <c r="AY68" s="55"/>
      <c r="BD68" s="113"/>
      <c r="BE68" s="114"/>
      <c r="BI68" s="21" t="s">
        <v>160</v>
      </c>
      <c r="BJ68" s="7">
        <v>0.9</v>
      </c>
      <c r="BL68" s="4" t="s">
        <v>171</v>
      </c>
      <c r="BM68" s="1">
        <f>BM67/BM66</f>
        <v>1.7857142857142854</v>
      </c>
      <c r="BN68" s="35"/>
      <c r="BO68" s="35" t="s">
        <v>164</v>
      </c>
      <c r="BP68" s="3" t="s">
        <v>165</v>
      </c>
      <c r="BR68" s="5"/>
    </row>
    <row r="69" spans="46:70" x14ac:dyDescent="0.25">
      <c r="AT69" s="113"/>
      <c r="AU69" s="92"/>
      <c r="AV69" s="121"/>
      <c r="AW69" s="121"/>
      <c r="AX69" s="122"/>
      <c r="BD69" s="113"/>
      <c r="BE69" s="114"/>
      <c r="BL69" s="4" t="s">
        <v>164</v>
      </c>
      <c r="BM69" s="1">
        <f>BO69+BO70*(2*BM67/BM65)+BO71*(2*BM67/BM65)^2+BO72*(2*BM67/BM65)^3</f>
        <v>1.8302367751592712</v>
      </c>
      <c r="BN69" s="1" t="s">
        <v>172</v>
      </c>
      <c r="BO69" s="1">
        <f>IF(BM68&gt;=2,1.232+0.832*SQRT(BM68)-0.008*BM68,0.947+1.206*SQRT(BM68)-0.131*BM68)</f>
        <v>2.3246567173033474</v>
      </c>
      <c r="BP69" s="5">
        <f>0.905+0.783*SQRT(BM68)-0.075*BM68</f>
        <v>1.81739919065857</v>
      </c>
      <c r="BR69" s="5"/>
    </row>
    <row r="70" spans="46:70" x14ac:dyDescent="0.25">
      <c r="AT70" s="113"/>
      <c r="AU70" s="92"/>
      <c r="AV70" s="121"/>
      <c r="AW70" s="121"/>
      <c r="AX70" s="122"/>
      <c r="BD70" s="113"/>
      <c r="BE70" s="114"/>
      <c r="BL70" s="4" t="s">
        <v>165</v>
      </c>
      <c r="BM70" s="1">
        <f>BP69+BP70*(2*BM67/BM65)+BP71*(2*BM67/BM65)^2+BP72*(2*BM67/BM65)^3</f>
        <v>1.4741789918849508</v>
      </c>
      <c r="BN70" s="1" t="s">
        <v>173</v>
      </c>
      <c r="BO70" s="1">
        <f>IF(BM68&gt;=2,-3.813+0.968*SQRT(BM68)-0.26*BM68,0.022-3.405*SQRT(BM68)+0.915*BM68)</f>
        <v>-2.8941940721304533</v>
      </c>
      <c r="BP70" s="5">
        <f>-0.437-1.969*SQRT(BM68)+0.553*BM68</f>
        <v>-2.0806869266278181</v>
      </c>
      <c r="BR70" s="5"/>
    </row>
    <row r="71" spans="46:70" x14ac:dyDescent="0.25">
      <c r="AT71" s="113"/>
      <c r="AU71" s="92"/>
      <c r="AV71" s="121"/>
      <c r="AW71" s="121"/>
      <c r="AX71" s="122"/>
      <c r="BD71" s="113"/>
      <c r="BE71" s="114"/>
      <c r="BL71" s="4" t="s">
        <v>176</v>
      </c>
      <c r="BM71" s="1">
        <v>0.55000000000000004</v>
      </c>
      <c r="BN71" s="1" t="s">
        <v>174</v>
      </c>
      <c r="BO71" s="1">
        <f>IF(BM68&lt;=2,0.869+1.777*SQRT(BM68)-0.555*BM68,7.423-4.868*SQRT(BM68)+0.869*BM68)</f>
        <v>2.2525447058204624</v>
      </c>
      <c r="BP71" s="5">
        <f>1.557+1.073*SQRT(BM68)-0.578*BM68</f>
        <v>1.9587137057172999</v>
      </c>
      <c r="BR71" s="5"/>
    </row>
    <row r="72" spans="46:70" ht="15.75" thickBot="1" x14ac:dyDescent="0.3">
      <c r="AT72" s="113"/>
      <c r="AU72" s="92"/>
      <c r="AV72" s="121"/>
      <c r="AW72" s="121"/>
      <c r="AX72" s="122"/>
      <c r="BD72" s="113"/>
      <c r="BE72" s="114"/>
      <c r="BL72" s="4" t="s">
        <v>177</v>
      </c>
      <c r="BM72" s="1">
        <v>0.72</v>
      </c>
      <c r="BN72" s="38" t="s">
        <v>175</v>
      </c>
      <c r="BO72" s="38">
        <f>IF(BM68&lt;=2,-0.81+0.422*SQRT(BM68)-0.26*BM68,-3.839+3.07*SQRT(BM68)-0.6*BM68)</f>
        <v>-0.71036449385049882</v>
      </c>
      <c r="BP72" s="7">
        <f>-1.061+0.171*SQRT(BM68)+0.086*BM68</f>
        <v>-0.67892020959344856</v>
      </c>
      <c r="BR72" s="5"/>
    </row>
    <row r="73" spans="46:70" x14ac:dyDescent="0.25">
      <c r="AT73" s="113"/>
      <c r="AU73" s="92"/>
      <c r="AV73" s="121"/>
      <c r="AW73" s="121"/>
      <c r="AX73" s="122"/>
      <c r="BD73" s="113"/>
      <c r="BE73" s="114"/>
      <c r="BL73" s="4" t="s">
        <v>166</v>
      </c>
      <c r="BM73" s="5">
        <f xml:space="preserve"> 1+(BM71*(BM69-1))</f>
        <v>1.4566302263375992</v>
      </c>
      <c r="BR73" s="5"/>
    </row>
    <row r="74" spans="46:70" ht="15.75" thickBot="1" x14ac:dyDescent="0.3">
      <c r="AT74" s="107"/>
      <c r="AU74" s="119"/>
      <c r="AV74" s="123"/>
      <c r="AW74" s="123"/>
      <c r="AX74" s="124"/>
      <c r="AY74" s="38"/>
      <c r="AZ74" s="38"/>
      <c r="BA74" s="38"/>
      <c r="BB74" s="38"/>
      <c r="BC74" s="38"/>
      <c r="BD74" s="107"/>
      <c r="BE74" s="108"/>
      <c r="BF74" s="38"/>
      <c r="BG74" s="38"/>
      <c r="BH74" s="38"/>
      <c r="BI74" s="38"/>
      <c r="BJ74" s="38"/>
      <c r="BK74" s="38"/>
      <c r="BL74" s="6" t="s">
        <v>167</v>
      </c>
      <c r="BM74" s="7">
        <f xml:space="preserve"> 1+(BM72*(BM70-1))</f>
        <v>1.3414088741571646</v>
      </c>
      <c r="BN74" s="38"/>
      <c r="BO74" s="38"/>
      <c r="BP74" s="38"/>
      <c r="BQ74" s="38"/>
      <c r="BR74" s="7"/>
    </row>
    <row r="75" spans="46:70" ht="15.75" thickBot="1" x14ac:dyDescent="0.3">
      <c r="AT75" s="117" t="s">
        <v>146</v>
      </c>
      <c r="AU75" s="125"/>
      <c r="AV75" s="125" t="s">
        <v>147</v>
      </c>
      <c r="AW75" s="125"/>
      <c r="AX75" s="118"/>
      <c r="AY75" s="65" t="s">
        <v>183</v>
      </c>
      <c r="AZ75" s="65" t="s">
        <v>149</v>
      </c>
      <c r="BA75" s="65" t="s">
        <v>150</v>
      </c>
      <c r="BB75" s="65" t="s">
        <v>151</v>
      </c>
      <c r="BC75" s="65" t="s">
        <v>152</v>
      </c>
      <c r="BD75" s="117" t="s">
        <v>21</v>
      </c>
      <c r="BE75" s="118"/>
      <c r="BF75" s="65" t="s">
        <v>135</v>
      </c>
      <c r="BG75" s="65" t="s">
        <v>134</v>
      </c>
      <c r="BH75" s="65" t="s">
        <v>137</v>
      </c>
      <c r="BI75" s="117" t="s">
        <v>154</v>
      </c>
      <c r="BJ75" s="118"/>
      <c r="BK75" s="65" t="s">
        <v>136</v>
      </c>
      <c r="BL75" s="117" t="s">
        <v>161</v>
      </c>
      <c r="BM75" s="118"/>
      <c r="BN75" s="65" t="s">
        <v>178</v>
      </c>
      <c r="BO75" s="65" t="s">
        <v>179</v>
      </c>
      <c r="BP75" s="64" t="s">
        <v>180</v>
      </c>
      <c r="BQ75" s="65" t="s">
        <v>181</v>
      </c>
      <c r="BR75" s="66" t="s">
        <v>182</v>
      </c>
    </row>
    <row r="76" spans="46:70" ht="15.75" thickBot="1" x14ac:dyDescent="0.3">
      <c r="AT76" s="113" t="s">
        <v>190</v>
      </c>
      <c r="AU76" s="92"/>
      <c r="AV76" s="121" t="s">
        <v>192</v>
      </c>
      <c r="AW76" s="121"/>
      <c r="AX76" s="122"/>
      <c r="AY76" s="55">
        <v>1.5</v>
      </c>
      <c r="AZ76" s="1">
        <f>BA76/25.4</f>
        <v>0.98425196850393704</v>
      </c>
      <c r="BA76" s="1">
        <f>BW11*2000</f>
        <v>25</v>
      </c>
      <c r="BB76" s="1">
        <v>14.33001514268577</v>
      </c>
      <c r="BC76" s="1">
        <v>11.509393916753643</v>
      </c>
      <c r="BD76" s="102" t="s">
        <v>184</v>
      </c>
      <c r="BE76" s="103"/>
      <c r="BF76" s="1">
        <v>6000</v>
      </c>
      <c r="BG76" s="1">
        <v>16000</v>
      </c>
      <c r="BH76" s="1">
        <v>7000</v>
      </c>
      <c r="BI76" s="19" t="s">
        <v>155</v>
      </c>
      <c r="BJ76" s="5">
        <f>2.7*(BG76/1000)^(-0.265)</f>
        <v>1.2950065610891071</v>
      </c>
      <c r="BK76" s="1">
        <f>BH76*BJ76*BJ77*BJ78*BJ79*BJ80*BJ81</f>
        <v>6236.2259829764216</v>
      </c>
      <c r="BL76" s="2" t="s">
        <v>162</v>
      </c>
      <c r="BM76" s="3">
        <f>BZ18</f>
        <v>0.02</v>
      </c>
      <c r="BN76" s="1">
        <f>BM86*32*BB76/(PI()*POWER(AZ76,3))</f>
        <v>299.25872361903583</v>
      </c>
      <c r="BO76" s="1">
        <f>BM87*16*BC76/(PI()*POWER(AZ76,3))</f>
        <v>109.27527585341987</v>
      </c>
      <c r="BP76" s="56">
        <f>1/((BN76/BK76)+(BO76/BG76))</f>
        <v>18.242563711472581</v>
      </c>
      <c r="BQ76" s="57">
        <f>SQRT(1/((BN76/BK76)^2+(BO76/BF76)^2))</f>
        <v>19.48291341596612</v>
      </c>
      <c r="BR76" s="34">
        <f>BF76/(BN76+BO76)</f>
        <v>14.686660125590192</v>
      </c>
    </row>
    <row r="77" spans="46:70" x14ac:dyDescent="0.25">
      <c r="AT77" s="113"/>
      <c r="AU77" s="92"/>
      <c r="AV77" s="121"/>
      <c r="AW77" s="121"/>
      <c r="AX77" s="122"/>
      <c r="AY77" s="55"/>
      <c r="BD77" s="113"/>
      <c r="BE77" s="114"/>
      <c r="BI77" s="20" t="s">
        <v>156</v>
      </c>
      <c r="BJ77" s="5">
        <f>IF(AND(AZ76&lt;=2,AZ76&gt;=0.11),POWER(AZ76/0.3,-0.107),0.91*POWER(AZ76,-0.157))</f>
        <v>0.88062214204719436</v>
      </c>
      <c r="BL77" s="4" t="s">
        <v>163</v>
      </c>
      <c r="BM77" s="5">
        <f>BY11</f>
        <v>1.28</v>
      </c>
      <c r="BR77" s="5"/>
    </row>
    <row r="78" spans="46:70" x14ac:dyDescent="0.25">
      <c r="AT78" s="113"/>
      <c r="AU78" s="92"/>
      <c r="AV78" s="121"/>
      <c r="AW78" s="121"/>
      <c r="AX78" s="122"/>
      <c r="AY78" s="55"/>
      <c r="BD78" s="113"/>
      <c r="BE78" s="114"/>
      <c r="BI78" s="20" t="s">
        <v>157</v>
      </c>
      <c r="BJ78" s="5">
        <v>1</v>
      </c>
      <c r="BL78" s="4" t="s">
        <v>168</v>
      </c>
      <c r="BM78" s="5">
        <f>AZ76*BM77</f>
        <v>1.2598425196850394</v>
      </c>
      <c r="BR78" s="5"/>
    </row>
    <row r="79" spans="46:70" x14ac:dyDescent="0.25">
      <c r="AT79" s="113"/>
      <c r="AU79" s="92"/>
      <c r="AV79" s="121"/>
      <c r="AW79" s="121"/>
      <c r="AX79" s="122"/>
      <c r="AY79" s="55"/>
      <c r="BD79" s="113"/>
      <c r="BE79" s="114"/>
      <c r="BI79" s="20" t="s">
        <v>158</v>
      </c>
      <c r="BJ79" s="5">
        <v>1</v>
      </c>
      <c r="BL79" s="4" t="s">
        <v>169</v>
      </c>
      <c r="BM79" s="5">
        <f>BM76*AZ76</f>
        <v>1.968503937007874E-2</v>
      </c>
      <c r="BR79" s="5"/>
    </row>
    <row r="80" spans="46:70" ht="15.75" thickBot="1" x14ac:dyDescent="0.3">
      <c r="AT80" s="113"/>
      <c r="AU80" s="92"/>
      <c r="AV80" s="121"/>
      <c r="AW80" s="121"/>
      <c r="AX80" s="122"/>
      <c r="AY80" s="55"/>
      <c r="BD80" s="113"/>
      <c r="BE80" s="114"/>
      <c r="BI80" s="20" t="s">
        <v>159</v>
      </c>
      <c r="BJ80" s="5">
        <v>0.86799999999999999</v>
      </c>
      <c r="BL80" s="4" t="s">
        <v>170</v>
      </c>
      <c r="BM80" s="5">
        <f>(BM78-AZ76)/2</f>
        <v>0.13779527559055116</v>
      </c>
      <c r="BR80" s="5"/>
    </row>
    <row r="81" spans="46:70" ht="15.75" thickBot="1" x14ac:dyDescent="0.3">
      <c r="AT81" s="113"/>
      <c r="AU81" s="92"/>
      <c r="AV81" s="121"/>
      <c r="AW81" s="121"/>
      <c r="AX81" s="122"/>
      <c r="AY81" s="55"/>
      <c r="BD81" s="113"/>
      <c r="BE81" s="114"/>
      <c r="BI81" s="21" t="s">
        <v>160</v>
      </c>
      <c r="BJ81" s="7">
        <v>0.9</v>
      </c>
      <c r="BL81" s="4" t="s">
        <v>171</v>
      </c>
      <c r="BM81" s="1">
        <f>BM80/BM79</f>
        <v>6.9999999999999991</v>
      </c>
      <c r="BN81" s="35"/>
      <c r="BO81" s="35" t="s">
        <v>164</v>
      </c>
      <c r="BP81" s="3" t="s">
        <v>165</v>
      </c>
      <c r="BR81" s="5"/>
    </row>
    <row r="82" spans="46:70" x14ac:dyDescent="0.25">
      <c r="AT82" s="113"/>
      <c r="AU82" s="92"/>
      <c r="AV82" s="121"/>
      <c r="AW82" s="121"/>
      <c r="AX82" s="122"/>
      <c r="BD82" s="113"/>
      <c r="BE82" s="114"/>
      <c r="BL82" s="4" t="s">
        <v>164</v>
      </c>
      <c r="BM82" s="1">
        <f>BO82+BO83*(2*BM80/BM78)+BO84*(2*BM80/BM78)^2+BO85*(2*BM80/BM78)^3</f>
        <v>2.7361359366816207</v>
      </c>
      <c r="BN82" s="1" t="s">
        <v>172</v>
      </c>
      <c r="BO82" s="1">
        <f>IF(BM81&gt;=2,1.232+0.832*SQRT(BM81)-0.008*BM81,0.947+1.206*SQRT(BM81)-0.131*BM81)</f>
        <v>3.3772650908057393</v>
      </c>
      <c r="BP82" s="5">
        <f>0.905+0.783*SQRT(BM81)-0.075*BM81</f>
        <v>2.4516232765635748</v>
      </c>
      <c r="BR82" s="5"/>
    </row>
    <row r="83" spans="46:70" x14ac:dyDescent="0.25">
      <c r="AT83" s="113"/>
      <c r="AU83" s="92"/>
      <c r="AV83" s="121"/>
      <c r="AW83" s="121"/>
      <c r="AX83" s="122"/>
      <c r="BD83" s="113"/>
      <c r="BE83" s="114"/>
      <c r="BL83" s="4" t="s">
        <v>165</v>
      </c>
      <c r="BM83" s="1">
        <f>BP82+BP83*(2*BM80/BM78)+BP84*(2*BM80/BM78)^2+BP85*(2*BM80/BM78)^3</f>
        <v>2.0799100776308941</v>
      </c>
      <c r="BN83" s="1" t="s">
        <v>173</v>
      </c>
      <c r="BO83" s="1">
        <f>IF(BM81&gt;=2,-3.813+0.968*SQRT(BM81)-0.26*BM81,0.022-3.405*SQRT(BM81)+0.915*BM81)</f>
        <v>-3.0719127308894767</v>
      </c>
      <c r="BP83" s="5">
        <f>-0.437-1.969*SQRT(BM81)+0.553*BM81</f>
        <v>-1.775484331486179</v>
      </c>
      <c r="BR83" s="5"/>
    </row>
    <row r="84" spans="46:70" x14ac:dyDescent="0.25">
      <c r="AT84" s="113"/>
      <c r="AU84" s="92"/>
      <c r="AV84" s="121"/>
      <c r="AW84" s="121"/>
      <c r="AX84" s="122"/>
      <c r="BD84" s="113"/>
      <c r="BE84" s="114"/>
      <c r="BL84" s="4" t="s">
        <v>176</v>
      </c>
      <c r="BM84" s="1">
        <v>0.55000000000000004</v>
      </c>
      <c r="BN84" s="1" t="s">
        <v>174</v>
      </c>
      <c r="BO84" s="1">
        <f>IF(BM81&lt;=2,0.869+1.777*SQRT(BM81)-0.555*BM81,7.423-4.868*SQRT(BM81)+0.869*BM81)</f>
        <v>0.6264826177375733</v>
      </c>
      <c r="BP84" s="5">
        <f>1.557+1.073*SQRT(BM81)-0.578*BM81</f>
        <v>0.34989115677230576</v>
      </c>
      <c r="BR84" s="5"/>
    </row>
    <row r="85" spans="46:70" ht="15.75" thickBot="1" x14ac:dyDescent="0.3">
      <c r="AT85" s="113"/>
      <c r="AU85" s="92"/>
      <c r="AV85" s="121"/>
      <c r="AW85" s="121"/>
      <c r="AX85" s="122"/>
      <c r="BD85" s="113"/>
      <c r="BE85" s="114"/>
      <c r="BL85" s="4" t="s">
        <v>177</v>
      </c>
      <c r="BM85" s="1">
        <v>0.72</v>
      </c>
      <c r="BN85" s="38" t="s">
        <v>175</v>
      </c>
      <c r="BO85" s="38">
        <f>IF(BM81&lt;=2,-0.81+0.422*SQRT(BM81)-0.26*BM81,-3.839+3.07*SQRT(BM81)-0.6*BM81)</f>
        <v>8.3456524968292811E-2</v>
      </c>
      <c r="BP85" s="7">
        <f>-1.061+0.171*SQRT(BM81)+0.086*BM81</f>
        <v>-6.5765258079550915E-3</v>
      </c>
      <c r="BR85" s="5"/>
    </row>
    <row r="86" spans="46:70" x14ac:dyDescent="0.25">
      <c r="AT86" s="113"/>
      <c r="AU86" s="92"/>
      <c r="AV86" s="121"/>
      <c r="AW86" s="121"/>
      <c r="AX86" s="122"/>
      <c r="BD86" s="113"/>
      <c r="BE86" s="114"/>
      <c r="BL86" s="4" t="s">
        <v>166</v>
      </c>
      <c r="BM86" s="5">
        <f xml:space="preserve"> 1+(BM84*(BM82-1))</f>
        <v>1.9548747651748914</v>
      </c>
      <c r="BR86" s="5"/>
    </row>
    <row r="87" spans="46:70" ht="15.75" thickBot="1" x14ac:dyDescent="0.3">
      <c r="AT87" s="107"/>
      <c r="AU87" s="119"/>
      <c r="AV87" s="123"/>
      <c r="AW87" s="123"/>
      <c r="AX87" s="124"/>
      <c r="AY87" s="38"/>
      <c r="AZ87" s="38"/>
      <c r="BA87" s="38"/>
      <c r="BB87" s="38"/>
      <c r="BC87" s="38"/>
      <c r="BD87" s="107"/>
      <c r="BE87" s="108"/>
      <c r="BF87" s="38"/>
      <c r="BG87" s="38"/>
      <c r="BH87" s="38"/>
      <c r="BI87" s="38"/>
      <c r="BJ87" s="38"/>
      <c r="BK87" s="38"/>
      <c r="BL87" s="6" t="s">
        <v>167</v>
      </c>
      <c r="BM87" s="7">
        <f xml:space="preserve"> 1+(BM85*(BM83-1))</f>
        <v>1.7775352558942437</v>
      </c>
      <c r="BN87" s="38"/>
      <c r="BO87" s="38"/>
      <c r="BP87" s="38"/>
      <c r="BQ87" s="38"/>
      <c r="BR87" s="7"/>
    </row>
    <row r="88" spans="46:70" ht="15.75" thickBot="1" x14ac:dyDescent="0.3">
      <c r="AT88" s="117" t="s">
        <v>146</v>
      </c>
      <c r="AU88" s="125"/>
      <c r="AV88" s="125" t="s">
        <v>147</v>
      </c>
      <c r="AW88" s="125"/>
      <c r="AX88" s="118"/>
      <c r="AY88" s="65" t="s">
        <v>183</v>
      </c>
      <c r="AZ88" s="65" t="s">
        <v>149</v>
      </c>
      <c r="BA88" s="65" t="s">
        <v>150</v>
      </c>
      <c r="BB88" s="65" t="s">
        <v>151</v>
      </c>
      <c r="BC88" s="65" t="s">
        <v>152</v>
      </c>
      <c r="BD88" s="117" t="s">
        <v>21</v>
      </c>
      <c r="BE88" s="118"/>
      <c r="BF88" s="65" t="s">
        <v>135</v>
      </c>
      <c r="BG88" s="65" t="s">
        <v>134</v>
      </c>
      <c r="BH88" s="65" t="s">
        <v>137</v>
      </c>
      <c r="BI88" s="117" t="s">
        <v>154</v>
      </c>
      <c r="BJ88" s="118"/>
      <c r="BK88" s="65" t="s">
        <v>136</v>
      </c>
      <c r="BL88" s="117" t="s">
        <v>161</v>
      </c>
      <c r="BM88" s="118"/>
      <c r="BN88" s="65" t="s">
        <v>178</v>
      </c>
      <c r="BO88" s="65" t="s">
        <v>179</v>
      </c>
      <c r="BP88" s="64" t="s">
        <v>180</v>
      </c>
      <c r="BQ88" s="65" t="s">
        <v>181</v>
      </c>
      <c r="BR88" s="66" t="s">
        <v>182</v>
      </c>
    </row>
    <row r="89" spans="46:70" ht="15.75" thickBot="1" x14ac:dyDescent="0.3">
      <c r="AT89" s="113" t="s">
        <v>190</v>
      </c>
      <c r="AU89" s="92"/>
      <c r="AV89" s="121" t="s">
        <v>193</v>
      </c>
      <c r="AW89" s="121"/>
      <c r="AX89" s="122"/>
      <c r="AY89" s="55">
        <v>1.5</v>
      </c>
      <c r="AZ89" s="1">
        <f>BA89/25.4</f>
        <v>0.98425196850393704</v>
      </c>
      <c r="BA89" s="1">
        <f>BW15*2000</f>
        <v>25</v>
      </c>
      <c r="BB89" s="1">
        <v>7.7164986466055501</v>
      </c>
      <c r="BC89" s="1">
        <v>11.509393916753643</v>
      </c>
      <c r="BD89" s="102" t="s">
        <v>184</v>
      </c>
      <c r="BE89" s="103"/>
      <c r="BF89" s="1">
        <v>6000</v>
      </c>
      <c r="BG89" s="1">
        <v>16000</v>
      </c>
      <c r="BH89" s="1">
        <v>7000</v>
      </c>
      <c r="BI89" s="19" t="s">
        <v>155</v>
      </c>
      <c r="BJ89" s="5">
        <f>2.7*(BG89/1000)^(-0.265)</f>
        <v>1.2950065610891071</v>
      </c>
      <c r="BK89" s="1">
        <f>BH89*BJ89*BJ90*BJ91*BJ92*BJ93*BJ94</f>
        <v>6236.2259829764216</v>
      </c>
      <c r="BL89" s="2" t="s">
        <v>162</v>
      </c>
      <c r="BM89" s="3">
        <f>BZ18</f>
        <v>0.02</v>
      </c>
      <c r="BN89" s="1">
        <f>BM99*32*BB89/(PI()*POWER(AZ89,3))</f>
        <v>161.14634302880381</v>
      </c>
      <c r="BO89" s="1">
        <f>BM100*16*BC89/(PI()*POWER(AZ89,3))</f>
        <v>109.27527585341987</v>
      </c>
      <c r="BP89" s="56">
        <f>1/((BN89/BK89)+(BO89/BG89))</f>
        <v>30.609058068940811</v>
      </c>
      <c r="BQ89" s="57">
        <f>SQRT(1/((BN89/BK89)^2+(BO89/BF89)^2))</f>
        <v>31.63193236804732</v>
      </c>
      <c r="BR89" s="34">
        <f>BF89/(BN89+BO89)</f>
        <v>22.187575182785849</v>
      </c>
    </row>
    <row r="90" spans="46:70" x14ac:dyDescent="0.25">
      <c r="AT90" s="113"/>
      <c r="AU90" s="92"/>
      <c r="AV90" s="121"/>
      <c r="AW90" s="121"/>
      <c r="AX90" s="122"/>
      <c r="AY90" s="55"/>
      <c r="BD90" s="113"/>
      <c r="BE90" s="114"/>
      <c r="BI90" s="20" t="s">
        <v>156</v>
      </c>
      <c r="BJ90" s="5">
        <f>IF(AND(AZ89&lt;=2,AZ89&gt;=0.11),POWER(AZ89/0.3,-0.107),0.91*POWER(AZ89,-0.157))</f>
        <v>0.88062214204719436</v>
      </c>
      <c r="BL90" s="4" t="s">
        <v>163</v>
      </c>
      <c r="BM90" s="5">
        <f>BY13</f>
        <v>1.28</v>
      </c>
      <c r="BR90" s="5"/>
    </row>
    <row r="91" spans="46:70" x14ac:dyDescent="0.25">
      <c r="AT91" s="113"/>
      <c r="AU91" s="92"/>
      <c r="AV91" s="121"/>
      <c r="AW91" s="121"/>
      <c r="AX91" s="122"/>
      <c r="AY91" s="55"/>
      <c r="BD91" s="113"/>
      <c r="BE91" s="114"/>
      <c r="BI91" s="20" t="s">
        <v>157</v>
      </c>
      <c r="BJ91" s="5">
        <v>1</v>
      </c>
      <c r="BL91" s="4" t="s">
        <v>168</v>
      </c>
      <c r="BM91" s="5">
        <f>AZ89*BM90</f>
        <v>1.2598425196850394</v>
      </c>
      <c r="BR91" s="5"/>
    </row>
    <row r="92" spans="46:70" x14ac:dyDescent="0.25">
      <c r="AT92" s="113"/>
      <c r="AU92" s="92"/>
      <c r="AV92" s="121"/>
      <c r="AW92" s="121"/>
      <c r="AX92" s="122"/>
      <c r="AY92" s="55"/>
      <c r="BD92" s="113"/>
      <c r="BE92" s="114"/>
      <c r="BI92" s="20" t="s">
        <v>158</v>
      </c>
      <c r="BJ92" s="5">
        <v>1</v>
      </c>
      <c r="BL92" s="4" t="s">
        <v>169</v>
      </c>
      <c r="BM92" s="5">
        <f>BM89*AZ89</f>
        <v>1.968503937007874E-2</v>
      </c>
      <c r="BR92" s="5"/>
    </row>
    <row r="93" spans="46:70" ht="15.75" thickBot="1" x14ac:dyDescent="0.3">
      <c r="AT93" s="113"/>
      <c r="AU93" s="92"/>
      <c r="AV93" s="121"/>
      <c r="AW93" s="121"/>
      <c r="AX93" s="122"/>
      <c r="AY93" s="55"/>
      <c r="BD93" s="113"/>
      <c r="BE93" s="114"/>
      <c r="BI93" s="20" t="s">
        <v>159</v>
      </c>
      <c r="BJ93" s="5">
        <v>0.86799999999999999</v>
      </c>
      <c r="BL93" s="4" t="s">
        <v>170</v>
      </c>
      <c r="BM93" s="5">
        <f>(BM91-AZ89)/2</f>
        <v>0.13779527559055116</v>
      </c>
      <c r="BR93" s="5"/>
    </row>
    <row r="94" spans="46:70" ht="15.75" thickBot="1" x14ac:dyDescent="0.3">
      <c r="AT94" s="113"/>
      <c r="AU94" s="92"/>
      <c r="AV94" s="121"/>
      <c r="AW94" s="121"/>
      <c r="AX94" s="122"/>
      <c r="AY94" s="55"/>
      <c r="BD94" s="113"/>
      <c r="BE94" s="114"/>
      <c r="BI94" s="21" t="s">
        <v>160</v>
      </c>
      <c r="BJ94" s="7">
        <v>0.9</v>
      </c>
      <c r="BL94" s="4" t="s">
        <v>171</v>
      </c>
      <c r="BM94" s="1">
        <f>BM93/BM92</f>
        <v>6.9999999999999991</v>
      </c>
      <c r="BN94" s="35"/>
      <c r="BO94" s="35" t="s">
        <v>164</v>
      </c>
      <c r="BP94" s="3" t="s">
        <v>165</v>
      </c>
      <c r="BR94" s="5"/>
    </row>
    <row r="95" spans="46:70" x14ac:dyDescent="0.25">
      <c r="AT95" s="113"/>
      <c r="AU95" s="92"/>
      <c r="AV95" s="121"/>
      <c r="AW95" s="121"/>
      <c r="AX95" s="122"/>
      <c r="BD95" s="113"/>
      <c r="BE95" s="114"/>
      <c r="BL95" s="4" t="s">
        <v>164</v>
      </c>
      <c r="BM95" s="1">
        <f>BO95+BO96*(2*BM93/BM91)+BO97*(2*BM93/BM91)^2+BO98*(2*BM93/BM91)^3</f>
        <v>2.7361359366816207</v>
      </c>
      <c r="BN95" s="1" t="s">
        <v>172</v>
      </c>
      <c r="BO95" s="1">
        <f>IF(BM94&gt;=2,1.232+0.832*SQRT(BM94)-0.008*BM94,0.947+1.206*SQRT(BM94)-0.131*BM94)</f>
        <v>3.3772650908057393</v>
      </c>
      <c r="BP95" s="5">
        <f>0.905+0.783*SQRT(BM94)-0.075*BM94</f>
        <v>2.4516232765635748</v>
      </c>
      <c r="BR95" s="5"/>
    </row>
    <row r="96" spans="46:70" x14ac:dyDescent="0.25">
      <c r="AT96" s="113"/>
      <c r="AU96" s="92"/>
      <c r="AV96" s="121"/>
      <c r="AW96" s="121"/>
      <c r="AX96" s="122"/>
      <c r="BD96" s="113"/>
      <c r="BE96" s="114"/>
      <c r="BL96" s="4" t="s">
        <v>165</v>
      </c>
      <c r="BM96" s="1">
        <f>BP95+BP96*(2*BM93/BM91)+BP97*(2*BM93/BM91)^2+BP98*(2*BM93/BM91)^3</f>
        <v>2.0799100776308941</v>
      </c>
      <c r="BN96" s="1" t="s">
        <v>173</v>
      </c>
      <c r="BO96" s="1">
        <f>IF(BM94&gt;=2,-3.813+0.968*SQRT(BM94)-0.26*BM94,0.022-3.405*SQRT(BM94)+0.915*BM94)</f>
        <v>-3.0719127308894767</v>
      </c>
      <c r="BP96" s="5">
        <f>-0.437-1.969*SQRT(BM94)+0.553*BM94</f>
        <v>-1.775484331486179</v>
      </c>
      <c r="BR96" s="5"/>
    </row>
    <row r="97" spans="46:70" x14ac:dyDescent="0.25">
      <c r="AT97" s="113"/>
      <c r="AU97" s="92"/>
      <c r="AV97" s="121"/>
      <c r="AW97" s="121"/>
      <c r="AX97" s="122"/>
      <c r="BD97" s="113"/>
      <c r="BE97" s="114"/>
      <c r="BL97" s="4" t="s">
        <v>176</v>
      </c>
      <c r="BM97" s="1">
        <v>0.55000000000000004</v>
      </c>
      <c r="BN97" s="1" t="s">
        <v>174</v>
      </c>
      <c r="BO97" s="1">
        <f>IF(BM94&lt;=2,0.869+1.777*SQRT(BM94)-0.555*BM94,7.423-4.868*SQRT(BM94)+0.869*BM94)</f>
        <v>0.6264826177375733</v>
      </c>
      <c r="BP97" s="5">
        <f>1.557+1.073*SQRT(BM94)-0.578*BM94</f>
        <v>0.34989115677230576</v>
      </c>
      <c r="BR97" s="5"/>
    </row>
    <row r="98" spans="46:70" ht="15.75" thickBot="1" x14ac:dyDescent="0.3">
      <c r="AT98" s="113"/>
      <c r="AU98" s="92"/>
      <c r="AV98" s="121"/>
      <c r="AW98" s="121"/>
      <c r="AX98" s="122"/>
      <c r="BD98" s="113"/>
      <c r="BE98" s="114"/>
      <c r="BL98" s="4" t="s">
        <v>177</v>
      </c>
      <c r="BM98" s="1">
        <v>0.72</v>
      </c>
      <c r="BN98" s="38" t="s">
        <v>175</v>
      </c>
      <c r="BO98" s="38">
        <f>IF(BM94&lt;=2,-0.81+0.422*SQRT(BM94)-0.26*BM94,-3.839+3.07*SQRT(BM94)-0.6*BM94)</f>
        <v>8.3456524968292811E-2</v>
      </c>
      <c r="BP98" s="7">
        <f>-1.061+0.171*SQRT(BM94)+0.086*BM94</f>
        <v>-6.5765258079550915E-3</v>
      </c>
      <c r="BR98" s="5"/>
    </row>
    <row r="99" spans="46:70" x14ac:dyDescent="0.25">
      <c r="AT99" s="113"/>
      <c r="AU99" s="92"/>
      <c r="AV99" s="121"/>
      <c r="AW99" s="121"/>
      <c r="AX99" s="122"/>
      <c r="BD99" s="113"/>
      <c r="BE99" s="114"/>
      <c r="BL99" s="4" t="s">
        <v>166</v>
      </c>
      <c r="BM99" s="5">
        <f xml:space="preserve"> 1+(BM97*(BM95-1))</f>
        <v>1.9548747651748914</v>
      </c>
      <c r="BR99" s="5"/>
    </row>
    <row r="100" spans="46:70" ht="15.75" thickBot="1" x14ac:dyDescent="0.3">
      <c r="AT100" s="107"/>
      <c r="AU100" s="119"/>
      <c r="AV100" s="123"/>
      <c r="AW100" s="123"/>
      <c r="AX100" s="124"/>
      <c r="AY100" s="38"/>
      <c r="AZ100" s="38"/>
      <c r="BA100" s="38"/>
      <c r="BB100" s="38"/>
      <c r="BC100" s="38"/>
      <c r="BD100" s="107"/>
      <c r="BE100" s="108"/>
      <c r="BF100" s="38"/>
      <c r="BG100" s="38"/>
      <c r="BH100" s="38"/>
      <c r="BI100" s="38"/>
      <c r="BJ100" s="38"/>
      <c r="BK100" s="38"/>
      <c r="BL100" s="6" t="s">
        <v>167</v>
      </c>
      <c r="BM100" s="7">
        <f xml:space="preserve"> 1+(BM98*(BM96-1))</f>
        <v>1.7775352558942437</v>
      </c>
      <c r="BN100" s="38"/>
      <c r="BO100" s="38"/>
      <c r="BP100" s="38"/>
      <c r="BQ100" s="38"/>
      <c r="BR100" s="7"/>
    </row>
    <row r="101" spans="46:70" ht="15.75" thickBot="1" x14ac:dyDescent="0.3">
      <c r="AT101" s="117" t="s">
        <v>146</v>
      </c>
      <c r="AU101" s="125"/>
      <c r="AV101" s="125" t="s">
        <v>147</v>
      </c>
      <c r="AW101" s="125"/>
      <c r="AX101" s="118"/>
      <c r="AY101" s="65" t="s">
        <v>183</v>
      </c>
      <c r="AZ101" s="65" t="s">
        <v>149</v>
      </c>
      <c r="BA101" s="65" t="s">
        <v>150</v>
      </c>
      <c r="BB101" s="65" t="s">
        <v>151</v>
      </c>
      <c r="BC101" s="65" t="s">
        <v>152</v>
      </c>
      <c r="BD101" s="117" t="s">
        <v>21</v>
      </c>
      <c r="BE101" s="118"/>
      <c r="BF101" s="65" t="s">
        <v>135</v>
      </c>
      <c r="BG101" s="65" t="s">
        <v>134</v>
      </c>
      <c r="BH101" s="65" t="s">
        <v>137</v>
      </c>
      <c r="BI101" s="117" t="s">
        <v>154</v>
      </c>
      <c r="BJ101" s="118"/>
      <c r="BK101" s="65" t="s">
        <v>136</v>
      </c>
      <c r="BL101" s="117" t="s">
        <v>161</v>
      </c>
      <c r="BM101" s="118"/>
      <c r="BN101" s="65" t="s">
        <v>178</v>
      </c>
      <c r="BO101" s="65" t="s">
        <v>179</v>
      </c>
      <c r="BP101" s="64" t="s">
        <v>180</v>
      </c>
      <c r="BQ101" s="65" t="s">
        <v>181</v>
      </c>
      <c r="BR101" s="66" t="s">
        <v>182</v>
      </c>
    </row>
    <row r="102" spans="46:70" ht="15.75" thickBot="1" x14ac:dyDescent="0.3">
      <c r="AT102" s="113" t="s">
        <v>190</v>
      </c>
      <c r="AU102" s="92"/>
      <c r="AV102" s="121" t="s">
        <v>193</v>
      </c>
      <c r="AW102" s="121"/>
      <c r="AX102" s="122"/>
      <c r="AY102" s="55">
        <v>1.5</v>
      </c>
      <c r="AZ102" s="1">
        <f>BA102/25.4</f>
        <v>0.82677165354330717</v>
      </c>
      <c r="BA102" s="1">
        <v>21</v>
      </c>
      <c r="BB102" s="1">
        <v>1.5384158694181955</v>
      </c>
      <c r="BC102" s="1">
        <v>11.509393916753643</v>
      </c>
      <c r="BD102" s="102" t="s">
        <v>184</v>
      </c>
      <c r="BE102" s="103"/>
      <c r="BF102" s="1">
        <v>6000</v>
      </c>
      <c r="BG102" s="1">
        <v>16000</v>
      </c>
      <c r="BH102" s="1">
        <v>7000</v>
      </c>
      <c r="BI102" s="19" t="s">
        <v>155</v>
      </c>
      <c r="BJ102" s="5">
        <f>2.7*(BG102/1000)^(-0.265)</f>
        <v>1.2950065610891071</v>
      </c>
      <c r="BK102" s="1">
        <f>BH102*BJ102*BJ103*BJ104*BJ105*BJ106*BJ107</f>
        <v>6353.659851314178</v>
      </c>
      <c r="BL102" s="2" t="s">
        <v>162</v>
      </c>
      <c r="BM102" s="3">
        <f>BZ19</f>
        <v>0.02</v>
      </c>
      <c r="BN102" s="1">
        <f>BM112*32*BB102/(PI()*POWER(AZ102,3))</f>
        <v>51.568938197984878</v>
      </c>
      <c r="BO102" s="1">
        <f>BM113*16*BC102/(PI()*POWER(AZ102,3))</f>
        <v>174.56447553145705</v>
      </c>
      <c r="BP102" s="56">
        <f>1/((BN102/BK102)+(BO102/BG102))</f>
        <v>52.557736937230871</v>
      </c>
      <c r="BQ102" s="57">
        <f>SQRT(1/((BN102/BK102)^2+(BO102/BF102)^2))</f>
        <v>33.107108544959694</v>
      </c>
      <c r="BR102" s="34">
        <f>BF102/(BN102+BO102)</f>
        <v>26.533009434769863</v>
      </c>
    </row>
    <row r="103" spans="46:70" x14ac:dyDescent="0.25">
      <c r="AT103" s="113"/>
      <c r="AU103" s="92"/>
      <c r="AV103" s="121"/>
      <c r="AW103" s="121"/>
      <c r="AX103" s="122"/>
      <c r="AY103" s="55"/>
      <c r="BD103" s="113"/>
      <c r="BE103" s="114"/>
      <c r="BI103" s="20" t="s">
        <v>156</v>
      </c>
      <c r="BJ103" s="5">
        <f>IF(AND(AZ102&lt;=2,AZ102&gt;=0.11),POWER(AZ102/0.3,-0.107),0.91*POWER(AZ102,-0.157))</f>
        <v>0.89720506655422538</v>
      </c>
      <c r="BL103" s="4" t="s">
        <v>163</v>
      </c>
      <c r="BM103" s="5">
        <f>BY15</f>
        <v>1.1904761904761905</v>
      </c>
      <c r="BR103" s="5"/>
    </row>
    <row r="104" spans="46:70" x14ac:dyDescent="0.25">
      <c r="AT104" s="113"/>
      <c r="AU104" s="92"/>
      <c r="AV104" s="121"/>
      <c r="AW104" s="121"/>
      <c r="AX104" s="122"/>
      <c r="AY104" s="55"/>
      <c r="BD104" s="113"/>
      <c r="BE104" s="114"/>
      <c r="BI104" s="20" t="s">
        <v>157</v>
      </c>
      <c r="BJ104" s="5">
        <v>1</v>
      </c>
      <c r="BL104" s="4" t="s">
        <v>168</v>
      </c>
      <c r="BM104" s="5">
        <f>AZ102*BM103</f>
        <v>0.98425196850393715</v>
      </c>
      <c r="BR104" s="5"/>
    </row>
    <row r="105" spans="46:70" x14ac:dyDescent="0.25">
      <c r="AT105" s="113"/>
      <c r="AU105" s="92"/>
      <c r="AV105" s="121"/>
      <c r="AW105" s="121"/>
      <c r="AX105" s="122"/>
      <c r="AY105" s="55"/>
      <c r="BD105" s="113"/>
      <c r="BE105" s="114"/>
      <c r="BI105" s="20" t="s">
        <v>158</v>
      </c>
      <c r="BJ105" s="5">
        <v>1</v>
      </c>
      <c r="BL105" s="4" t="s">
        <v>169</v>
      </c>
      <c r="BM105" s="5">
        <f>BM102*AZ102</f>
        <v>1.6535433070866145E-2</v>
      </c>
      <c r="BR105" s="5"/>
    </row>
    <row r="106" spans="46:70" ht="15.75" thickBot="1" x14ac:dyDescent="0.3">
      <c r="AT106" s="113"/>
      <c r="AU106" s="92"/>
      <c r="AV106" s="121"/>
      <c r="AW106" s="121"/>
      <c r="AX106" s="122"/>
      <c r="AY106" s="55"/>
      <c r="BD106" s="113"/>
      <c r="BE106" s="114"/>
      <c r="BI106" s="20" t="s">
        <v>159</v>
      </c>
      <c r="BJ106" s="5">
        <v>0.86799999999999999</v>
      </c>
      <c r="BL106" s="4" t="s">
        <v>170</v>
      </c>
      <c r="BM106" s="5">
        <f>(BM104-AZ102)/2</f>
        <v>7.8740157480314987E-2</v>
      </c>
      <c r="BR106" s="5"/>
    </row>
    <row r="107" spans="46:70" ht="15.75" thickBot="1" x14ac:dyDescent="0.3">
      <c r="AT107" s="113"/>
      <c r="AU107" s="92"/>
      <c r="AV107" s="121"/>
      <c r="AW107" s="121"/>
      <c r="AX107" s="122"/>
      <c r="AY107" s="55"/>
      <c r="BD107" s="113"/>
      <c r="BE107" s="114"/>
      <c r="BI107" s="21" t="s">
        <v>160</v>
      </c>
      <c r="BJ107" s="7">
        <v>0.9</v>
      </c>
      <c r="BL107" s="4" t="s">
        <v>171</v>
      </c>
      <c r="BM107" s="1">
        <f>BM106/BM105</f>
        <v>4.7619047619047628</v>
      </c>
      <c r="BN107" s="35"/>
      <c r="BO107" s="35" t="s">
        <v>164</v>
      </c>
      <c r="BP107" s="3" t="s">
        <v>165</v>
      </c>
      <c r="BR107" s="5"/>
    </row>
    <row r="108" spans="46:70" x14ac:dyDescent="0.25">
      <c r="AT108" s="113"/>
      <c r="AU108" s="92"/>
      <c r="AV108" s="121"/>
      <c r="AW108" s="121"/>
      <c r="AX108" s="122"/>
      <c r="BD108" s="113"/>
      <c r="BE108" s="114"/>
      <c r="BL108" s="4" t="s">
        <v>164</v>
      </c>
      <c r="BM108" s="1">
        <f>BO108+BO109*(2*BM106/BM104)+BO110*(2*BM106/BM104)^2+BO111*(2*BM106/BM104)^3</f>
        <v>2.5633102840547339</v>
      </c>
      <c r="BN108" s="1" t="s">
        <v>172</v>
      </c>
      <c r="BO108" s="1">
        <f>IF(BM107&gt;=2,1.232+0.832*SQRT(BM107)-0.008*BM107,0.947+1.206*SQRT(BM107)-0.131*BM107)</f>
        <v>3.0094776086682185</v>
      </c>
      <c r="BP108" s="5">
        <f>0.905+0.783*SQRT(BM107)-0.075*BM107</f>
        <v>2.2565032234049633</v>
      </c>
      <c r="BR108" s="5"/>
    </row>
    <row r="109" spans="46:70" x14ac:dyDescent="0.25">
      <c r="AT109" s="113"/>
      <c r="AU109" s="92"/>
      <c r="AV109" s="121"/>
      <c r="AW109" s="121"/>
      <c r="AX109" s="122"/>
      <c r="BD109" s="113"/>
      <c r="BE109" s="114"/>
      <c r="BL109" s="4" t="s">
        <v>165</v>
      </c>
      <c r="BM109" s="1">
        <f>BP108+BP109*(2*BM106/BM104)+BP110*(2*BM106/BM104)^2+BP111*(2*BM106/BM104)^3</f>
        <v>1.9486429853329028</v>
      </c>
      <c r="BN109" s="1" t="s">
        <v>173</v>
      </c>
      <c r="BO109" s="1">
        <f>IF(BM107&gt;=2,-3.813+0.968*SQRT(BM107)-0.26*BM107,0.022-3.405*SQRT(BM107)+0.915*BM107)</f>
        <v>-2.938746060610832</v>
      </c>
      <c r="BP109" s="5">
        <f>-0.437-1.969*SQRT(BM107)+0.553*BM107</f>
        <v>-2.1003769254133569</v>
      </c>
      <c r="BR109" s="5"/>
    </row>
    <row r="110" spans="46:70" x14ac:dyDescent="0.25">
      <c r="AT110" s="113"/>
      <c r="AU110" s="92"/>
      <c r="AV110" s="121"/>
      <c r="AW110" s="121"/>
      <c r="AX110" s="122"/>
      <c r="BD110" s="113"/>
      <c r="BE110" s="114"/>
      <c r="BL110" s="4" t="s">
        <v>176</v>
      </c>
      <c r="BM110" s="1">
        <v>0.55000000000000004</v>
      </c>
      <c r="BN110" s="1" t="s">
        <v>174</v>
      </c>
      <c r="BO110" s="1">
        <f>IF(BM107&lt;=2,0.869+1.777*SQRT(BM107)-0.555*BM107,7.423-4.868*SQRT(BM107)+0.869*BM107)</f>
        <v>0.93824834140712721</v>
      </c>
      <c r="BP110" s="5">
        <f>1.557+1.073*SQRT(BM107)-0.578*BM107</f>
        <v>1.1460970098512457</v>
      </c>
      <c r="BR110" s="5"/>
    </row>
    <row r="111" spans="46:70" ht="15.75" thickBot="1" x14ac:dyDescent="0.3">
      <c r="AT111" s="113"/>
      <c r="AU111" s="92"/>
      <c r="AV111" s="121"/>
      <c r="AW111" s="121"/>
      <c r="AX111" s="122"/>
      <c r="BD111" s="113"/>
      <c r="BE111" s="114"/>
      <c r="BL111" s="4" t="s">
        <v>177</v>
      </c>
      <c r="BM111" s="1">
        <v>0.72</v>
      </c>
      <c r="BN111" s="38" t="s">
        <v>175</v>
      </c>
      <c r="BO111" s="38">
        <f>IF(BM107&lt;=2,-0.81+0.422*SQRT(BM107)-0.26*BM107,-3.839+3.07*SQRT(BM107)-0.6*BM107)</f>
        <v>3.146373102108857E-3</v>
      </c>
      <c r="BP111" s="7">
        <f>-1.061+0.171*SQRT(BM107)+0.086*BM107</f>
        <v>-0.27832359817264335</v>
      </c>
      <c r="BR111" s="5"/>
    </row>
    <row r="112" spans="46:70" x14ac:dyDescent="0.25">
      <c r="AT112" s="113"/>
      <c r="AU112" s="92"/>
      <c r="AV112" s="121"/>
      <c r="AW112" s="121"/>
      <c r="AX112" s="122"/>
      <c r="BD112" s="113"/>
      <c r="BE112" s="114"/>
      <c r="BL112" s="4" t="s">
        <v>166</v>
      </c>
      <c r="BM112" s="5">
        <f xml:space="preserve"> 1+(BM110*(BM108-1))</f>
        <v>1.8598206562301036</v>
      </c>
      <c r="BR112" s="5"/>
    </row>
    <row r="113" spans="46:70" ht="15.75" thickBot="1" x14ac:dyDescent="0.3">
      <c r="AT113" s="107"/>
      <c r="AU113" s="119"/>
      <c r="AV113" s="123"/>
      <c r="AW113" s="123"/>
      <c r="AX113" s="124"/>
      <c r="AY113" s="38"/>
      <c r="AZ113" s="38"/>
      <c r="BA113" s="38"/>
      <c r="BB113" s="38"/>
      <c r="BC113" s="38"/>
      <c r="BD113" s="107"/>
      <c r="BE113" s="108"/>
      <c r="BF113" s="38"/>
      <c r="BG113" s="38"/>
      <c r="BH113" s="38"/>
      <c r="BI113" s="38"/>
      <c r="BJ113" s="38"/>
      <c r="BK113" s="38"/>
      <c r="BL113" s="6" t="s">
        <v>167</v>
      </c>
      <c r="BM113" s="7">
        <f xml:space="preserve"> 1+(BM111*(BM109-1))</f>
        <v>1.68302294943969</v>
      </c>
      <c r="BN113" s="38"/>
      <c r="BO113" s="38"/>
      <c r="BP113" s="38"/>
      <c r="BQ113" s="38"/>
      <c r="BR113" s="7"/>
    </row>
  </sheetData>
  <mergeCells count="101">
    <mergeCell ref="CE25:CF25"/>
    <mergeCell ref="CH6:CI6"/>
    <mergeCell ref="CH11:CI11"/>
    <mergeCell ref="CE28:CF28"/>
    <mergeCell ref="AV35:AX46"/>
    <mergeCell ref="BD35:BE46"/>
    <mergeCell ref="AT48:AU48"/>
    <mergeCell ref="AV48:AX48"/>
    <mergeCell ref="BD48:BE48"/>
    <mergeCell ref="CA15:CA16"/>
    <mergeCell ref="CE6:CF6"/>
    <mergeCell ref="CE17:CF17"/>
    <mergeCell ref="CE21:CF21"/>
    <mergeCell ref="BY9:BY10"/>
    <mergeCell ref="BZ9:BZ10"/>
    <mergeCell ref="BY7:BY8"/>
    <mergeCell ref="BZ7:BZ8"/>
    <mergeCell ref="BZ11:BZ12"/>
    <mergeCell ref="BY13:BY14"/>
    <mergeCell ref="BZ13:BZ14"/>
    <mergeCell ref="BY15:BY16"/>
    <mergeCell ref="A1:E2"/>
    <mergeCell ref="C18:D18"/>
    <mergeCell ref="F6:G6"/>
    <mergeCell ref="B4:J4"/>
    <mergeCell ref="BU6:BW6"/>
    <mergeCell ref="BY6:CA6"/>
    <mergeCell ref="Q6:R6"/>
    <mergeCell ref="Q11:R11"/>
    <mergeCell ref="BL6:BM6"/>
    <mergeCell ref="AT7:AU18"/>
    <mergeCell ref="AV7:AX18"/>
    <mergeCell ref="BD7:BE18"/>
    <mergeCell ref="BD6:BE6"/>
    <mergeCell ref="BI6:BJ6"/>
    <mergeCell ref="P4:AL4"/>
    <mergeCell ref="AT6:AU6"/>
    <mergeCell ref="AV6:AX6"/>
    <mergeCell ref="BY11:BY12"/>
    <mergeCell ref="CA7:CA8"/>
    <mergeCell ref="CA9:CA10"/>
    <mergeCell ref="CA11:CA12"/>
    <mergeCell ref="CA13:CA14"/>
    <mergeCell ref="AS4:CB4"/>
    <mergeCell ref="BL62:BM62"/>
    <mergeCell ref="BL20:BM20"/>
    <mergeCell ref="AT49:AU60"/>
    <mergeCell ref="AV49:AX60"/>
    <mergeCell ref="BD49:BE60"/>
    <mergeCell ref="BL34:BM34"/>
    <mergeCell ref="AT35:AU46"/>
    <mergeCell ref="I6:J6"/>
    <mergeCell ref="C6:D6"/>
    <mergeCell ref="F19:G19"/>
    <mergeCell ref="AT34:AU34"/>
    <mergeCell ref="AV34:AX34"/>
    <mergeCell ref="BD34:BE34"/>
    <mergeCell ref="BI34:BJ34"/>
    <mergeCell ref="Q23:R23"/>
    <mergeCell ref="BD21:BE32"/>
    <mergeCell ref="AT21:AU32"/>
    <mergeCell ref="AV21:AX32"/>
    <mergeCell ref="AT20:AU20"/>
    <mergeCell ref="AV20:AX20"/>
    <mergeCell ref="BD20:BE20"/>
    <mergeCell ref="BI20:BJ20"/>
    <mergeCell ref="BI48:BJ48"/>
    <mergeCell ref="BL48:BM48"/>
    <mergeCell ref="AT102:AU113"/>
    <mergeCell ref="AV102:AX113"/>
    <mergeCell ref="BD102:BE113"/>
    <mergeCell ref="AT101:AU101"/>
    <mergeCell ref="AV101:AX101"/>
    <mergeCell ref="BD101:BE101"/>
    <mergeCell ref="AT75:AU75"/>
    <mergeCell ref="AV75:AX75"/>
    <mergeCell ref="BD75:BE75"/>
    <mergeCell ref="BI101:BJ101"/>
    <mergeCell ref="BL101:BM101"/>
    <mergeCell ref="BI88:BJ88"/>
    <mergeCell ref="BL88:BM88"/>
    <mergeCell ref="AT89:AU100"/>
    <mergeCell ref="CD4:CW4"/>
    <mergeCell ref="AV89:AX100"/>
    <mergeCell ref="BD89:BE100"/>
    <mergeCell ref="AT76:AU87"/>
    <mergeCell ref="AV76:AX87"/>
    <mergeCell ref="BD76:BE87"/>
    <mergeCell ref="AT88:AU88"/>
    <mergeCell ref="AV88:AX88"/>
    <mergeCell ref="BD88:BE88"/>
    <mergeCell ref="BI75:BJ75"/>
    <mergeCell ref="BL75:BM75"/>
    <mergeCell ref="BZ15:BZ16"/>
    <mergeCell ref="AT63:AU74"/>
    <mergeCell ref="AV63:AX74"/>
    <mergeCell ref="BD63:BE74"/>
    <mergeCell ref="AT62:AU62"/>
    <mergeCell ref="AV62:AX62"/>
    <mergeCell ref="BD62:BE62"/>
    <mergeCell ref="BI62:BJ62"/>
  </mergeCells>
  <conditionalFormatting sqref="BP7:BR7">
    <cfRule type="cellIs" dxfId="18" priority="18" operator="lessThan">
      <formula>$AY$7</formula>
    </cfRule>
    <cfRule type="cellIs" dxfId="17" priority="19" operator="greaterThanOrEqual">
      <formula>$AY$7</formula>
    </cfRule>
  </conditionalFormatting>
  <conditionalFormatting sqref="BP21:BR21">
    <cfRule type="cellIs" dxfId="16" priority="16" operator="lessThan">
      <formula>$AY$7</formula>
    </cfRule>
    <cfRule type="cellIs" dxfId="15" priority="17" operator="greaterThanOrEqual">
      <formula>$AY$7</formula>
    </cfRule>
  </conditionalFormatting>
  <conditionalFormatting sqref="BP35:BR35">
    <cfRule type="cellIs" dxfId="14" priority="14" operator="lessThan">
      <formula>$AY$7</formula>
    </cfRule>
    <cfRule type="cellIs" dxfId="13" priority="15" operator="greaterThanOrEqual">
      <formula>$AY$7</formula>
    </cfRule>
  </conditionalFormatting>
  <conditionalFormatting sqref="BP49:BR49">
    <cfRule type="cellIs" dxfId="12" priority="12" operator="lessThan">
      <formula>$AY$7</formula>
    </cfRule>
    <cfRule type="cellIs" dxfId="11" priority="13" operator="greaterThanOrEqual">
      <formula>$AY$7</formula>
    </cfRule>
  </conditionalFormatting>
  <conditionalFormatting sqref="BP63:BR63">
    <cfRule type="cellIs" dxfId="10" priority="10" operator="lessThan">
      <formula>$AY$7</formula>
    </cfRule>
    <cfRule type="cellIs" dxfId="9" priority="11" operator="greaterThanOrEqual">
      <formula>$AY$7</formula>
    </cfRule>
  </conditionalFormatting>
  <conditionalFormatting sqref="BP76:BR76">
    <cfRule type="cellIs" dxfId="8" priority="8" operator="lessThan">
      <formula>$AY$7</formula>
    </cfRule>
    <cfRule type="cellIs" dxfId="7" priority="9" operator="greaterThanOrEqual">
      <formula>$AY$7</formula>
    </cfRule>
  </conditionalFormatting>
  <conditionalFormatting sqref="BP89:BR89">
    <cfRule type="cellIs" dxfId="6" priority="6" operator="lessThan">
      <formula>$AY$7</formula>
    </cfRule>
    <cfRule type="cellIs" dxfId="5" priority="7" operator="greaterThanOrEqual">
      <formula>$AY$7</formula>
    </cfRule>
  </conditionalFormatting>
  <conditionalFormatting sqref="BP102:BR102">
    <cfRule type="cellIs" dxfId="4" priority="4" operator="lessThan">
      <formula>$AY$7</formula>
    </cfRule>
    <cfRule type="cellIs" dxfId="3" priority="5" operator="greaterThanOrEqual">
      <formula>$AY$7</formula>
    </cfRule>
  </conditionalFormatting>
  <conditionalFormatting sqref="CA9:CA10">
    <cfRule type="expression" dxfId="2" priority="3">
      <formula>"min($BP$63:$BR$63)&gt;=1.5"</formula>
    </cfRule>
  </conditionalFormatting>
  <conditionalFormatting sqref="CA9:CA16">
    <cfRule type="cellIs" dxfId="1" priority="1" operator="lessThan">
      <formula>1.5</formula>
    </cfRule>
    <cfRule type="cellIs" dxfId="0" priority="2" operator="greaterThan">
      <formula>1.5</formula>
    </cfRule>
  </conditionalFormatting>
  <pageMargins left="0.7" right="0.7" top="0.75" bottom="0.75" header="0.3" footer="0.3"/>
  <pageSetup orientation="landscape" r:id="rId1"/>
  <ignoredErrors>
    <ignoredError sqref="V13 V18:W18 X11 X1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Desgaste</vt:lpstr>
      <vt:lpstr>Flexible</vt:lpstr>
      <vt:lpstr>Ejes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</dc:creator>
  <cp:lastModifiedBy>Juan Manuel Rubio Vanegas</cp:lastModifiedBy>
  <cp:lastPrinted>2023-04-24T00:19:36Z</cp:lastPrinted>
  <dcterms:created xsi:type="dcterms:W3CDTF">2023-03-30T01:50:49Z</dcterms:created>
  <dcterms:modified xsi:type="dcterms:W3CDTF">2023-04-24T00:19:48Z</dcterms:modified>
</cp:coreProperties>
</file>