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71101_GIM\M12\Suunnittelu\Electronics\"/>
    </mc:Choice>
  </mc:AlternateContent>
  <bookViews>
    <workbookView xWindow="360" yWindow="75" windowWidth="14880" windowHeight="7710" activeTab="2"/>
  </bookViews>
  <sheets>
    <sheet name="Version" sheetId="3" r:id="rId1"/>
    <sheet name="Devices" sheetId="1" r:id="rId2"/>
    <sheet name="CAN1" sheetId="2" r:id="rId3"/>
    <sheet name="CAN2" sheetId="7" r:id="rId4"/>
    <sheet name="CAN digi" sheetId="10" r:id="rId5"/>
    <sheet name="Implement CAN" sheetId="8" r:id="rId6"/>
    <sheet name="Sheet2" sheetId="9" r:id="rId7"/>
  </sheets>
  <calcPr calcId="162913"/>
</workbook>
</file>

<file path=xl/calcChain.xml><?xml version="1.0" encoding="utf-8"?>
<calcChain xmlns="http://schemas.openxmlformats.org/spreadsheetml/2006/main">
  <c r="P9" i="2" l="1"/>
  <c r="Q9" i="2" s="1"/>
  <c r="T9" i="2"/>
  <c r="T8" i="2"/>
  <c r="F9" i="2"/>
  <c r="P8" i="2"/>
  <c r="Q8" i="2" s="1"/>
  <c r="F8" i="2"/>
  <c r="Q14" i="2" l="1"/>
  <c r="F14" i="2"/>
  <c r="T14" i="2" s="1"/>
  <c r="F14" i="8" l="1"/>
  <c r="G14" i="8" s="1"/>
  <c r="F13" i="8"/>
  <c r="G13" i="8" s="1"/>
  <c r="G7" i="8"/>
  <c r="G10" i="8"/>
  <c r="G6" i="8"/>
  <c r="F12" i="8"/>
  <c r="U12" i="8" s="1"/>
  <c r="F11" i="8"/>
  <c r="U11" i="8" s="1"/>
  <c r="U10" i="8"/>
  <c r="F9" i="8"/>
  <c r="G9" i="8" s="1"/>
  <c r="F8" i="8"/>
  <c r="U8" i="8" s="1"/>
  <c r="F7" i="8"/>
  <c r="U6" i="8"/>
  <c r="U9" i="8"/>
  <c r="Q13" i="8"/>
  <c r="R13" i="8" s="1"/>
  <c r="Q12" i="8"/>
  <c r="R12" i="8" s="1"/>
  <c r="Q11" i="8"/>
  <c r="R11" i="8" s="1"/>
  <c r="R10" i="8"/>
  <c r="Q9" i="8"/>
  <c r="R9" i="8" s="1"/>
  <c r="Q8" i="8"/>
  <c r="R8" i="8" s="1"/>
  <c r="R7" i="8"/>
  <c r="U7" i="8"/>
  <c r="R6" i="8"/>
  <c r="U13" i="8" l="1"/>
  <c r="G11" i="8"/>
  <c r="G12" i="8"/>
  <c r="G8" i="8"/>
  <c r="E3" i="8"/>
  <c r="F15" i="2"/>
  <c r="F13" i="2"/>
  <c r="F39" i="2" l="1"/>
  <c r="F12" i="2" l="1"/>
  <c r="F38" i="2" l="1"/>
  <c r="Q39" i="2" l="1"/>
  <c r="Q38" i="2"/>
  <c r="T39" i="2"/>
  <c r="T38" i="2"/>
  <c r="F37" i="2" l="1"/>
  <c r="F36" i="2"/>
  <c r="T36" i="2" s="1"/>
  <c r="P36" i="2"/>
  <c r="Q36" i="2" s="1"/>
  <c r="J17" i="10" l="1"/>
  <c r="Q12" i="2" l="1"/>
  <c r="T12" i="2"/>
  <c r="T13" i="2"/>
  <c r="Q13" i="2"/>
  <c r="Q15" i="2"/>
  <c r="T15" i="2"/>
  <c r="Q19" i="2"/>
  <c r="F19" i="2"/>
  <c r="T19" i="2" s="1"/>
  <c r="O45" i="2"/>
  <c r="Q45" i="2" s="1"/>
  <c r="O46" i="2"/>
  <c r="Q46" i="2" s="1"/>
  <c r="O47" i="2"/>
  <c r="Q47" i="2" s="1"/>
  <c r="O48" i="2"/>
  <c r="Q48" i="2" s="1"/>
  <c r="O49" i="2"/>
  <c r="Q49" i="2" s="1"/>
  <c r="O50" i="2"/>
  <c r="Q50" i="2" s="1"/>
  <c r="O51" i="2"/>
  <c r="Q51" i="2" s="1"/>
  <c r="D46" i="2"/>
  <c r="P22" i="2"/>
  <c r="P10" i="2"/>
  <c r="P7" i="2"/>
  <c r="P11" i="2"/>
  <c r="P17" i="2"/>
  <c r="P9" i="10"/>
  <c r="P8" i="10"/>
  <c r="P13" i="10"/>
  <c r="F8" i="10"/>
  <c r="F9" i="10"/>
  <c r="F10" i="10"/>
  <c r="F11" i="10"/>
  <c r="F12" i="10"/>
  <c r="F13" i="10"/>
  <c r="Q13" i="10" l="1"/>
  <c r="T13" i="10"/>
  <c r="P12" i="10"/>
  <c r="Q12" i="10" s="1"/>
  <c r="T12" i="10"/>
  <c r="P11" i="10"/>
  <c r="Q11" i="10" s="1"/>
  <c r="T11" i="10"/>
  <c r="T10" i="10"/>
  <c r="P10" i="10"/>
  <c r="Q10" i="10" s="1"/>
  <c r="T9" i="10"/>
  <c r="Q9" i="10"/>
  <c r="T8" i="10"/>
  <c r="Q8" i="10"/>
  <c r="Q7" i="10"/>
  <c r="F7" i="10"/>
  <c r="T7" i="10" s="1"/>
  <c r="Q6" i="10"/>
  <c r="F6" i="10"/>
  <c r="T6" i="10" s="1"/>
  <c r="F23" i="2"/>
  <c r="F24" i="2"/>
  <c r="A1" i="3"/>
  <c r="E1" i="10" l="1"/>
  <c r="E1" i="8"/>
  <c r="E3" i="10"/>
  <c r="Q23" i="2"/>
  <c r="Q24" i="2"/>
  <c r="T23" i="2"/>
  <c r="T24" i="2"/>
  <c r="T35" i="2"/>
  <c r="F6" i="2"/>
  <c r="T6" i="2" s="1"/>
  <c r="D49" i="2" l="1"/>
  <c r="D48" i="2"/>
  <c r="C47" i="2"/>
  <c r="D47" i="2" s="1"/>
  <c r="D50" i="2"/>
  <c r="F7" i="2"/>
  <c r="T7" i="2" s="1"/>
  <c r="F10" i="2"/>
  <c r="T10" i="2" s="1"/>
  <c r="F11" i="2"/>
  <c r="T11" i="2" s="1"/>
  <c r="F18" i="2"/>
  <c r="T18" i="2" s="1"/>
  <c r="F25" i="2"/>
  <c r="T25" i="2" s="1"/>
  <c r="F26" i="2"/>
  <c r="T26" i="2" s="1"/>
  <c r="F27" i="2"/>
  <c r="T27" i="2" s="1"/>
  <c r="F28" i="2"/>
  <c r="T28" i="2" s="1"/>
  <c r="F29" i="2"/>
  <c r="T29" i="2" s="1"/>
  <c r="F30" i="2"/>
  <c r="T30" i="2" s="1"/>
  <c r="F31" i="2"/>
  <c r="T31" i="2" s="1"/>
  <c r="F32" i="2"/>
  <c r="T32" i="2" s="1"/>
  <c r="F33" i="2"/>
  <c r="T33" i="2" s="1"/>
  <c r="F34" i="2"/>
  <c r="T34" i="2" s="1"/>
  <c r="T37" i="2"/>
  <c r="C51" i="2"/>
  <c r="D51" i="2" s="1"/>
  <c r="O44" i="2"/>
  <c r="Q44" i="2" s="1"/>
  <c r="B35" i="2"/>
  <c r="P6" i="2"/>
  <c r="Q6" i="2" s="1"/>
  <c r="P37" i="2"/>
  <c r="Q37" i="2" s="1"/>
  <c r="P35" i="2"/>
  <c r="P34" i="2"/>
  <c r="Q34" i="2" s="1"/>
  <c r="Q33" i="2"/>
  <c r="Q32" i="2"/>
  <c r="Q31" i="2"/>
  <c r="P30" i="2"/>
  <c r="Q30" i="2" s="1"/>
  <c r="Q29" i="2"/>
  <c r="P28" i="2"/>
  <c r="Q28" i="2" s="1"/>
  <c r="Q27" i="2"/>
  <c r="Q26" i="2"/>
  <c r="Q25" i="2"/>
  <c r="Q20" i="2"/>
  <c r="Q7" i="2"/>
  <c r="P13" i="7"/>
  <c r="Q13" i="7" s="1"/>
  <c r="F13" i="7"/>
  <c r="D13" i="7"/>
  <c r="Q18" i="2"/>
  <c r="P21" i="2"/>
  <c r="Q21" i="2" s="1"/>
  <c r="D16" i="7"/>
  <c r="E16" i="7"/>
  <c r="E17" i="7"/>
  <c r="E18" i="7"/>
  <c r="D17" i="7"/>
  <c r="D18" i="7"/>
  <c r="P8" i="7"/>
  <c r="Q8" i="7" s="1"/>
  <c r="F8" i="7"/>
  <c r="E8" i="7"/>
  <c r="D8" i="7"/>
  <c r="P9" i="7"/>
  <c r="Q9" i="7" s="1"/>
  <c r="F9" i="7"/>
  <c r="E9" i="7"/>
  <c r="D9" i="7"/>
  <c r="E6" i="7"/>
  <c r="E7" i="7"/>
  <c r="E11" i="7"/>
  <c r="E12" i="7"/>
  <c r="E14" i="7"/>
  <c r="E15" i="7"/>
  <c r="E20" i="7"/>
  <c r="E21" i="7"/>
  <c r="E10" i="7"/>
  <c r="D10" i="7"/>
  <c r="D6" i="7"/>
  <c r="D7" i="7"/>
  <c r="D12" i="7"/>
  <c r="D14" i="7"/>
  <c r="D15" i="7"/>
  <c r="D20" i="7"/>
  <c r="D21" i="7"/>
  <c r="D11" i="7"/>
  <c r="F10" i="7"/>
  <c r="F11" i="7"/>
  <c r="F12" i="7"/>
  <c r="F14" i="7"/>
  <c r="F15" i="7"/>
  <c r="F16" i="7"/>
  <c r="F17" i="7"/>
  <c r="F18" i="7"/>
  <c r="F20" i="7"/>
  <c r="F21" i="7"/>
  <c r="F6" i="7"/>
  <c r="F7" i="7"/>
  <c r="P7" i="7"/>
  <c r="Q7" i="7" s="1"/>
  <c r="P10" i="7"/>
  <c r="Q10" i="7" s="1"/>
  <c r="P11" i="7"/>
  <c r="Q11" i="7" s="1"/>
  <c r="P12" i="7"/>
  <c r="Q12" i="7" s="1"/>
  <c r="P14" i="7"/>
  <c r="Q14" i="7" s="1"/>
  <c r="P15" i="7"/>
  <c r="Q15" i="7" s="1"/>
  <c r="P16" i="7"/>
  <c r="Q16" i="7" s="1"/>
  <c r="P17" i="7"/>
  <c r="Q17" i="7" s="1"/>
  <c r="P18" i="7"/>
  <c r="Q18" i="7" s="1"/>
  <c r="P19" i="7"/>
  <c r="Q19" i="7" s="1"/>
  <c r="P20" i="7"/>
  <c r="Q20" i="7" s="1"/>
  <c r="P21" i="7"/>
  <c r="Q21" i="7" s="1"/>
  <c r="P6" i="7"/>
  <c r="Q6" i="7" s="1"/>
  <c r="Q22" i="7"/>
  <c r="Q22" i="2"/>
  <c r="P16" i="2"/>
  <c r="Q16" i="2" s="1"/>
  <c r="Q17" i="2"/>
  <c r="Q10" i="2"/>
  <c r="Q11" i="2"/>
  <c r="D45" i="2"/>
  <c r="C44" i="2"/>
  <c r="F20" i="2" s="1"/>
  <c r="T20" i="2" s="1"/>
  <c r="B1" i="3"/>
  <c r="H1" i="8" s="1"/>
  <c r="G1" i="2" l="1"/>
  <c r="G1" i="10"/>
  <c r="D44" i="2"/>
  <c r="Q35" i="2"/>
  <c r="E3" i="2" s="1"/>
  <c r="F22" i="2"/>
  <c r="T22" i="2" s="1"/>
  <c r="F21" i="2"/>
  <c r="T21" i="2" s="1"/>
  <c r="H1" i="7"/>
  <c r="F1" i="7"/>
  <c r="F3" i="7"/>
  <c r="E1" i="2"/>
  <c r="C16" i="2"/>
  <c r="F16" i="2" s="1"/>
  <c r="T16" i="2" s="1"/>
  <c r="C17" i="2"/>
  <c r="F17" i="2" s="1"/>
  <c r="T17" i="2" s="1"/>
</calcChain>
</file>

<file path=xl/comments1.xml><?xml version="1.0" encoding="utf-8"?>
<comments xmlns="http://schemas.openxmlformats.org/spreadsheetml/2006/main">
  <authors>
    <author>Joni Backas</author>
    <author>ahopeltm</author>
    <author>MiHy</author>
    <author>Ahopelto Miika</author>
    <author>Mikko Huova</author>
    <author>Otso Karhu</author>
    <author>Karhu Otso</author>
    <author>Backas Joni</author>
  </authors>
  <commentList>
    <comment ref="G6" authorId="0" shapeId="0">
      <text>
        <r>
          <rPr>
            <sz val="8"/>
            <color indexed="81"/>
            <rFont val="Tahoma"/>
            <family val="2"/>
          </rPr>
          <t>Bucket reference.
  Position [Not used]
  Velocity [per mil]
Selection with byte 4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>Boom reference.
  Position [mm (Cylinder position)].
  Velocity [per mil].
Selection with byte 4.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 xml:space="preserve">Bit 1: 1=Start; 0=Stop
Bit 2: 1=brakes activated,
        0=brakes released
Bit 3: Enable direct control for
        steering (Byte6)
Bit 4: Position control (work hydr.)
Bit 5: Velocity control (work hydr.)
Bit 6: Work hydraulic simulates
        propotional system
Bit 7: Reserved
Bit 8: Reserved
</t>
        </r>
      </text>
    </comment>
    <comment ref="L6" authorId="0" shapeId="0">
      <text>
        <r>
          <rPr>
            <sz val="8"/>
            <color indexed="81"/>
            <rFont val="Tahoma"/>
            <family val="2"/>
          </rPr>
          <t>Control signal for machine velocity
[-100…100%].</t>
        </r>
      </text>
    </comment>
    <comment ref="M6" authorId="0" shapeId="0">
      <text>
        <r>
          <rPr>
            <sz val="8"/>
            <color indexed="81"/>
            <rFont val="Tahoma"/>
            <family val="2"/>
          </rPr>
          <t xml:space="preserve">Control signal for angular velocity of the frame
[-100…100%] 
(Direct M4 valve command if enabled with Misc.1, Bit3. Requires autonomous mode selected by door button)
</t>
        </r>
      </text>
    </comment>
    <comment ref="N6" authorId="0" shapeId="0">
      <text>
        <r>
          <rPr>
            <sz val="8"/>
            <color indexed="81"/>
            <rFont val="Tahoma"/>
            <family val="2"/>
          </rPr>
          <t>Reserved</t>
        </r>
      </text>
    </comment>
    <comment ref="G7" authorId="0" shapeId="0">
      <text>
        <r>
          <rPr>
            <sz val="8"/>
            <color indexed="81"/>
            <rFont val="Tahoma"/>
            <family val="2"/>
          </rPr>
          <t xml:space="preserve">Diesel engine rotational speed 
(see Misc.4 and bit. 1)
reference. [r/min]
</t>
        </r>
      </text>
    </comment>
    <comment ref="I7" authorId="0" shapeId="0">
      <text>
        <r>
          <rPr>
            <sz val="8"/>
            <color indexed="81"/>
            <rFont val="Tahoma"/>
            <family val="2"/>
          </rPr>
          <t>Drive pump displacement reference.
(see Misc.4 and bit. 2)
[-1000..1000]</t>
        </r>
      </text>
    </comment>
    <comment ref="K7" authorId="0" shapeId="0">
      <text>
        <r>
          <rPr>
            <sz val="8"/>
            <color indexed="81"/>
            <rFont val="Tahoma"/>
            <family val="2"/>
          </rPr>
          <t>Control signal for Auxiliary hydraulics. [-100…100%]</t>
        </r>
      </text>
    </comment>
    <comment ref="L7" authorId="1" shapeId="0">
      <text>
        <r>
          <rPr>
            <sz val="8"/>
            <color indexed="81"/>
            <rFont val="Tahoma"/>
            <family val="2"/>
          </rPr>
          <t>Bit 1: Enable CWA control
Bit 2: Enable drive pump control
        (disables speed control)
Bit 3: Enable Aux. Hydr. Control
        (Tooltip can not controlled by Bodas)
Bit 4: Enable power of the work
        (See Byte6)
Bit 5: Enable drive motor control
        (disables speed control)
Bits 6..8: Reserved</t>
        </r>
      </text>
    </comment>
    <comment ref="M7" authorId="0" shapeId="0">
      <text>
        <r>
          <rPr>
            <sz val="8"/>
            <color indexed="81"/>
            <rFont val="Tahoma"/>
            <family val="2"/>
          </rPr>
          <t>Available power for
work hydraulics 
(see Misc.4) [kW].</t>
        </r>
      </text>
    </comment>
    <comment ref="N7" authorId="1" shapeId="0">
      <text>
        <r>
          <rPr>
            <sz val="8"/>
            <color indexed="81"/>
            <rFont val="Tahoma"/>
            <family val="2"/>
          </rPr>
          <t>Drive motor displacement reference.
(see Misc.4 and bit. 5)
[0..100=maxDispl..minDispl.]</t>
        </r>
      </text>
    </comment>
    <comment ref="G8" authorId="0" shapeId="0">
      <text>
        <r>
          <rPr>
            <sz val="8"/>
            <color indexed="81"/>
            <rFont val="Tahoma"/>
            <family val="2"/>
          </rPr>
          <t xml:space="preserve">Scooping mode [uint8]:
1 = None/Not active
2 = Auto:Drive to pile
3 = Auto:Pile breaking
4 = Auto:Lifting load
5 = Auto: Reversing
10 = None/Not active
11 = Auto:Drive to bin
12 = Auto:Unload bycket
13 = Auto:Reversing from the bin
14 = Auto: Reversing
</t>
        </r>
      </text>
    </comment>
    <comment ref="H8" authorId="2" shapeId="0">
      <text>
        <r>
          <rPr>
            <sz val="9"/>
            <color indexed="81"/>
            <rFont val="Tahoma"/>
            <family val="2"/>
          </rPr>
          <t>Pile detection [uint8]</t>
        </r>
        <r>
          <rPr>
            <sz val="9"/>
            <color indexed="81"/>
            <rFont val="Tahoma"/>
            <charset val="1"/>
          </rPr>
          <t xml:space="preserve">
Bit1 = Pile detected 
Bit2 = Bin detected</t>
        </r>
      </text>
    </comment>
    <comment ref="G9" authorId="3" shapeId="0">
      <text>
        <r>
          <rPr>
            <sz val="9"/>
            <color indexed="81"/>
            <rFont val="Tahoma"/>
            <family val="2"/>
          </rPr>
          <t xml:space="preserve">Operator commands for the automatic scooping [uint8]
Bit 1: 1=Start auto pile; 0=Stop auto piile
Bit 2: 1=Start auto unloading; 0=Stop auto unloading
</t>
        </r>
      </text>
    </comment>
    <comment ref="G10" authorId="0" shapeId="0">
      <text>
        <r>
          <rPr>
            <sz val="8"/>
            <color indexed="81"/>
            <rFont val="Tahoma"/>
            <family val="2"/>
          </rPr>
          <t>Power request of work hydraulics [kW].</t>
        </r>
      </text>
    </comment>
    <comment ref="H10" authorId="0" shapeId="0">
      <text>
        <r>
          <rPr>
            <sz val="8"/>
            <color indexed="81"/>
            <rFont val="Tahoma"/>
            <family val="2"/>
          </rPr>
          <t>Rotational speed request of work hydraulics [10*rpm].</t>
        </r>
      </text>
    </comment>
    <comment ref="I10" authorId="0" shapeId="0">
      <text>
        <r>
          <rPr>
            <sz val="8"/>
            <color indexed="81"/>
            <rFont val="Tahoma"/>
            <family val="2"/>
          </rPr>
          <t>Calculated power of work hydraulics [kW].</t>
        </r>
      </text>
    </comment>
    <comment ref="J10" authorId="0" shapeId="0">
      <text>
        <r>
          <rPr>
            <sz val="8"/>
            <color indexed="81"/>
            <rFont val="Tahoma"/>
            <family val="2"/>
          </rPr>
          <t>Calculated power of reference system (work hydraulics [kW].</t>
        </r>
      </text>
    </comment>
    <comment ref="K10" authorId="4" shapeId="0">
      <text>
        <r>
          <rPr>
            <sz val="8"/>
            <color indexed="81"/>
            <rFont val="Tahoma"/>
            <family val="2"/>
          </rPr>
          <t>Active modes 
1 = active, 0 = inactive
Bit 1: Boom I-O extending
Bit 2: Boom I-O retracting
Bit 3: Boom Diff extending
Bit 4: Boom Diff retracting
Bit 5: Bucket I-O extending
Bit 6: Bucket I-O retracting
Bit 7: Bucket Diff extending
Bit 8: Bucket Diff retracting</t>
        </r>
      </text>
    </comment>
    <comment ref="L10" authorId="3" shapeId="0">
      <text>
        <r>
          <rPr>
            <b/>
            <sz val="9"/>
            <color indexed="81"/>
            <rFont val="Tahoma"/>
            <charset val="1"/>
          </rPr>
          <t xml:space="preserve">Bit1: </t>
        </r>
        <r>
          <rPr>
            <sz val="9"/>
            <color indexed="81"/>
            <rFont val="Tahoma"/>
            <family val="2"/>
          </rPr>
          <t>gear Turttle</t>
        </r>
        <r>
          <rPr>
            <b/>
            <sz val="9"/>
            <color indexed="81"/>
            <rFont val="Tahoma"/>
            <charset val="1"/>
          </rPr>
          <t xml:space="preserve">
Bit2:</t>
        </r>
        <r>
          <rPr>
            <sz val="9"/>
            <color indexed="81"/>
            <rFont val="Tahoma"/>
            <family val="2"/>
          </rPr>
          <t xml:space="preserve"> gear Rabbit
</t>
        </r>
        <r>
          <rPr>
            <b/>
            <sz val="9"/>
            <color indexed="81"/>
            <rFont val="Tahoma"/>
            <family val="2"/>
          </rPr>
          <t>Bit3..8:</t>
        </r>
        <r>
          <rPr>
            <sz val="9"/>
            <color indexed="81"/>
            <rFont val="Tahoma"/>
            <family val="2"/>
          </rPr>
          <t xml:space="preserve"> NotDef
</t>
        </r>
      </text>
    </comment>
    <comment ref="M10" authorId="3" shapeId="0">
      <text>
        <r>
          <rPr>
            <sz val="9"/>
            <color indexed="81"/>
            <rFont val="Tahoma"/>
            <charset val="1"/>
          </rPr>
          <t xml:space="preserve">Pressure of auxiliary pump [bar] 
</t>
        </r>
      </text>
    </comment>
    <comment ref="G11" authorId="0" shapeId="0">
      <text>
        <r>
          <rPr>
            <sz val="8"/>
            <color indexed="81"/>
            <rFont val="Tahoma"/>
            <family val="2"/>
          </rPr>
          <t>Work pump reference [mA].</t>
        </r>
      </text>
    </comment>
    <comment ref="I11" authorId="1" shapeId="0">
      <text>
        <r>
          <rPr>
            <sz val="8"/>
            <color indexed="81"/>
            <rFont val="Tahoma"/>
            <family val="2"/>
          </rPr>
          <t>Bit 1: Set Work pump on/off valve
Bits 2..8: Reserved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3" shapeId="0">
      <text>
        <r>
          <rPr>
            <sz val="9"/>
            <color indexed="81"/>
            <rFont val="Tahoma"/>
            <family val="2"/>
          </rPr>
          <t>0 = 0, 1 = forward, 2 = backwards</t>
        </r>
      </text>
    </comment>
    <comment ref="G13" authorId="3" shapeId="0">
      <text>
        <r>
          <rPr>
            <sz val="9"/>
            <color indexed="81"/>
            <rFont val="Tahoma"/>
            <charset val="1"/>
          </rPr>
          <t xml:space="preserve">Maximum supply pressure of work pump, [0.01 bar] </t>
        </r>
      </text>
    </comment>
    <comment ref="I13" authorId="3" shapeId="0">
      <text>
        <r>
          <rPr>
            <sz val="9"/>
            <color indexed="81"/>
            <rFont val="Tahoma"/>
            <charset val="1"/>
          </rPr>
          <t xml:space="preserve">Supply pressure of work pump, [0.01 bar] </t>
        </r>
      </text>
    </comment>
    <comment ref="G14" authorId="3" shapeId="0">
      <text>
        <r>
          <rPr>
            <sz val="9"/>
            <color indexed="81"/>
            <rFont val="Tahoma"/>
            <charset val="1"/>
          </rPr>
          <t>Pressure of Lift cylinder, A-port [bar] [0.01 bar]</t>
        </r>
      </text>
    </comment>
    <comment ref="I14" authorId="3" shapeId="0">
      <text>
        <r>
          <rPr>
            <sz val="9"/>
            <color indexed="81"/>
            <rFont val="Tahoma"/>
            <charset val="1"/>
          </rPr>
          <t>Pressure of Lift cylinder, B-port [bar] [0.01 bar]</t>
        </r>
      </text>
    </comment>
    <comment ref="K14" authorId="3" shapeId="0">
      <text>
        <r>
          <rPr>
            <sz val="9"/>
            <color indexed="81"/>
            <rFont val="Tahoma"/>
            <family val="2"/>
          </rPr>
          <t>Pressure of Tilt cylinder, B-port [bar] [0.01 bar]</t>
        </r>
      </text>
    </comment>
    <comment ref="M14" authorId="3" shapeId="0">
      <text>
        <r>
          <rPr>
            <sz val="9"/>
            <color indexed="81"/>
            <rFont val="Tahoma"/>
            <family val="2"/>
          </rPr>
          <t>Pressure of Tilt cylinder, A-port [bar] [0.01 bar]</t>
        </r>
      </text>
    </comment>
    <comment ref="G15" authorId="3" shapeId="0">
      <text>
        <r>
          <rPr>
            <sz val="9"/>
            <color indexed="81"/>
            <rFont val="Tahoma"/>
            <charset val="1"/>
          </rPr>
          <t xml:space="preserve">Maximum supply pressure of work pump, [0.01 bar] </t>
        </r>
      </text>
    </comment>
    <comment ref="I15" authorId="1" shapeId="0">
      <text>
        <r>
          <rPr>
            <sz val="8"/>
            <color indexed="81"/>
            <rFont val="Tahoma"/>
            <family val="2"/>
          </rPr>
          <t xml:space="preserve">Bit 1: Activate Mooring (T-type pressure compensator, no load holding function)
Bit 2: Set joystick position to control max pressure and flow rate (QP-control)
Bits 3..8: Reserved
</t>
        </r>
      </text>
    </comment>
    <comment ref="G16" authorId="0" shapeId="0">
      <text>
        <r>
          <rPr>
            <sz val="8"/>
            <color indexed="81"/>
            <rFont val="Tahoma"/>
            <family val="2"/>
          </rPr>
          <t>Bucket reference.
  Position [Not used].
  Velocity [per mil].
Selection with byte 6.</t>
        </r>
      </text>
    </comment>
    <comment ref="I16" authorId="0" shapeId="0">
      <text>
        <r>
          <rPr>
            <sz val="8"/>
            <color indexed="81"/>
            <rFont val="Tahoma"/>
            <family val="2"/>
          </rPr>
          <t>Boom reference.
  Position [mm (Cylinder position)].
  Velocity [per mil].
Selection with byte 6.</t>
        </r>
      </text>
    </comment>
    <comment ref="K16" authorId="0" shapeId="0">
      <text>
        <r>
          <rPr>
            <sz val="8"/>
            <color indexed="81"/>
            <rFont val="Tahoma"/>
            <family val="2"/>
          </rPr>
          <t>Available power for
work hydraulics [kW].</t>
        </r>
      </text>
    </comment>
    <comment ref="L16" authorId="0" shapeId="0">
      <text>
        <r>
          <rPr>
            <sz val="8"/>
            <color indexed="81"/>
            <rFont val="Tahoma"/>
            <family val="2"/>
          </rPr>
          <t xml:space="preserve">Diesel engine rotational speed [10 r/min].
</t>
        </r>
      </text>
    </comment>
    <comment ref="M16" authorId="0" shapeId="0">
      <text>
        <r>
          <rPr>
            <sz val="8"/>
            <color indexed="81"/>
            <rFont val="Tahoma"/>
            <family val="2"/>
          </rPr>
          <t>Emerg.Stop Bit 1: 1 = Run; 0=Stop
Position control Bit 2: 1=ON; 0=OFF
Velocity control Bit 3: 1=ON; 0=OFF
Bit 4: Gear forward
Bit 5:  Gear backward
Bit 6: Running permission
Bit 7: Start motor
Bit 8: Work hydraulic simulates
        propotional system</t>
        </r>
      </text>
    </comment>
    <comment ref="G17" authorId="0" shapeId="0">
      <text>
        <r>
          <rPr>
            <sz val="8"/>
            <color indexed="81"/>
            <rFont val="Tahoma"/>
            <family val="2"/>
          </rPr>
          <t>Percent load at current speed [1%/bit].
Does not include frictions of the engine 
-&gt; value = 0 when no external load.</t>
        </r>
      </text>
    </comment>
    <comment ref="H17" authorId="0" shapeId="0">
      <text>
        <r>
          <rPr>
            <sz val="8"/>
            <color indexed="81"/>
            <rFont val="Tahoma"/>
            <family val="2"/>
          </rPr>
          <t>Currently consumed power [kW].</t>
        </r>
      </text>
    </comment>
    <comment ref="I17" authorId="0" shapeId="0">
      <text>
        <r>
          <rPr>
            <sz val="8"/>
            <color indexed="81"/>
            <rFont val="Tahoma"/>
            <family val="2"/>
          </rPr>
          <t>Emerg.Stop Bit 1: 1 = Run; 0=Stop
Bit 2: Not defined
Start-up in progress Bit 3: 1=ON; 0=OFF
Drive mode  Bits 4-6:
  1: Manual
  2: Autonomous
  3: Remote
Bit 7: Reserved
Bit 8: Grid heater heating</t>
        </r>
      </text>
    </comment>
    <comment ref="J17" authorId="0" shapeId="0">
      <text>
        <r>
          <rPr>
            <sz val="8"/>
            <color indexed="81"/>
            <rFont val="Tahoma"/>
            <family val="2"/>
          </rPr>
          <t>Consumed power of HST [kW]</t>
        </r>
      </text>
    </comment>
    <comment ref="K17" authorId="0" shapeId="0">
      <text>
        <r>
          <rPr>
            <sz val="8"/>
            <color indexed="81"/>
            <rFont val="Tahoma"/>
            <family val="2"/>
          </rPr>
          <t>Requested speed for diesel [10 r/min].</t>
        </r>
      </text>
    </comment>
    <comment ref="L17" authorId="0" shapeId="0">
      <text>
        <r>
          <rPr>
            <sz val="8"/>
            <color indexed="81"/>
            <rFont val="Tahoma"/>
            <family val="2"/>
          </rPr>
          <t>Requested machine speed [%].</t>
        </r>
      </text>
    </comment>
    <comment ref="M17" authorId="1" shapeId="0">
      <text>
        <r>
          <rPr>
            <b/>
            <sz val="8"/>
            <color indexed="81"/>
            <rFont val="Tahoma"/>
            <family val="2"/>
          </rPr>
          <t xml:space="preserve">RC36:
</t>
        </r>
        <r>
          <rPr>
            <sz val="8"/>
            <color indexed="81"/>
            <rFont val="Tahoma"/>
            <family val="2"/>
          </rPr>
          <t>Vehicle's speed [km/h]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 xml:space="preserve">RC36:
</t>
        </r>
        <r>
          <rPr>
            <sz val="8"/>
            <color indexed="81"/>
            <rFont val="Tahoma"/>
            <family val="2"/>
          </rPr>
          <t>Central link angle [0°..180°, 90° = centered ]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sz val="8"/>
            <color indexed="81"/>
            <rFont val="Tahoma"/>
            <family val="2"/>
          </rPr>
          <t xml:space="preserve">Diesel engine consumption [0.05 l/h]
</t>
        </r>
      </text>
    </comment>
    <comment ref="I18" authorId="0" shapeId="0">
      <text>
        <r>
          <rPr>
            <sz val="8"/>
            <color indexed="81"/>
            <rFont val="Tahoma"/>
            <family val="2"/>
          </rPr>
          <t>Temperature of HST oil. [deg]</t>
        </r>
      </text>
    </comment>
    <comment ref="J18" authorId="0" shapeId="0">
      <text>
        <r>
          <rPr>
            <sz val="8"/>
            <color indexed="81"/>
            <rFont val="Tahoma"/>
            <family val="2"/>
          </rPr>
          <t>Temperature of tank oil. [deg]</t>
        </r>
      </text>
    </comment>
    <comment ref="K18" authorId="1" shapeId="0">
      <text>
        <r>
          <rPr>
            <sz val="8"/>
            <color indexed="81"/>
            <rFont val="Tahoma"/>
            <family val="2"/>
          </rPr>
          <t>Fuel Sensor, fuel level
 [%]</t>
        </r>
      </text>
    </comment>
    <comment ref="L18" authorId="1" shapeId="0">
      <text>
        <r>
          <rPr>
            <sz val="8"/>
            <color indexed="81"/>
            <rFont val="Tahoma"/>
            <family val="2"/>
          </rPr>
          <t xml:space="preserve">Displacement of the work pump (SWS) [mV] </t>
        </r>
      </text>
    </comment>
    <comment ref="N18" authorId="3" shapeId="0">
      <text>
        <r>
          <rPr>
            <sz val="9"/>
            <color indexed="81"/>
            <rFont val="Tahoma"/>
            <charset val="1"/>
          </rPr>
          <t>Displacement command of Hydrostatic Drive Motor [%] [0..100 = max.. min]</t>
        </r>
      </text>
    </comment>
    <comment ref="G19" authorId="1" shapeId="0">
      <text>
        <r>
          <rPr>
            <sz val="8"/>
            <color indexed="81"/>
            <rFont val="Tahoma"/>
            <family val="2"/>
          </rPr>
          <t>Rotational speed of hydrostatic transmission motor [1/10 Hz]</t>
        </r>
      </text>
    </comment>
    <comment ref="I19" authorId="1" shapeId="0">
      <text>
        <r>
          <rPr>
            <sz val="8"/>
            <color indexed="81"/>
            <rFont val="Tahoma"/>
            <family val="2"/>
          </rPr>
          <t xml:space="preserve">Bit 1: HSD motor forward
Bit 2: HSD motor backwad
Bits 3..8: Reserved
</t>
        </r>
      </text>
    </comment>
    <comment ref="J19" authorId="0" shapeId="0">
      <text>
        <r>
          <rPr>
            <b/>
            <sz val="8"/>
            <color indexed="81"/>
            <rFont val="Tahoma"/>
            <family val="2"/>
          </rPr>
          <t>CAN-Joystick</t>
        </r>
        <r>
          <rPr>
            <sz val="8"/>
            <color indexed="81"/>
            <rFont val="Tahoma"/>
            <family val="2"/>
          </rPr>
          <t xml:space="preserve">
X-axel of the joystick
[-100..100]</t>
        </r>
      </text>
    </comment>
    <comment ref="K19" authorId="1" shapeId="0">
      <text>
        <r>
          <rPr>
            <b/>
            <sz val="8"/>
            <color indexed="81"/>
            <rFont val="Tahoma"/>
            <family val="2"/>
          </rPr>
          <t xml:space="preserve">CAN-Joystick
</t>
        </r>
        <r>
          <rPr>
            <sz val="8"/>
            <color indexed="81"/>
            <rFont val="Tahoma"/>
            <family val="2"/>
          </rPr>
          <t>Y-axel of the joystick
[-100..100]</t>
        </r>
      </text>
    </comment>
    <comment ref="L19" authorId="0" shapeId="0">
      <text>
        <r>
          <rPr>
            <b/>
            <sz val="8"/>
            <color indexed="81"/>
            <rFont val="Tahoma"/>
            <family val="2"/>
          </rPr>
          <t>CAN-Joystick</t>
        </r>
        <r>
          <rPr>
            <sz val="8"/>
            <color indexed="81"/>
            <rFont val="Tahoma"/>
            <family val="2"/>
          </rPr>
          <t xml:space="preserve">
Bit 1: Joystick Button 4 (Back)
Bit 2: Joystick Button 3 (Right)
Bit 3: Joystick Button 2 (Left)
Bit 4: Joystick Button 1 (Lowest)</t>
        </r>
      </text>
    </comment>
    <comment ref="M19" authorId="3" shapeId="0">
      <text>
        <r>
          <rPr>
            <sz val="9"/>
            <color indexed="81"/>
            <rFont val="Tahoma"/>
            <family val="2"/>
          </rPr>
          <t>gasPedal 0..1 = 0..255 [uint8]</t>
        </r>
      </text>
    </comment>
    <comment ref="G20" authorId="1" shapeId="0">
      <text>
        <r>
          <rPr>
            <sz val="8"/>
            <color indexed="81"/>
            <rFont val="Tahoma"/>
            <family val="2"/>
          </rPr>
          <t>Position of the lift
[mV]</t>
        </r>
      </text>
    </comment>
    <comment ref="I20" authorId="1" shapeId="0">
      <text>
        <r>
          <rPr>
            <sz val="8"/>
            <color indexed="81"/>
            <rFont val="Tahoma"/>
            <family val="2"/>
          </rPr>
          <t>Position of the tilt
[mV]</t>
        </r>
      </text>
    </comment>
    <comment ref="G21" authorId="0" shapeId="0">
      <text>
        <r>
          <rPr>
            <sz val="8"/>
            <color indexed="81"/>
            <rFont val="Tahoma"/>
            <family val="2"/>
          </rPr>
          <t xml:space="preserve">Emergency stop controller:
0: Normal operation (Remote operation)
1: Emergency stop activated
2: Bypass activated ('Door switch')
3: Dead man's switch not pressed
   (Bypass deactivated but operation is not allowed)
</t>
        </r>
      </text>
    </comment>
    <comment ref="G22" authorId="0" shapeId="0">
      <text>
        <r>
          <rPr>
            <sz val="8"/>
            <color indexed="81"/>
            <rFont val="Tahoma"/>
            <family val="2"/>
          </rPr>
          <t xml:space="preserve">Status (includes some useless legacy crap, essential bits on </t>
        </r>
        <r>
          <rPr>
            <b/>
            <sz val="8"/>
            <color indexed="81"/>
            <rFont val="Tahoma"/>
            <family val="2"/>
          </rPr>
          <t>bold</t>
        </r>
        <r>
          <rPr>
            <sz val="8"/>
            <color indexed="81"/>
            <rFont val="Tahoma"/>
            <family val="2"/>
          </rPr>
          <t xml:space="preserve">):
</t>
        </r>
        <r>
          <rPr>
            <b/>
            <sz val="8"/>
            <color indexed="81"/>
            <rFont val="Tahoma"/>
            <family val="2"/>
          </rPr>
          <t xml:space="preserve">bit7..6: tool mode </t>
        </r>
        <r>
          <rPr>
            <sz val="8"/>
            <color indexed="81"/>
            <rFont val="Tahoma"/>
            <family val="2"/>
          </rPr>
          <t>(</t>
        </r>
        <r>
          <rPr>
            <b/>
            <sz val="8"/>
            <color indexed="81"/>
            <rFont val="Tahoma"/>
            <family val="2"/>
          </rPr>
          <t>00:drive</t>
        </r>
        <r>
          <rPr>
            <sz val="8"/>
            <color indexed="81"/>
            <rFont val="Tahoma"/>
            <family val="2"/>
          </rPr>
          <t xml:space="preserve">,10:excavator)
bit5: start status (direct from controller)
</t>
        </r>
        <r>
          <rPr>
            <b/>
            <sz val="8"/>
            <color indexed="81"/>
            <rFont val="Tahoma"/>
            <family val="2"/>
          </rPr>
          <t>bit4: engine status (0: stall, 1: run)</t>
        </r>
        <r>
          <rPr>
            <sz val="8"/>
            <color indexed="81"/>
            <rFont val="Tahoma"/>
            <family val="2"/>
          </rPr>
          <t xml:space="preserve">
bit3..1: don't care (always 0)
</t>
        </r>
        <r>
          <rPr>
            <b/>
            <sz val="8"/>
            <color indexed="81"/>
            <rFont val="Tahoma"/>
            <family val="2"/>
          </rPr>
          <t>bit0: connection status (0:disconnected, 1:connected)</t>
        </r>
      </text>
    </comment>
    <comment ref="H22" authorId="5" shapeId="0">
      <text>
        <r>
          <rPr>
            <sz val="8"/>
            <color indexed="81"/>
            <rFont val="Tahoma"/>
            <family val="2"/>
          </rPr>
          <t>"Pedal position" directly from Jarno's controller, 0..127 (in excavator mode -127..127)</t>
        </r>
      </text>
    </comment>
    <comment ref="I22" authorId="5" shapeId="0">
      <text>
        <r>
          <rPr>
            <sz val="8"/>
            <color indexed="81"/>
            <rFont val="Tahoma"/>
            <family val="2"/>
          </rPr>
          <t>Steering command directly from Jarno's controller, probably -127..127</t>
        </r>
      </text>
    </comment>
    <comment ref="J22" authorId="5" shapeId="0">
      <text>
        <r>
          <rPr>
            <sz val="8"/>
            <color indexed="81"/>
            <rFont val="Tahoma"/>
            <family val="2"/>
          </rPr>
          <t>Boom control directly from Jarno's controller, probably -127..127</t>
        </r>
      </text>
    </comment>
    <comment ref="K22" authorId="5" shapeId="0">
      <text>
        <r>
          <rPr>
            <sz val="8"/>
            <color indexed="81"/>
            <rFont val="Tahoma"/>
            <family val="2"/>
          </rPr>
          <t xml:space="preserve">Bucket control directly from Jarno's controller, probably -127..127
</t>
        </r>
      </text>
    </comment>
    <comment ref="L22" authorId="5" shapeId="0">
      <text>
        <r>
          <rPr>
            <sz val="8"/>
            <color indexed="81"/>
            <rFont val="Tahoma"/>
            <family val="2"/>
          </rPr>
          <t>External hydraulics control directly from Jarno's controller
3 states: -127, 0, 127</t>
        </r>
      </text>
    </comment>
    <comment ref="M22" authorId="5" shapeId="0">
      <text>
        <r>
          <rPr>
            <sz val="8"/>
            <color indexed="81"/>
            <rFont val="Tahoma"/>
            <family val="2"/>
          </rPr>
          <t>Buttons &amp; other statuses: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bit7: control mode (0:manual, 1:remote)
bit6..5: telescope (01:retract, 10:extend)
bit4: brake (0:off, 1:on)
bit3: headlights (0:off, 1:on)
bit2: boost pump (0:off, 1:on)
bit1..0: gear (00:N, 01:F, 10:R)</t>
        </r>
      </text>
    </comment>
    <comment ref="G23" authorId="6" shapeId="0">
      <text>
        <r>
          <rPr>
            <sz val="8"/>
            <color indexed="81"/>
            <rFont val="Tahoma"/>
            <family val="2"/>
          </rPr>
          <t>angular velocity around x-axis
[0.003125</t>
        </r>
        <r>
          <rPr>
            <sz val="8"/>
            <color indexed="81"/>
            <rFont val="Calibri"/>
            <family val="2"/>
          </rPr>
          <t>°</t>
        </r>
        <r>
          <rPr>
            <sz val="9.1999999999999993"/>
            <color indexed="81"/>
            <rFont val="Tahoma"/>
            <family val="2"/>
          </rPr>
          <t>/s]</t>
        </r>
      </text>
    </comment>
    <comment ref="I23" authorId="6" shapeId="0">
      <text>
        <r>
          <rPr>
            <sz val="8"/>
            <color indexed="81"/>
            <rFont val="Tahoma"/>
            <family val="2"/>
          </rPr>
          <t xml:space="preserve">angular velocity around y-axis
[0.003125°/s]
</t>
        </r>
      </text>
    </comment>
    <comment ref="K23" authorId="6" shapeId="0">
      <text>
        <r>
          <rPr>
            <sz val="8"/>
            <color indexed="81"/>
            <rFont val="Tahoma"/>
            <family val="2"/>
          </rPr>
          <t>angular velocity around z-axis
[0.003125°/s]</t>
        </r>
      </text>
    </comment>
    <comment ref="M23" authorId="6" shapeId="0">
      <text>
        <r>
          <rPr>
            <sz val="8"/>
            <color indexed="81"/>
            <rFont val="Tahoma"/>
            <family val="2"/>
          </rPr>
          <t>ADIS16385 chip temperature [0.0678°C]
offset: 0 corresponds to 25°C</t>
        </r>
      </text>
    </comment>
    <comment ref="G24" authorId="6" shapeId="0">
      <text>
        <r>
          <rPr>
            <sz val="8"/>
            <color indexed="81"/>
            <rFont val="Tahoma"/>
            <family val="2"/>
          </rPr>
          <t>acceleration in direction x [0.25 mg] ≈ [0.00245 m/s</t>
        </r>
        <r>
          <rPr>
            <sz val="8"/>
            <color indexed="81"/>
            <rFont val="Calibri"/>
            <family val="2"/>
          </rPr>
          <t>²</t>
        </r>
        <r>
          <rPr>
            <sz val="9.1999999999999993"/>
            <color indexed="81"/>
            <rFont val="Tahoma"/>
            <family val="2"/>
          </rPr>
          <t>]</t>
        </r>
      </text>
    </comment>
    <comment ref="I24" authorId="6" shapeId="0">
      <text>
        <r>
          <rPr>
            <sz val="8"/>
            <color indexed="81"/>
            <rFont val="Tahoma"/>
            <family val="2"/>
          </rPr>
          <t>acceleration in direction y [0.25 mg] ≈ [0.00245 m/s²]</t>
        </r>
      </text>
    </comment>
    <comment ref="K24" authorId="6" shapeId="0">
      <text>
        <r>
          <rPr>
            <sz val="8"/>
            <color indexed="81"/>
            <rFont val="Tahoma"/>
            <family val="2"/>
          </rPr>
          <t>acceleration in direction z [0.25 mg] ≈ [0.00245 m/s²]</t>
        </r>
      </text>
    </comment>
    <comment ref="M24" authorId="6" shapeId="0">
      <text>
        <r>
          <rPr>
            <sz val="8"/>
            <color indexed="81"/>
            <rFont val="Tahoma"/>
            <family val="2"/>
          </rPr>
          <t xml:space="preserve">ADIS16385 diagnostics
[15] Z-axis accelerometer self-test failure (1 = fail, 0 = pass) 
[14] Y-axis accelerometer self-test failure (1 = fail, 0 = pass) 
[13] X-axis accelerometer self-test failure (1 = fail, 0 = pass) 
[12] Z-axis gyroscope self-test failure (1 = fail, 0 = pass) 
[11] Y-axis gyroscope self-test failure (1 = fail, 0 = pass) 
[10] X-axis gyroscope self-test failure (1 = fail, 0 = pass) 
[9]  Alarm 2 status (1 = active, 0 = inactive) 
[8]  Alarm 1 status (1 = active, 0 = inactive) 
[7]  Not used 
[6]  Flash test, checksum flag (1 = fail, 0 = pass)  
[5]  Self-test diagnostic error flag (1 = fail, 0 = pass) 
[4]  Sensor overrange (1 = overrange, 0 = normal) 
[3]  SPI communication failure (1 = fail, 0 = pass) 
[2]  Flash update failure (1 = fail, 0 = pass) 
[1]  Not used 
[0]  Power supply low (1 = VDD &lt; 4.85 V, 0 = VDD ≥ 4.85 V)  </t>
        </r>
      </text>
    </comment>
    <comment ref="G25" authorId="0" shapeId="0">
      <text>
        <r>
          <rPr>
            <sz val="8"/>
            <color indexed="81"/>
            <rFont val="Tahoma"/>
            <family val="2"/>
          </rPr>
          <t>Target angle in EP-mode [%/10].
Target direction in DA-mode [-1000 or 1000].
Target flow in constant flow -mode [L/min].</t>
        </r>
      </text>
    </comment>
    <comment ref="I25" authorId="0" shapeId="0">
      <text>
        <r>
          <rPr>
            <sz val="8"/>
            <color indexed="81"/>
            <rFont val="Tahoma"/>
            <family val="2"/>
          </rPr>
          <t>Target rpm in load limiting control [r/min].</t>
        </r>
      </text>
    </comment>
    <comment ref="G26" authorId="0" shapeId="0">
      <text>
        <r>
          <rPr>
            <sz val="8"/>
            <color indexed="81"/>
            <rFont val="Tahoma"/>
            <family val="2"/>
          </rPr>
          <t>Target power [kW].</t>
        </r>
      </text>
    </comment>
    <comment ref="G27" authorId="0" shapeId="0">
      <text>
        <r>
          <rPr>
            <sz val="8"/>
            <color indexed="81"/>
            <rFont val="Tahoma"/>
            <family val="2"/>
          </rPr>
          <t>Target pressure cut-off [bar].</t>
        </r>
      </text>
    </comment>
    <comment ref="B28" authorId="0" shapeId="0">
      <text>
        <r>
          <rPr>
            <sz val="8"/>
            <color indexed="81"/>
            <rFont val="Tahoma"/>
            <family val="2"/>
          </rPr>
          <t>On event max. Each 10 ms</t>
        </r>
      </text>
    </comment>
    <comment ref="G28" authorId="0" shapeId="0">
      <text>
        <r>
          <rPr>
            <sz val="8"/>
            <color indexed="81"/>
            <rFont val="Tahoma"/>
            <family val="2"/>
          </rPr>
          <t>Error with the highest priority</t>
        </r>
      </text>
    </comment>
    <comment ref="G29" authorId="0" shapeId="0">
      <text>
        <r>
          <rPr>
            <sz val="8"/>
            <color indexed="81"/>
            <rFont val="Tahoma"/>
            <family val="2"/>
          </rPr>
          <t>Error reaction:
Bit 1: Reduced swivel angle
Bit 2: Reduced power
Bit 3: Power limitation not possible
Bit 4: Pres.cut-off not possible
Bit 5: Torque limitation not possible
Bit 6: Constant flow not possible
Bit 7: Stop</t>
        </r>
      </text>
    </comment>
    <comment ref="I29" authorId="0" shapeId="0">
      <text>
        <r>
          <rPr>
            <sz val="8"/>
            <color indexed="81"/>
            <rFont val="Tahoma"/>
            <family val="2"/>
          </rPr>
          <t>Measured swivel angle [%/10].</t>
        </r>
      </text>
    </comment>
    <comment ref="K29" authorId="0" shapeId="0">
      <text>
        <r>
          <rPr>
            <sz val="8"/>
            <color indexed="81"/>
            <rFont val="Tahoma"/>
            <family val="2"/>
          </rPr>
          <t>Measured pressure at port A [bar].</t>
        </r>
      </text>
    </comment>
    <comment ref="M29" authorId="0" shapeId="0">
      <text>
        <r>
          <rPr>
            <sz val="8"/>
            <color indexed="81"/>
            <rFont val="Tahoma"/>
            <family val="2"/>
          </rPr>
          <t>Measured pressure at port B [bar].</t>
        </r>
      </text>
    </comment>
    <comment ref="G30" authorId="0" shapeId="0">
      <text>
        <r>
          <rPr>
            <sz val="8"/>
            <color indexed="81"/>
            <rFont val="Tahoma"/>
            <family val="2"/>
          </rPr>
          <t>Electrical current of coil A [mA]</t>
        </r>
      </text>
    </comment>
    <comment ref="I30" authorId="0" shapeId="0">
      <text>
        <r>
          <rPr>
            <sz val="8"/>
            <color indexed="81"/>
            <rFont val="Tahoma"/>
            <family val="2"/>
          </rPr>
          <t>Electrical current of coil B [mA]</t>
        </r>
      </text>
    </comment>
    <comment ref="K30" authorId="0" shapeId="0">
      <text>
        <r>
          <rPr>
            <sz val="8"/>
            <color indexed="81"/>
            <rFont val="Tahoma"/>
            <family val="2"/>
          </rPr>
          <t>Calculated theoretical power [kW]</t>
        </r>
      </text>
    </comment>
    <comment ref="M30" authorId="0" shapeId="0">
      <text>
        <r>
          <rPr>
            <sz val="8"/>
            <color indexed="81"/>
            <rFont val="Tahoma"/>
            <family val="2"/>
          </rPr>
          <t>Operation direction
0 = Pump
1 = Motor</t>
        </r>
      </text>
    </comment>
    <comment ref="N30" authorId="0" shapeId="0">
      <text>
        <r>
          <rPr>
            <sz val="8"/>
            <color indexed="81"/>
            <rFont val="Tahoma"/>
            <family val="2"/>
          </rPr>
          <t>Operation mode:
0 = Star-up test
1 = Start condition
2 = Adjust
3 = EP
4 = DA
5 = Constant flow
6 = Stop
7 = Test
8 = ESPL (OBE)
9 = ESPL (ECU)</t>
        </r>
      </text>
    </comment>
    <comment ref="G31" authorId="0" shapeId="0">
      <text>
        <r>
          <rPr>
            <sz val="8"/>
            <color indexed="81"/>
            <rFont val="Tahoma"/>
            <family val="2"/>
          </rPr>
          <t>Calculated flow [0,1 L/min].</t>
        </r>
      </text>
    </comment>
    <comment ref="I31" authorId="0" shapeId="0">
      <text>
        <r>
          <rPr>
            <sz val="8"/>
            <color indexed="81"/>
            <rFont val="Tahoma"/>
            <family val="2"/>
          </rPr>
          <t>Measured rotational speed [r/min].</t>
        </r>
      </text>
    </comment>
    <comment ref="K31" authorId="0" shapeId="0">
      <text>
        <r>
          <rPr>
            <sz val="8"/>
            <color indexed="81"/>
            <rFont val="Tahoma"/>
            <family val="2"/>
          </rPr>
          <t>Temperature of printed circuit board (PCB) [</t>
        </r>
        <r>
          <rPr>
            <sz val="8"/>
            <color indexed="81"/>
            <rFont val="Arial"/>
            <family val="2"/>
          </rPr>
          <t>°</t>
        </r>
        <r>
          <rPr>
            <sz val="8"/>
            <color indexed="81"/>
            <rFont val="Tahoma"/>
            <family val="2"/>
          </rPr>
          <t>C].</t>
        </r>
      </text>
    </comment>
    <comment ref="M31" authorId="0" shapeId="0">
      <text>
        <r>
          <rPr>
            <sz val="8"/>
            <color indexed="81"/>
            <rFont val="Tahoma"/>
            <family val="2"/>
          </rPr>
          <t>External temperature [°C].
Available if additional sensor connected to main connector pin 5.</t>
        </r>
      </text>
    </comment>
    <comment ref="F32" authorId="0" shapeId="0">
      <text>
        <r>
          <rPr>
            <sz val="8"/>
            <color indexed="81"/>
            <rFont val="Tahoma"/>
            <family val="2"/>
          </rPr>
          <t>200 + Node ID + 1</t>
        </r>
      </text>
    </comment>
    <comment ref="G32" authorId="0" shapeId="0">
      <text>
        <r>
          <rPr>
            <sz val="8"/>
            <color indexed="81"/>
            <rFont val="Tahoma"/>
            <family val="2"/>
          </rPr>
          <t>Confirmation of target angle [%/10].</t>
        </r>
      </text>
    </comment>
    <comment ref="I32" authorId="0" shapeId="0">
      <text>
        <r>
          <rPr>
            <sz val="8"/>
            <color indexed="81"/>
            <rFont val="Tahoma"/>
            <family val="2"/>
          </rPr>
          <t>Confirmation of target power [kW].</t>
        </r>
      </text>
    </comment>
    <comment ref="K32" authorId="0" shapeId="0">
      <text>
        <r>
          <rPr>
            <sz val="8"/>
            <color indexed="81"/>
            <rFont val="Tahoma"/>
            <family val="2"/>
          </rPr>
          <t>Confirmation of target cut-off [bar].</t>
        </r>
      </text>
    </comment>
    <comment ref="G33" authorId="0" shapeId="0">
      <text>
        <r>
          <rPr>
            <sz val="8"/>
            <color indexed="81"/>
            <rFont val="Tahoma"/>
            <family val="2"/>
          </rPr>
          <t>Angle of the frame [0,01</t>
        </r>
        <r>
          <rPr>
            <sz val="8"/>
            <color indexed="81"/>
            <rFont val="Arial"/>
            <family val="2"/>
          </rPr>
          <t>°</t>
        </r>
        <r>
          <rPr>
            <sz val="8"/>
            <color indexed="81"/>
            <rFont val="Tahoma"/>
            <family val="2"/>
          </rPr>
          <t>].</t>
        </r>
      </text>
    </comment>
    <comment ref="K33" authorId="0" shapeId="0">
      <text>
        <r>
          <rPr>
            <sz val="8"/>
            <color indexed="81"/>
            <rFont val="Tahoma"/>
            <family val="2"/>
          </rPr>
          <t>Angular velocity of the frame [0,01</t>
        </r>
        <r>
          <rPr>
            <sz val="8"/>
            <color indexed="81"/>
            <rFont val="Arial"/>
            <family val="2"/>
          </rPr>
          <t>°</t>
        </r>
        <r>
          <rPr>
            <sz val="8"/>
            <color indexed="81"/>
            <rFont val="Tahoma"/>
            <family val="2"/>
          </rPr>
          <t>/s].</t>
        </r>
      </text>
    </comment>
    <comment ref="G34" authorId="1" shapeId="0">
      <text>
        <r>
          <rPr>
            <b/>
            <sz val="8"/>
            <color indexed="81"/>
            <rFont val="Tahoma"/>
            <family val="2"/>
          </rPr>
          <t xml:space="preserve">Control </t>
        </r>
        <r>
          <rPr>
            <sz val="8"/>
            <color indexed="81"/>
            <rFont val="Tahoma"/>
            <family val="2"/>
          </rPr>
          <t>(M4 Valve 1 steering)</t>
        </r>
        <r>
          <rPr>
            <b/>
            <sz val="8"/>
            <color indexed="81"/>
            <rFont val="Tahoma"/>
            <family val="2"/>
          </rPr>
          <t xml:space="preserve">:
</t>
        </r>
        <r>
          <rPr>
            <sz val="8"/>
            <color indexed="81"/>
            <rFont val="Tahoma"/>
            <family val="2"/>
          </rPr>
          <t>RMHD Byte [xxxxRMHD]
  D=Disable
  H=Hold
  M=Device module active
  R=Reset fault</t>
        </r>
      </text>
    </comment>
    <comment ref="I34" authorId="1" shapeId="0">
      <text>
        <r>
          <rPr>
            <b/>
            <sz val="8"/>
            <color indexed="81"/>
            <rFont val="Tahoma"/>
            <family val="2"/>
          </rPr>
          <t xml:space="preserve">Control </t>
        </r>
        <r>
          <rPr>
            <sz val="8"/>
            <color indexed="81"/>
            <rFont val="Tahoma"/>
            <family val="2"/>
          </rPr>
          <t>(M4 Valve 1 steering)</t>
        </r>
        <r>
          <rPr>
            <b/>
            <sz val="8"/>
            <color indexed="81"/>
            <rFont val="Tahoma"/>
            <family val="2"/>
          </rPr>
          <t xml:space="preserve">:
</t>
        </r>
        <r>
          <rPr>
            <sz val="8"/>
            <color indexed="81"/>
            <rFont val="Tahoma"/>
            <family val="2"/>
          </rPr>
          <t>Command value [Low byte]
  P-&gt;A = 0x0001 to 0x3FFF 
  P-&gt;B = 0xFFFF to 0xBFFF
  Neutral    = 0x0000</t>
        </r>
      </text>
    </comment>
    <comment ref="J34" authorId="1" shapeId="0">
      <text>
        <r>
          <rPr>
            <b/>
            <sz val="8"/>
            <color indexed="81"/>
            <rFont val="Tahoma"/>
            <family val="2"/>
          </rPr>
          <t xml:space="preserve">Control </t>
        </r>
        <r>
          <rPr>
            <sz val="8"/>
            <color indexed="81"/>
            <rFont val="Tahoma"/>
            <family val="2"/>
          </rPr>
          <t>(M4 Valve 1 steering)</t>
        </r>
        <r>
          <rPr>
            <b/>
            <sz val="8"/>
            <color indexed="81"/>
            <rFont val="Tahoma"/>
            <family val="2"/>
          </rPr>
          <t xml:space="preserve">:
</t>
        </r>
        <r>
          <rPr>
            <sz val="8"/>
            <color indexed="81"/>
            <rFont val="Tahoma"/>
            <family val="2"/>
          </rPr>
          <t>Command value [High byte]
  P-&gt;A = 0x0001 to 0x3FFF 
  P-&gt;B = 0xFFFF to 0xBFFF
  Neutral    = 0x0000</t>
        </r>
      </text>
    </comment>
    <comment ref="A36" authorId="3" shapeId="0">
      <text>
        <r>
          <rPr>
            <b/>
            <sz val="9"/>
            <color indexed="81"/>
            <rFont val="Tahoma"/>
            <family val="2"/>
          </rPr>
          <t>Fuel consumption measurement (AVL)</t>
        </r>
        <r>
          <rPr>
            <sz val="9"/>
            <color indexed="81"/>
            <rFont val="Tahoma"/>
            <family val="2"/>
          </rPr>
          <t xml:space="preserve">
active only when connected to the machine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6" authorId="7" shapeId="0">
      <text>
        <r>
          <rPr>
            <sz val="9"/>
            <color indexed="81"/>
            <rFont val="Tahoma"/>
            <family val="2"/>
          </rPr>
          <t>Number of pulses counted since last message transmission.</t>
        </r>
      </text>
    </comment>
    <comment ref="G37" authorId="7" shapeId="0">
      <text>
        <r>
          <rPr>
            <sz val="9"/>
            <color indexed="81"/>
            <rFont val="Tahoma"/>
            <family val="2"/>
          </rPr>
          <t>UINT16, [mV/bit], average since last TPDO2.
0…10V -&gt; 0…75 l/h</t>
        </r>
      </text>
    </comment>
    <comment ref="I37" authorId="7" shapeId="0">
      <text>
        <r>
          <rPr>
            <sz val="9"/>
            <color indexed="81"/>
            <rFont val="Tahoma"/>
            <family val="2"/>
          </rPr>
          <t>UINT16, [mV/bit], average since last TPDO2
2…10V -&gt; 0.7…1.0 g/cm^3</t>
        </r>
      </text>
    </comment>
    <comment ref="F44" authorId="0" shapeId="0">
      <text>
        <r>
          <rPr>
            <sz val="8"/>
            <color indexed="81"/>
            <rFont val="Tahoma"/>
            <family val="2"/>
          </rPr>
          <t>Resistor in CAN panel.
(Above BODAS)</t>
        </r>
      </text>
    </comment>
  </commentList>
</comments>
</file>

<file path=xl/comments2.xml><?xml version="1.0" encoding="utf-8"?>
<comments xmlns="http://schemas.openxmlformats.org/spreadsheetml/2006/main">
  <authors>
    <author>ahopeltm</author>
    <author>Joni Backas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 xml:space="preserve">CAN3:
</t>
        </r>
        <r>
          <rPr>
            <sz val="8"/>
            <color indexed="81"/>
            <rFont val="Tahoma"/>
            <family val="2"/>
          </rPr>
          <t xml:space="preserve">Message priority[j1939]
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 xml:space="preserve">CAN3:
</t>
        </r>
        <r>
          <rPr>
            <sz val="8"/>
            <color indexed="81"/>
            <rFont val="Tahoma"/>
            <family val="2"/>
          </rPr>
          <t>Parameter Group Number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 xml:space="preserve">CAN3:
</t>
        </r>
        <r>
          <rPr>
            <sz val="8"/>
            <color indexed="81"/>
            <rFont val="Tahoma"/>
            <family val="2"/>
          </rPr>
          <t>Source Address [hex]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 xml:space="preserve">CAN3:
</t>
        </r>
        <r>
          <rPr>
            <sz val="8"/>
            <color indexed="81"/>
            <rFont val="Tahoma"/>
            <family val="2"/>
          </rPr>
          <t xml:space="preserve">Message Identifier [hex]
</t>
        </r>
      </text>
    </comment>
    <comment ref="H6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Position of horizontal axis
  Byte 0 bits:
  1: Neutral
  3: Left
  5: Right
  Byte 0 bits 7-8 and Byte 1:
  Left: 0…1023
  Right: 0…1023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CAN3:</t>
        </r>
        <r>
          <rPr>
            <sz val="8"/>
            <color indexed="81"/>
            <rFont val="Tahoma"/>
            <family val="2"/>
          </rPr>
          <t xml:space="preserve">
  Position of vertical axis
  Byte 0 bits:
  1: Neutral
  3: Backward
  5: Forward
  Byte 0 bits 7-8 and Byte 1:
  Backward: 0…1023
  Forward: 0…1023</t>
        </r>
      </text>
    </comment>
    <comment ref="L6" authorId="1" shapeId="0">
      <text>
        <r>
          <rPr>
            <b/>
            <sz val="8"/>
            <color indexed="81"/>
            <rFont val="Tahoma"/>
            <family val="2"/>
          </rPr>
          <t>CAN3:</t>
        </r>
        <r>
          <rPr>
            <sz val="8"/>
            <color indexed="81"/>
            <rFont val="Tahoma"/>
            <family val="2"/>
          </rPr>
          <t xml:space="preserve">
  Bits:
 1-4 Not defined
 5-6 Joystick 1-Axis Detent Position Status
 7-8 Joystick 2-Axis Detent Position Status</t>
        </r>
      </text>
    </comment>
    <comment ref="M6" authorId="0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Bits:
  1-2 Joystick Button 4 pressed status (Back)
  3-4 Joystick Button 3 pressed status (Right)
  5-6 Joystick Button 2 pressed status (Left)
  7-8 Joystick Button 1 pressed status (Lowest)</t>
        </r>
      </text>
    </comment>
    <comment ref="N6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Bits:
  1-2 Joystick Button 8 pressed status
  3-4 Joystick Button 7 pressed status
  5-6 Joystick Button 6 pressed status
  7-8 Joystick Button 5 pressed status</t>
        </r>
      </text>
    </comment>
    <comment ref="H7" authorId="1" shapeId="0">
      <text>
        <r>
          <rPr>
            <b/>
            <sz val="8"/>
            <color indexed="81"/>
            <rFont val="Tahoma"/>
            <family val="2"/>
          </rPr>
          <t>CAN3:</t>
        </r>
        <r>
          <rPr>
            <sz val="8"/>
            <color indexed="81"/>
            <rFont val="Tahoma"/>
            <family val="2"/>
          </rPr>
          <t xml:space="preserve">
  Bits:
  1-2: Joystick Axis 3 NEUTRAL Direction Status
  3-4: Joystick Axis 3 Direction + status
  5-6: Joystick Axis 3 Direction – status
  7-8: Joystick Axis 3 Position 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 xml:space="preserve">CAN3:
</t>
        </r>
        <r>
          <rPr>
            <sz val="8"/>
            <color indexed="81"/>
            <rFont val="Tahoma"/>
            <family val="2"/>
          </rPr>
          <t xml:space="preserve">  Bits:
  1-8: Joystick Axis 3 Position</t>
        </r>
      </text>
    </comment>
    <comment ref="J7" authorId="0" shapeId="0">
      <text>
        <r>
          <rPr>
            <b/>
            <sz val="8"/>
            <color indexed="81"/>
            <rFont val="Tahoma"/>
            <family val="2"/>
          </rPr>
          <t xml:space="preserve">CAN3:
</t>
        </r>
        <r>
          <rPr>
            <sz val="8"/>
            <color indexed="81"/>
            <rFont val="Tahoma"/>
            <family val="2"/>
          </rPr>
          <t xml:space="preserve">  Bits:
  1-2: Joystick Axis 4 NEUTRAL Direction Status
  3-4: Joystick Axis 4 Direction + status
  5-6: Joystick Axis 4 Direction – status
  7-8: Joystick Axis 4 Position </t>
        </r>
      </text>
    </comment>
    <comment ref="K7" authorId="0" shapeId="0">
      <text>
        <r>
          <rPr>
            <b/>
            <sz val="8"/>
            <color indexed="81"/>
            <rFont val="Tahoma"/>
            <family val="2"/>
          </rPr>
          <t xml:space="preserve">CAN3:
</t>
        </r>
        <r>
          <rPr>
            <sz val="8"/>
            <color indexed="81"/>
            <rFont val="Tahoma"/>
            <family val="2"/>
          </rPr>
          <t xml:space="preserve">  Bits:
  1-8: Joystick Axis 4 Position</t>
        </r>
      </text>
    </comment>
    <comment ref="L8" authorId="1" shapeId="0">
      <text>
        <r>
          <rPr>
            <b/>
            <sz val="8"/>
            <color indexed="81"/>
            <rFont val="Tahoma"/>
            <family val="2"/>
          </rPr>
          <t>CAN3:</t>
        </r>
        <r>
          <rPr>
            <sz val="8"/>
            <color indexed="81"/>
            <rFont val="Tahoma"/>
            <family val="2"/>
          </rPr>
          <t xml:space="preserve">
  Bits:
 1-4 Not defined
 5-6 Joystick 1-Axis Detent Position Status
 7-8 Joystick 2-Axis Detent Position Status</t>
        </r>
      </text>
    </comment>
    <comment ref="M8" authorId="0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Bits:
  1-2 Joystick Button 4 pressed status
  3-4 Joystick Button 3 pressed status
  5-6 Joystick Button 2 pressed status
  7-8 Joystick Button 1 pressed status</t>
        </r>
      </text>
    </comment>
    <comment ref="N8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Bits:
  1-2 Joystick Button 8 pressed status
  3-4 Joystick Button 7 pressed status
  5-6 Joystick Button 6 pressed status
  7-8 Joystick Button 5 pressed status</t>
        </r>
      </text>
    </comment>
    <comment ref="C9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Active diagnostic trouble codes
  J1939 Protocol
  Same PGN found in 44CWA
  CAN specification pp.27-29</t>
        </r>
      </text>
    </comment>
    <comment ref="H10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Bits:
  1-2: 00  Override control mode disable
          01  Speed Control
          10  Not Allowed
          11  Not Allowed</t>
        </r>
      </text>
    </comment>
    <comment ref="I10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Requested Speed
  [0,125 rpm/bit].</t>
        </r>
      </text>
    </comment>
    <comment ref="K10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Requested torgue / Torque Limit.
  [1%/bit]. Offset: -125 %.</t>
        </r>
      </text>
    </comment>
    <comment ref="M10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Droop Curve Selection
  Bits:
  1-2: 00 Droop curve 1
          01 Droop curve 2
          10 Reserved
          11 Not defined
  3-8: Not defined (all 1's)</t>
        </r>
      </text>
    </comment>
    <comment ref="N10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Torque curve selection
  1-5: Torque curve selection
  0xFF: Curve not defined
Torque curve 5 is a boost curve
allowed for a specific time interval.</t>
        </r>
      </text>
    </comment>
    <comment ref="O10" authorId="1" shapeId="0">
      <text>
        <r>
          <rPr>
            <b/>
            <sz val="8"/>
            <color indexed="81"/>
            <rFont val="Tahoma"/>
            <family val="2"/>
          </rPr>
          <t xml:space="preserve">CAN3:
</t>
        </r>
        <r>
          <rPr>
            <sz val="8"/>
            <color indexed="81"/>
            <rFont val="Tahoma"/>
            <family val="2"/>
          </rPr>
          <t xml:space="preserve">  Droop percentage request [1%/bit].
  0-10: Droop percentage request
  0xFF: Percentage not defined
           (Droop curve 1 or 2 will be used,
            if selected with byte 5).</t>
        </r>
      </text>
    </comment>
    <comment ref="I11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Bits:
  1-2: Not used (all 1's)
  3-4: Engine start switch
         00 Start motor off
         01 Start motor on
         10 Not allowed
         11 Not defined
  5-6: Engine stop switch
         00 Engine stop inactive
         01 Engine stop active
         10 Not allowed
         11 Not defined
  7-8: Not used (all 1's)</t>
        </r>
      </text>
    </comment>
    <comment ref="H12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Engine Torque Mode
  0xF1 Accelerator pedal
  0xF2 Cruise control
  0xF3 PTO governor
  0xF6 Transmission control
  0xFE Other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Actual Engine - Percent Torque (optional).
  [1%/bit]. Offset: -125%.</t>
        </r>
      </text>
    </comment>
    <comment ref="K12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Engine speed [0,125 rpm/bit].</t>
        </r>
      </text>
    </comment>
    <comment ref="N12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Engine starter mode
  Bits:
  1-4: 0000 Start not requested
          0001 Starter active
          0100 Starter inhibited due
                   engine runnning
          1100 Start motor disabled
  5-8: Not defined (all 1's)</t>
        </r>
      </text>
    </comment>
    <comment ref="I13" authorId="1" shapeId="0">
      <text>
        <r>
          <rPr>
            <sz val="8"/>
            <color indexed="81"/>
            <rFont val="Tahoma"/>
            <family val="2"/>
          </rPr>
          <t>Percent accelerator pedal position [0.4%/bit].</t>
        </r>
      </text>
    </comment>
    <comment ref="J13" authorId="1" shapeId="0">
      <text>
        <r>
          <rPr>
            <sz val="8"/>
            <color indexed="81"/>
            <rFont val="Tahoma"/>
            <family val="2"/>
          </rPr>
          <t>Percent load at current speed [1%/bit].
Does not include frictions of the engine 
-&gt; value = 0 when no external load.</t>
        </r>
      </text>
    </comment>
    <comment ref="L13" authorId="1" shapeId="0">
      <text>
        <r>
          <rPr>
            <sz val="8"/>
            <color indexed="81"/>
            <rFont val="Tahoma"/>
            <family val="2"/>
          </rPr>
          <t>Bits 2,1
    00 Grid heater off
    01 Grid heater preheating
    10 Grid heater post heating
    11 N/A
Bits 4,3
    00 Lift pump off
    01 Lift pump on
    10 Lift pump standing by
    11 N/A
Bit 5: Digital input 9
Bit 6: Digital input 10
Bit 7: Digital input 11
Bit 8: Digital input 12</t>
        </r>
      </text>
    </comment>
    <comment ref="M13" authorId="1" shapeId="0">
      <text>
        <r>
          <rPr>
            <sz val="8"/>
            <color indexed="81"/>
            <rFont val="Tahoma"/>
            <family val="2"/>
          </rPr>
          <t>Selected torque curve (1-5)</t>
        </r>
      </text>
    </comment>
    <comment ref="N13" authorId="1" shapeId="0">
      <text>
        <r>
          <rPr>
            <sz val="8"/>
            <color indexed="81"/>
            <rFont val="Tahoma"/>
            <family val="2"/>
          </rPr>
          <t>Current droop percentage [1%/bit].</t>
        </r>
      </text>
    </comment>
    <comment ref="O13" authorId="1" shapeId="0">
      <text>
        <r>
          <rPr>
            <sz val="8"/>
            <color indexed="81"/>
            <rFont val="Tahoma"/>
            <family val="2"/>
          </rPr>
          <t>Digital input status (Bits 1-8: 
Digital inputs DIN1 - DIN8)</t>
        </r>
      </text>
    </comment>
    <comment ref="H14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Fuel rate [0,05 l/h].</t>
        </r>
      </text>
    </comment>
    <comment ref="H15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Fuel delivery pressure
  [4 kPa/bit].</t>
        </r>
      </text>
    </comment>
    <comment ref="J15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Oil level [0,4 %/bit].</t>
        </r>
      </text>
    </comment>
    <comment ref="K15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Oil pressure [4 kPa/bit].</t>
        </r>
      </text>
    </comment>
    <comment ref="H16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 xml:space="preserve">Coolant temperature
  [1 </t>
        </r>
        <r>
          <rPr>
            <sz val="8"/>
            <color indexed="81"/>
            <rFont val="Arial"/>
            <family val="2"/>
          </rPr>
          <t>°</t>
        </r>
        <r>
          <rPr>
            <sz val="8"/>
            <color indexed="81"/>
            <rFont val="Tahoma"/>
            <family val="2"/>
          </rPr>
          <t>C/bit]. Offset: -40 °C.</t>
        </r>
      </text>
    </comment>
    <comment ref="I16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Fuel temperature
  [1 °C/bit]. Offset: -40 °C.</t>
        </r>
      </text>
    </comment>
    <comment ref="J16" authorId="1" shapeId="0">
      <text>
        <r>
          <rPr>
            <b/>
            <sz val="8"/>
            <color indexed="81"/>
            <rFont val="Tahoma"/>
            <family val="2"/>
          </rPr>
          <t>CAN3:</t>
        </r>
        <r>
          <rPr>
            <sz val="8"/>
            <color indexed="81"/>
            <rFont val="Tahoma"/>
            <family val="2"/>
          </rPr>
          <t xml:space="preserve">
  Oil temperature
  [0,03125 °C/bit]. Offset: -273 °C.</t>
        </r>
      </text>
    </comment>
    <comment ref="H17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Engine hours, [1h/bit].</t>
        </r>
      </text>
    </comment>
    <comment ref="J17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Bits
  1: System has an active error.
  2: Engine is standing still.
  3: Injection quantity is being reduced.
  4: Overspeed (speed &gt; 2800 rpm).
  5: Oil pressure low (0:Ok, 1:Low).
  6: Oil service interval exceeded.
  7: Reserved (0).
  8: Engine shutdown is pending.</t>
        </r>
      </text>
    </comment>
    <comment ref="K17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Maximum fuel quantity [1mg/bit].</t>
        </r>
      </text>
    </comment>
    <comment ref="L17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Injection quantity setpoint [1mg/bit].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 xml:space="preserve">Trip fuel [0,05 l/bit].
  (needs Fuel Economy option,
  otherwise 0xFFFF)
</t>
        </r>
      </text>
    </comment>
    <comment ref="I18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Boost pressure [2kPa/bit].</t>
        </r>
      </text>
    </comment>
    <comment ref="J18" authorId="1" shapeId="0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 xml:space="preserve">Intake Manifold temperature.
  [1 </t>
        </r>
        <r>
          <rPr>
            <sz val="8"/>
            <color indexed="81"/>
            <rFont val="Arial"/>
            <family val="2"/>
          </rPr>
          <t>°</t>
        </r>
        <r>
          <rPr>
            <sz val="8"/>
            <color indexed="81"/>
            <rFont val="Tahoma"/>
            <family val="2"/>
          </rPr>
          <t>C/bit], offset -40 °C.</t>
        </r>
      </text>
    </comment>
  </commentList>
</comments>
</file>

<file path=xl/comments3.xml><?xml version="1.0" encoding="utf-8"?>
<comments xmlns="http://schemas.openxmlformats.org/spreadsheetml/2006/main">
  <authors>
    <author>Joni Backas</author>
    <author>Karhu Otso</author>
    <author>Ahola Ville</author>
  </authors>
  <commentList>
    <comment ref="G6" authorId="0" shapeId="0">
      <text>
        <r>
          <rPr>
            <sz val="8"/>
            <color indexed="81"/>
            <rFont val="Tahoma"/>
            <family val="2"/>
          </rPr>
          <t>Sensor current [0.3358 μA]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>Sensor current [0.3358 μA]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Sensor current [0.3358 μA]</t>
        </r>
      </text>
    </comment>
    <comment ref="G7" authorId="0" shapeId="0">
      <text>
        <r>
          <rPr>
            <sz val="8"/>
            <color indexed="81"/>
            <rFont val="Tahoma"/>
            <family val="2"/>
          </rPr>
          <t>Sensor current [0.3358 μA]</t>
        </r>
      </text>
    </comment>
    <comment ref="I7" authorId="0" shapeId="0">
      <text>
        <r>
          <rPr>
            <sz val="8"/>
            <color indexed="81"/>
            <rFont val="Tahoma"/>
            <family val="2"/>
          </rPr>
          <t>Sensor current [0.3358 μA]</t>
        </r>
      </text>
    </comment>
    <comment ref="K7" authorId="0" shapeId="0">
      <text>
        <r>
          <rPr>
            <sz val="8"/>
            <color indexed="81"/>
            <rFont val="Tahoma"/>
            <family val="2"/>
          </rPr>
          <t>Sensor current [0.3358 μA]</t>
        </r>
      </text>
    </comment>
    <comment ref="G8" authorId="1" shapeId="0">
      <text>
        <r>
          <rPr>
            <sz val="8"/>
            <color indexed="81"/>
            <rFont val="Tahoma"/>
            <family val="2"/>
          </rPr>
          <t>PA valve pattern
Bits:
[7] Don't care
[6] Don't care
[5] Valve5 (biggest?)
[4] Valve4
[3] Valve3
[2] Valve2
[1] Valve1
[0] Valve0 (smallest?)</t>
        </r>
      </text>
    </comment>
    <comment ref="H8" authorId="1" shapeId="0">
      <text>
        <r>
          <rPr>
            <sz val="8"/>
            <color indexed="81"/>
            <rFont val="Tahoma"/>
            <family val="2"/>
          </rPr>
          <t>AT valve pattern
Bits:
[7] Don't care
[6] Don't care
[5] Valve5 (biggest?)
[4] Valve4
[3] Valve3
[2] Valve2
[1] Valve1
[0] Valve0 (smallest?)</t>
        </r>
      </text>
    </comment>
    <comment ref="I8" authorId="1" shapeId="0">
      <text>
        <r>
          <rPr>
            <sz val="8"/>
            <color indexed="81"/>
            <rFont val="Tahoma"/>
            <family val="2"/>
          </rPr>
          <t>PB valve pattern
Bits:
[7] Don't care
[6] Don't care
[5] Valve5 (biggest?)
[4] Valve4
[3] Valve3
[2] Valve2
[1] Valve1
[0] Valve0 (smallest?)</t>
        </r>
      </text>
    </comment>
    <comment ref="J8" authorId="1" shapeId="0">
      <text>
        <r>
          <rPr>
            <sz val="8"/>
            <color indexed="81"/>
            <rFont val="Tahoma"/>
            <family val="2"/>
          </rPr>
          <t>BT valve pattern
Bits:
[7] Don't care
[6] Don't care
[5] Valve5 (biggest?)
[4] Valve4
[3] Valve3
[2] Valve2
[1] Valve1
[0] Valve0 (smallest?)</t>
        </r>
      </text>
    </comment>
    <comment ref="G9" authorId="1" shapeId="0">
      <text>
        <r>
          <rPr>
            <sz val="8"/>
            <color indexed="81"/>
            <rFont val="Tahoma"/>
            <family val="2"/>
          </rPr>
          <t>PA valve pattern
Bits:
[7] Don't care
[6] Don't care
[5] Valve5 (biggest?)
[4] Valve4
[3] Valve3
[2] Valve2
[1] Valve1
[0] Valve0 (smallest?)</t>
        </r>
      </text>
    </comment>
    <comment ref="H9" authorId="1" shapeId="0">
      <text>
        <r>
          <rPr>
            <sz val="8"/>
            <color indexed="81"/>
            <rFont val="Tahoma"/>
            <family val="2"/>
          </rPr>
          <t>AT valve pattern
Bits:
[7] Don't care
[6] Don't care
[5] Valve5 (biggest?)
[4] Valve4
[3] Valve3
[2] Valve2
[1] Valve1
[0] Valve0 (smallest?)</t>
        </r>
      </text>
    </comment>
    <comment ref="I9" authorId="1" shapeId="0">
      <text>
        <r>
          <rPr>
            <sz val="8"/>
            <color indexed="81"/>
            <rFont val="Tahoma"/>
            <family val="2"/>
          </rPr>
          <t>PB valve pattern
Bits:
[7] Don't care
[6] Don't care
[5] Valve5 (biggest?)
[4] Valve4
[3] Valve3
[2] Valve2
[1] Valve1
[0] Valve0 (smallest?)</t>
        </r>
      </text>
    </comment>
    <comment ref="J9" authorId="1" shapeId="0">
      <text>
        <r>
          <rPr>
            <sz val="8"/>
            <color indexed="81"/>
            <rFont val="Tahoma"/>
            <family val="2"/>
          </rPr>
          <t>BT valve pattern
Bits:
[7] Don't care
[6] Don't care
[5] Valve5 (biggest?)
[4] Valve4
[3] Valve3
[2] Valve2
[1] Valve1
[0] Valve0 (smallest?)</t>
        </r>
      </text>
    </comment>
    <comment ref="G10" authorId="2" shapeId="0">
      <text>
        <r>
          <rPr>
            <b/>
            <sz val="9"/>
            <color indexed="81"/>
            <rFont val="Tahoma"/>
            <family val="2"/>
          </rPr>
          <t>Ahola Ville:</t>
        </r>
        <r>
          <rPr>
            <sz val="9"/>
            <color indexed="81"/>
            <rFont val="Tahoma"/>
            <family val="2"/>
          </rPr>
          <t xml:space="preserve">
4000-20000 microA, 400 bar sensor located at M4-12 valve</t>
        </r>
      </text>
    </comment>
    <comment ref="I10" authorId="2" shapeId="0">
      <text>
        <r>
          <rPr>
            <b/>
            <sz val="9"/>
            <color indexed="81"/>
            <rFont val="Tahoma"/>
            <family val="2"/>
          </rPr>
          <t>Ahola Ville:</t>
        </r>
        <r>
          <rPr>
            <sz val="9"/>
            <color indexed="81"/>
            <rFont val="Tahoma"/>
            <family val="2"/>
          </rPr>
          <t xml:space="preserve">
4000-20000 microA, 400 bar sensor located at M4-12 valve</t>
        </r>
      </text>
    </comment>
    <comment ref="K10" authorId="2" shapeId="0">
      <text>
        <r>
          <rPr>
            <b/>
            <sz val="9"/>
            <color indexed="81"/>
            <rFont val="Tahoma"/>
            <family val="2"/>
          </rPr>
          <t>Ahola Ville:</t>
        </r>
        <r>
          <rPr>
            <sz val="9"/>
            <color indexed="81"/>
            <rFont val="Tahoma"/>
            <family val="2"/>
          </rPr>
          <t xml:space="preserve">
4000-20000 microA, 400 bar sensor located at M4-12 valve</t>
        </r>
      </text>
    </comment>
    <comment ref="M10" authorId="2" shapeId="0">
      <text>
        <r>
          <rPr>
            <b/>
            <sz val="9"/>
            <color indexed="81"/>
            <rFont val="Tahoma"/>
            <family val="2"/>
          </rPr>
          <t>Ahola Ville:</t>
        </r>
        <r>
          <rPr>
            <sz val="9"/>
            <color indexed="81"/>
            <rFont val="Tahoma"/>
            <family val="2"/>
          </rPr>
          <t xml:space="preserve">
4000-20000 microA, 250 bar sensor located at M4-12 valve</t>
        </r>
      </text>
    </comment>
    <comment ref="G11" authorId="2" shapeId="0">
      <text>
        <r>
          <rPr>
            <b/>
            <sz val="9"/>
            <color indexed="81"/>
            <rFont val="Tahoma"/>
            <family val="2"/>
          </rPr>
          <t>Ahola Ville:</t>
        </r>
        <r>
          <rPr>
            <sz val="9"/>
            <color indexed="81"/>
            <rFont val="Tahoma"/>
            <family val="2"/>
          </rPr>
          <t xml:space="preserve">
4000-20000 microA, 250 bar sensor located at M4-12 valve</t>
        </r>
      </text>
    </comment>
    <comment ref="I11" authorId="2" shapeId="0">
      <text>
        <r>
          <rPr>
            <b/>
            <sz val="9"/>
            <color indexed="81"/>
            <rFont val="Tahoma"/>
            <family val="2"/>
          </rPr>
          <t>Ahola Ville:</t>
        </r>
        <r>
          <rPr>
            <sz val="9"/>
            <color indexed="81"/>
            <rFont val="Tahoma"/>
            <family val="2"/>
          </rPr>
          <t xml:space="preserve">
4000-20000 microA, 250 bar sensor located at m4-12 valve</t>
        </r>
      </text>
    </comment>
    <comment ref="K11" authorId="2" shapeId="0">
      <text>
        <r>
          <rPr>
            <b/>
            <sz val="9"/>
            <color indexed="81"/>
            <rFont val="Tahoma"/>
            <family val="2"/>
          </rPr>
          <t>Ahola Ville:</t>
        </r>
        <r>
          <rPr>
            <sz val="9"/>
            <color indexed="81"/>
            <rFont val="Tahoma"/>
            <family val="2"/>
          </rPr>
          <t xml:space="preserve">
4000-20000 microA, 250 bar sensor located at tilt cylinder</t>
        </r>
      </text>
    </comment>
    <comment ref="M11" authorId="2" shapeId="0">
      <text>
        <r>
          <rPr>
            <b/>
            <sz val="9"/>
            <color indexed="81"/>
            <rFont val="Tahoma"/>
            <family val="2"/>
          </rPr>
          <t>Ahola Ville:</t>
        </r>
        <r>
          <rPr>
            <sz val="9"/>
            <color indexed="81"/>
            <rFont val="Tahoma"/>
            <family val="2"/>
          </rPr>
          <t xml:space="preserve">
4000-20000 microA, 250 bar sensor located at tilt cylinder</t>
        </r>
      </text>
    </comment>
  </commentList>
</comments>
</file>

<file path=xl/comments4.xml><?xml version="1.0" encoding="utf-8"?>
<comments xmlns="http://schemas.openxmlformats.org/spreadsheetml/2006/main">
  <authors>
    <author>Ahopelto Miika</author>
    <author>Joni Backas</author>
  </authors>
  <commentList>
    <comment ref="H6" authorId="0" shapeId="0">
      <text>
        <r>
          <rPr>
            <sz val="9"/>
            <color indexed="81"/>
            <rFont val="Tahoma"/>
            <family val="2"/>
          </rPr>
          <t>Angle request for implement pump
 [-1000..1000, int16]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Pressure request for the implement pump
 [bar, int16]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>Actual rpm of implement pump 
[1/min, int16]</t>
        </r>
      </text>
    </comment>
    <comment ref="N6" authorId="0" shapeId="0">
      <text>
        <r>
          <rPr>
            <sz val="9"/>
            <color indexed="81"/>
            <rFont val="Tahoma"/>
            <family val="2"/>
          </rPr>
          <t>Oil temperature of implement pump 
[Celcius, int16]</t>
        </r>
      </text>
    </comment>
    <comment ref="H7" authorId="1" shapeId="0">
      <text>
        <r>
          <rPr>
            <sz val="8"/>
            <color indexed="81"/>
            <rFont val="Tahoma"/>
            <family val="2"/>
          </rPr>
          <t>Tilt reference from the joystick
 [-1000..1000, int16]</t>
        </r>
      </text>
    </comment>
    <comment ref="J7" authorId="1" shapeId="0">
      <text>
        <r>
          <rPr>
            <sz val="8"/>
            <color indexed="81"/>
            <rFont val="Tahoma"/>
            <family val="2"/>
          </rPr>
          <t>Lift reference from the joystick 
[-1000..1000, int16]</t>
        </r>
      </text>
    </comment>
    <comment ref="L7" authorId="1" shapeId="0">
      <text>
        <r>
          <rPr>
            <sz val="8"/>
            <color indexed="81"/>
            <rFont val="Tahoma"/>
            <family val="2"/>
          </rPr>
          <t>Current of the valve that controls bucket (negative means negative direction)
[mA, int16]</t>
        </r>
      </text>
    </comment>
    <comment ref="N7" authorId="1" shapeId="0">
      <text>
        <r>
          <rPr>
            <sz val="8"/>
            <color indexed="81"/>
            <rFont val="Tahoma"/>
            <family val="2"/>
          </rPr>
          <t>Current of the valve that controls boom (negative means negative direction)
[mA, int16]</t>
        </r>
      </text>
    </comment>
    <comment ref="H8" authorId="1" shapeId="0">
      <text>
        <r>
          <rPr>
            <sz val="8"/>
            <color indexed="81"/>
            <rFont val="Tahoma"/>
            <family val="2"/>
          </rPr>
          <t>Tilt cylinder stroke
[mm, int16]</t>
        </r>
      </text>
    </comment>
    <comment ref="J8" authorId="1" shapeId="0">
      <text>
        <r>
          <rPr>
            <sz val="8"/>
            <color indexed="81"/>
            <rFont val="Tahoma"/>
            <family val="2"/>
          </rPr>
          <t>Lift cylinder stroke
[mm, int16]</t>
        </r>
      </text>
    </comment>
    <comment ref="L8" authorId="1" shapeId="0">
      <text>
        <r>
          <rPr>
            <sz val="8"/>
            <color indexed="81"/>
            <rFont val="Tahoma"/>
            <family val="2"/>
          </rPr>
          <t>Velocity of tilt cylinder (compasented the effect of hydraulic stabilization)
[mm/s, int16]</t>
        </r>
      </text>
    </comment>
    <comment ref="N8" authorId="1" shapeId="0">
      <text>
        <r>
          <rPr>
            <sz val="8"/>
            <color indexed="81"/>
            <rFont val="Tahoma"/>
            <family val="2"/>
          </rPr>
          <t>Velocity of Lift cylinder
[mm/s, int16]</t>
        </r>
      </text>
    </comment>
    <comment ref="H10" authorId="0" shapeId="0">
      <text>
        <r>
          <rPr>
            <sz val="9"/>
            <color indexed="81"/>
            <rFont val="Tahoma"/>
            <family val="2"/>
          </rPr>
          <t>Actual angle of the implement pump
[%, int16]</t>
        </r>
      </text>
    </comment>
    <comment ref="J10" authorId="0" shapeId="0">
      <text>
        <r>
          <rPr>
            <sz val="9"/>
            <color indexed="81"/>
            <rFont val="Tahoma"/>
            <family val="2"/>
          </rPr>
          <t>Actual pressure of the implement pump
[bar, int16]</t>
        </r>
      </text>
    </comment>
    <comment ref="H11" authorId="0" shapeId="0">
      <text>
        <r>
          <rPr>
            <sz val="9"/>
            <color indexed="81"/>
            <rFont val="Tahoma"/>
            <family val="2"/>
          </rPr>
          <t xml:space="preserve">Set point of the joystick postion where the pressure set point is given see the message 660  [0.100%, unit8]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Set point of the joystick postion where the pressure set point is given see the message 660  [0.100%, unit8]
</t>
        </r>
      </text>
    </comment>
    <comment ref="J11" authorId="0" shapeId="0">
      <text>
        <r>
          <rPr>
            <sz val="9"/>
            <color indexed="81"/>
            <rFont val="Tahoma"/>
            <family val="2"/>
          </rPr>
          <t xml:space="preserve">Set point of the joystick postion where the pressure set point is given see the message 660  [0.100%, unit8]
</t>
        </r>
      </text>
    </comment>
    <comment ref="K11" authorId="0" shapeId="0">
      <text>
        <r>
          <rPr>
            <sz val="9"/>
            <color indexed="81"/>
            <rFont val="Tahoma"/>
            <family val="2"/>
          </rPr>
          <t xml:space="preserve">Set point of the joystick postion where the pressure set point is given see the message 660  [0.100%, unit8]
</t>
        </r>
      </text>
    </comment>
    <comment ref="L11" authorId="0" shapeId="0">
      <text>
        <r>
          <rPr>
            <sz val="9"/>
            <color indexed="81"/>
            <rFont val="Tahoma"/>
            <family val="2"/>
          </rPr>
          <t xml:space="preserve">Set point of the joystick postion where the pressure set point is given see the message 660  [0.100%, unit8]
</t>
        </r>
      </text>
    </comment>
    <comment ref="M11" authorId="0" shapeId="0">
      <text>
        <r>
          <rPr>
            <sz val="9"/>
            <color indexed="81"/>
            <rFont val="Tahoma"/>
            <family val="2"/>
          </rPr>
          <t xml:space="preserve">Set point of the joystick postion where the pressure set point is given see the message 660  [0.100%, unit8]
</t>
        </r>
      </text>
    </comment>
    <comment ref="N11" authorId="0" shapeId="0">
      <text>
        <r>
          <rPr>
            <sz val="9"/>
            <color indexed="81"/>
            <rFont val="Tahoma"/>
            <family val="2"/>
          </rPr>
          <t xml:space="preserve">Set point of the joystick postion where the pressure set point is given see the message 660  [0.100%, unit8]
</t>
        </r>
      </text>
    </comment>
    <comment ref="O11" authorId="0" shapeId="0">
      <text>
        <r>
          <rPr>
            <sz val="9"/>
            <color indexed="81"/>
            <rFont val="Tahoma"/>
            <family val="2"/>
          </rPr>
          <t xml:space="preserve">Set point of the joystick postion where the pressure set point is given see the message 660  [0.100%, unit8]
</t>
        </r>
      </text>
    </comment>
    <comment ref="H12" authorId="0" shapeId="0">
      <text>
        <r>
          <rPr>
            <sz val="9"/>
            <color indexed="81"/>
            <rFont val="Tahoma"/>
            <family val="2"/>
          </rPr>
          <t>Set point of the pressure where the corresponding joystick postion if given within message 194 
[0..250 bar, unit8]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Set point of the pressure where the corresponding joystick postion if given within message 194 
[0..250 bar, unit8]</t>
        </r>
      </text>
    </comment>
    <comment ref="J12" authorId="0" shapeId="0">
      <text>
        <r>
          <rPr>
            <sz val="9"/>
            <color indexed="81"/>
            <rFont val="Tahoma"/>
            <family val="2"/>
          </rPr>
          <t>Set point of the pressure where the corresponding joystick postion if given within message 194 
[0..250 bar, unit8]</t>
        </r>
      </text>
    </comment>
    <comment ref="K12" authorId="0" shapeId="0">
      <text>
        <r>
          <rPr>
            <sz val="9"/>
            <color indexed="81"/>
            <rFont val="Tahoma"/>
            <family val="2"/>
          </rPr>
          <t>Set point of the pressure where the corresponding joystick postion if given within message 194 
[0..250 bar, unit8]</t>
        </r>
      </text>
    </comment>
    <comment ref="L12" authorId="0" shapeId="0">
      <text>
        <r>
          <rPr>
            <sz val="9"/>
            <color indexed="81"/>
            <rFont val="Tahoma"/>
            <family val="2"/>
          </rPr>
          <t>Set point of the pressure where the corresponding joystick postion if given within message 194 
[0..250 bar, unit8]</t>
        </r>
      </text>
    </comment>
    <comment ref="M12" authorId="0" shapeId="0">
      <text>
        <r>
          <rPr>
            <sz val="9"/>
            <color indexed="81"/>
            <rFont val="Tahoma"/>
            <family val="2"/>
          </rPr>
          <t>Set point of the pressure where the corresponding joystick postion if given within message 194 
[0..250 bar, unit8]</t>
        </r>
      </text>
    </comment>
    <comment ref="N12" authorId="0" shapeId="0">
      <text>
        <r>
          <rPr>
            <sz val="9"/>
            <color indexed="81"/>
            <rFont val="Tahoma"/>
            <family val="2"/>
          </rPr>
          <t>Set point of the pressure where the corresponding joystick postion if given within message 194 
[0..250 bar, unit8]</t>
        </r>
      </text>
    </comment>
    <comment ref="O12" authorId="0" shapeId="0">
      <text>
        <r>
          <rPr>
            <sz val="9"/>
            <color indexed="81"/>
            <rFont val="Tahoma"/>
            <family val="2"/>
          </rPr>
          <t>Set point of the pressure where the corresponding joystick postion if given within message 194 
[0..250 bar, unit8]</t>
        </r>
      </text>
    </comment>
    <comment ref="H13" authorId="0" shapeId="0">
      <text>
        <r>
          <rPr>
            <sz val="9"/>
            <color indexed="81"/>
            <rFont val="Tahoma"/>
            <family val="2"/>
          </rPr>
          <t xml:space="preserve">Set point of the joystick postion where the flow rate set point is given within the message 1172  [0.100%, unit8]
</t>
        </r>
      </text>
    </comment>
    <comment ref="I13" authorId="0" shapeId="0">
      <text>
        <r>
          <rPr>
            <sz val="9"/>
            <color indexed="81"/>
            <rFont val="Tahoma"/>
            <family val="2"/>
          </rPr>
          <t xml:space="preserve">Set point of the joystick postion where the flow rate set point is given within the message 1172  [0.100%, unit8]
</t>
        </r>
      </text>
    </comment>
    <comment ref="J13" authorId="0" shapeId="0">
      <text>
        <r>
          <rPr>
            <sz val="9"/>
            <color indexed="81"/>
            <rFont val="Tahoma"/>
            <family val="2"/>
          </rPr>
          <t xml:space="preserve">Set point of the joystick postion where the flow rate set point is given within the message 1172  [0.100%, unit8]
</t>
        </r>
      </text>
    </comment>
    <comment ref="K13" authorId="0" shapeId="0">
      <text>
        <r>
          <rPr>
            <sz val="9"/>
            <color indexed="81"/>
            <rFont val="Tahoma"/>
            <family val="2"/>
          </rPr>
          <t xml:space="preserve">Set point of the joystick postion where the flow rate set point is given within the message 1172  [0.100%, unit8]
</t>
        </r>
      </text>
    </comment>
    <comment ref="L13" authorId="0" shapeId="0">
      <text>
        <r>
          <rPr>
            <sz val="9"/>
            <color indexed="81"/>
            <rFont val="Tahoma"/>
            <family val="2"/>
          </rPr>
          <t xml:space="preserve">Set point of the joystick postion where the flow rate set point is given within the message 1172  [0.100%, unit8]
</t>
        </r>
      </text>
    </comment>
    <comment ref="M13" authorId="0" shapeId="0">
      <text>
        <r>
          <rPr>
            <sz val="9"/>
            <color indexed="81"/>
            <rFont val="Tahoma"/>
            <family val="2"/>
          </rPr>
          <t xml:space="preserve">Set point of the joystick postion where the flow rate set point is given within the message 1172  [0.100%, unit8]
</t>
        </r>
      </text>
    </comment>
    <comment ref="N13" authorId="0" shapeId="0">
      <text>
        <r>
          <rPr>
            <sz val="9"/>
            <color indexed="81"/>
            <rFont val="Tahoma"/>
            <family val="2"/>
          </rPr>
          <t xml:space="preserve">Set point of the joystick postion where the flow rate set point is given within the message 1172  [0.100%, unit8]
</t>
        </r>
      </text>
    </comment>
    <comment ref="O13" authorId="0" shapeId="0">
      <text>
        <r>
          <rPr>
            <sz val="9"/>
            <color indexed="81"/>
            <rFont val="Tahoma"/>
            <family val="2"/>
          </rPr>
          <t xml:space="preserve">Set point of the joystick postion where the flow rate set point is given within the message 1172  [0.100%, unit8]
</t>
        </r>
      </text>
    </comment>
    <comment ref="H14" authorId="0" shapeId="0">
      <text>
        <r>
          <rPr>
            <sz val="9"/>
            <color indexed="81"/>
            <rFont val="Tahoma"/>
            <family val="2"/>
          </rPr>
          <t>Set point of the flow rate where the corresponding joystick postion if given within message 916 
[0.6 l/min/bit, unit8] 
Example: 100=0.6*100 l/min = 60 l/min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>Set point of the flow rate where the corresponding joystick postion if given within message 916 
[0.6 l/min/bit, unit8] 
Example: 100=0.6*100 l/min = 60 l/min</t>
        </r>
      </text>
    </comment>
    <comment ref="J14" authorId="0" shapeId="0">
      <text>
        <r>
          <rPr>
            <sz val="9"/>
            <color indexed="81"/>
            <rFont val="Tahoma"/>
            <family val="2"/>
          </rPr>
          <t>Set point of the flow rate where the corresponding joystick postion if given within message 916 
[0.6 l/min/bit, unit8] 
Example: 100=0.6*100 l/min = 60 l/min</t>
        </r>
      </text>
    </comment>
    <comment ref="K14" authorId="0" shapeId="0">
      <text>
        <r>
          <rPr>
            <sz val="9"/>
            <color indexed="81"/>
            <rFont val="Tahoma"/>
            <family val="2"/>
          </rPr>
          <t>Set point of the flow rate where the corresponding joystick postion if given within message 916 
[0.6 l/min/bit, unit8] 
Example: 100=0.6*100 l/min = 60 l/min</t>
        </r>
      </text>
    </comment>
    <comment ref="L14" authorId="0" shapeId="0">
      <text>
        <r>
          <rPr>
            <sz val="9"/>
            <color indexed="81"/>
            <rFont val="Tahoma"/>
            <family val="2"/>
          </rPr>
          <t>Set point of the flow rate where the corresponding joystick postion if given within message 916 
[0.6 l/min/bit, unit8] 
Example: 100=0.6*100 l/min = 60 l/min</t>
        </r>
      </text>
    </comment>
    <comment ref="M14" authorId="0" shapeId="0">
      <text>
        <r>
          <rPr>
            <sz val="9"/>
            <color indexed="81"/>
            <rFont val="Tahoma"/>
            <family val="2"/>
          </rPr>
          <t>Set point of the flow rate where the corresponding joystick postion if given within message 916 
[0.6 l/min/bit, unit8] 
Example: 100=0.6*100 l/min = 60 l/min</t>
        </r>
      </text>
    </comment>
    <comment ref="N14" authorId="0" shapeId="0">
      <text>
        <r>
          <rPr>
            <sz val="9"/>
            <color indexed="81"/>
            <rFont val="Tahoma"/>
            <family val="2"/>
          </rPr>
          <t>Set point of the flow rate where the corresponding joystick postion if given within message 916 
[0.6 l/min/bit, unit8] 
Example: 100=0.6*100 l/min = 60 l/min</t>
        </r>
      </text>
    </comment>
    <comment ref="O14" authorId="0" shapeId="0">
      <text>
        <r>
          <rPr>
            <sz val="9"/>
            <color indexed="81"/>
            <rFont val="Tahoma"/>
            <family val="2"/>
          </rPr>
          <t>Set point of the flow rate where the corresponding joystick postion if given within message 916 
[0.6 l/min/bit, unit8] 
Example: 100=0.6*100 l/min = 60 l/min</t>
        </r>
      </text>
    </comment>
  </commentList>
</comments>
</file>

<file path=xl/sharedStrings.xml><?xml version="1.0" encoding="utf-8"?>
<sst xmlns="http://schemas.openxmlformats.org/spreadsheetml/2006/main" count="660" uniqueCount="354">
  <si>
    <t>Device</t>
  </si>
  <si>
    <t>NodeID</t>
  </si>
  <si>
    <t>PC/104</t>
  </si>
  <si>
    <t>BODAS RC36 (CAN master)</t>
  </si>
  <si>
    <t>Heartbeat</t>
  </si>
  <si>
    <t>Emerg.stop</t>
  </si>
  <si>
    <t>Emerg.stop (Radio modem)</t>
  </si>
  <si>
    <t xml:space="preserve">Version: </t>
  </si>
  <si>
    <t xml:space="preserve">Date: </t>
  </si>
  <si>
    <t>BUS</t>
  </si>
  <si>
    <t>Speed</t>
  </si>
  <si>
    <t>Node ID</t>
  </si>
  <si>
    <t>PDO</t>
  </si>
  <si>
    <t>Type</t>
  </si>
  <si>
    <t>Cob-Id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</si>
  <si>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</si>
  <si>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</si>
  <si>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</si>
  <si>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</si>
  <si>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</si>
  <si>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</si>
  <si>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</si>
  <si>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</si>
  <si>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Master</t>
  </si>
  <si>
    <t>Cob-id</t>
  </si>
  <si>
    <t>HB Time</t>
  </si>
  <si>
    <t>Slave</t>
  </si>
  <si>
    <t>CAN1</t>
  </si>
  <si>
    <t>RC36</t>
  </si>
  <si>
    <t>Ver</t>
  </si>
  <si>
    <t>Date</t>
  </si>
  <si>
    <t>Author</t>
  </si>
  <si>
    <t>Comments</t>
  </si>
  <si>
    <t>tx</t>
  </si>
  <si>
    <t>CWACons.</t>
  </si>
  <si>
    <t>CWA rpm</t>
  </si>
  <si>
    <t>P Work</t>
  </si>
  <si>
    <t>P Current</t>
  </si>
  <si>
    <t>Flow cont.</t>
  </si>
  <si>
    <t>Steer.cont.</t>
  </si>
  <si>
    <t>M/S</t>
  </si>
  <si>
    <t>P_request</t>
  </si>
  <si>
    <t>RPM_req</t>
  </si>
  <si>
    <t>EM Stop</t>
  </si>
  <si>
    <t>100 ms</t>
  </si>
  <si>
    <t>None</t>
  </si>
  <si>
    <t>Misc.1</t>
  </si>
  <si>
    <t>Misc.2</t>
  </si>
  <si>
    <t>Status1</t>
  </si>
  <si>
    <t>Status2</t>
  </si>
  <si>
    <t>Rate/ms</t>
  </si>
  <si>
    <t>CAN2</t>
  </si>
  <si>
    <t>Resolver</t>
  </si>
  <si>
    <t>M4 Steer</t>
  </si>
  <si>
    <t>OBE Pump</t>
  </si>
  <si>
    <t>A4VG110 OBE (HST pump)</t>
  </si>
  <si>
    <t>M4 Steering valve</t>
  </si>
  <si>
    <t>Frame angle Resolver</t>
  </si>
  <si>
    <t>Target angle</t>
  </si>
  <si>
    <t>Target power</t>
  </si>
  <si>
    <t>Target cut-off</t>
  </si>
  <si>
    <t>Target rpm</t>
  </si>
  <si>
    <t>Error high</t>
  </si>
  <si>
    <t>2nd high</t>
  </si>
  <si>
    <t>3rd</t>
  </si>
  <si>
    <t>4th</t>
  </si>
  <si>
    <t>5th</t>
  </si>
  <si>
    <t>6th</t>
  </si>
  <si>
    <t>7th</t>
  </si>
  <si>
    <t>8th</t>
  </si>
  <si>
    <t>rx</t>
  </si>
  <si>
    <t>Error reaction</t>
  </si>
  <si>
    <t>Actual swivel angle</t>
  </si>
  <si>
    <t>Pressure A</t>
  </si>
  <si>
    <t>Pressure B</t>
  </si>
  <si>
    <t>Current A</t>
  </si>
  <si>
    <t>Current B</t>
  </si>
  <si>
    <t>Theoretical power</t>
  </si>
  <si>
    <t>Op.mode</t>
  </si>
  <si>
    <t>Op.direct.</t>
  </si>
  <si>
    <t>Theoretical Flow</t>
  </si>
  <si>
    <t>Rotational speed</t>
  </si>
  <si>
    <t>Electr. temperature</t>
  </si>
  <si>
    <t>External temperature</t>
  </si>
  <si>
    <t>Sent by BODAS</t>
  </si>
  <si>
    <t>Position</t>
  </si>
  <si>
    <t>Velocity</t>
  </si>
  <si>
    <t>RMHD</t>
  </si>
  <si>
    <t>Reserved</t>
  </si>
  <si>
    <t>Bus Load</t>
  </si>
  <si>
    <t>kbit/s</t>
  </si>
  <si>
    <t>%</t>
  </si>
  <si>
    <t>Protocol</t>
  </si>
  <si>
    <t>CANopen</t>
  </si>
  <si>
    <t>bits/s</t>
  </si>
  <si>
    <t>Data byt.</t>
  </si>
  <si>
    <t>Miika Ahopelto</t>
  </si>
  <si>
    <t>Last version. Prohibited to change cell content.</t>
  </si>
  <si>
    <t>Com.val_L</t>
  </si>
  <si>
    <t>Com.val_H</t>
  </si>
  <si>
    <t>J1939</t>
  </si>
  <si>
    <t>Message</t>
  </si>
  <si>
    <t>BJM</t>
  </si>
  <si>
    <t>EJM</t>
  </si>
  <si>
    <t>SA</t>
  </si>
  <si>
    <t>Identifier</t>
  </si>
  <si>
    <t>Diesel</t>
  </si>
  <si>
    <t>0x0CF00400</t>
  </si>
  <si>
    <t>Prio.</t>
  </si>
  <si>
    <t>PGN</t>
  </si>
  <si>
    <t>Bodas</t>
  </si>
  <si>
    <t>0x18000055</t>
  </si>
  <si>
    <t>0x18FE6255</t>
  </si>
  <si>
    <t>TSCI1-P1</t>
  </si>
  <si>
    <t>GPM24</t>
  </si>
  <si>
    <t>EEC1</t>
  </si>
  <si>
    <t>Fuel Ec.</t>
  </si>
  <si>
    <t>Press.</t>
  </si>
  <si>
    <t>Temp.</t>
  </si>
  <si>
    <t>Joystick</t>
  </si>
  <si>
    <t>0x18FEF200</t>
  </si>
  <si>
    <t>0x18FEEF00</t>
  </si>
  <si>
    <t>0x18FEEE00</t>
  </si>
  <si>
    <t>Control</t>
  </si>
  <si>
    <t>Requested Speed</t>
  </si>
  <si>
    <t>Torque</t>
  </si>
  <si>
    <t>T Curve</t>
  </si>
  <si>
    <t>Droop C</t>
  </si>
  <si>
    <t>Droop %</t>
  </si>
  <si>
    <t>Not used</t>
  </si>
  <si>
    <t>StartStop</t>
  </si>
  <si>
    <t>T mode</t>
  </si>
  <si>
    <t>Not avail</t>
  </si>
  <si>
    <t>Percent T</t>
  </si>
  <si>
    <t>Starter M</t>
  </si>
  <si>
    <t>Engine speed</t>
  </si>
  <si>
    <t>Not Def</t>
  </si>
  <si>
    <t>Fuel rate</t>
  </si>
  <si>
    <t>Oil level</t>
  </si>
  <si>
    <t>Oil pres.</t>
  </si>
  <si>
    <t>Fuel pres.</t>
  </si>
  <si>
    <t>Coolant T</t>
  </si>
  <si>
    <t>FuelTemp</t>
  </si>
  <si>
    <t>Source address</t>
  </si>
  <si>
    <t>0x55</t>
  </si>
  <si>
    <t>Diesel 44CWA</t>
  </si>
  <si>
    <t>Joystick EJ</t>
  </si>
  <si>
    <t>0x0</t>
  </si>
  <si>
    <t>?</t>
  </si>
  <si>
    <t>Horizontal axis</t>
  </si>
  <si>
    <t>Vertical axis</t>
  </si>
  <si>
    <t>Buttons</t>
  </si>
  <si>
    <t>0x40</t>
  </si>
  <si>
    <t>0x26</t>
  </si>
  <si>
    <t>0x7F</t>
  </si>
  <si>
    <t>0x53</t>
  </si>
  <si>
    <t>0x0F</t>
  </si>
  <si>
    <t>0x03</t>
  </si>
  <si>
    <t>DM1</t>
  </si>
  <si>
    <t>Sync</t>
  </si>
  <si>
    <t>Hours</t>
  </si>
  <si>
    <t>InletCond</t>
  </si>
  <si>
    <t>0x18FF3500</t>
  </si>
  <si>
    <t>0x18FEF600</t>
  </si>
  <si>
    <t>Engine hours</t>
  </si>
  <si>
    <t>EngStatus</t>
  </si>
  <si>
    <t>MaxFuelQ</t>
  </si>
  <si>
    <t>InjectQSP</t>
  </si>
  <si>
    <t>Trip fuel</t>
  </si>
  <si>
    <t>BoostPres</t>
  </si>
  <si>
    <t>IMTemp</t>
  </si>
  <si>
    <t>Misc.3</t>
  </si>
  <si>
    <t>Oil temperature</t>
  </si>
  <si>
    <t>Bucket reference</t>
  </si>
  <si>
    <t>Boom reference</t>
  </si>
  <si>
    <t>Work pump ref.</t>
  </si>
  <si>
    <t>Remote UltraCom control module (RCM)</t>
  </si>
  <si>
    <t>RCM</t>
  </si>
  <si>
    <t>Gas</t>
  </si>
  <si>
    <t>Boom</t>
  </si>
  <si>
    <t>Bucket</t>
  </si>
  <si>
    <t>ExtHyd</t>
  </si>
  <si>
    <t>Steer</t>
  </si>
  <si>
    <t>P HST</t>
  </si>
  <si>
    <t>RPM ref</t>
  </si>
  <si>
    <t>Speed ref</t>
  </si>
  <si>
    <r>
      <t>R/120</t>
    </r>
    <r>
      <rPr>
        <b/>
        <sz val="10"/>
        <rFont val="Calibri"/>
        <family val="2"/>
      </rPr>
      <t>Ω</t>
    </r>
  </si>
  <si>
    <t>Display DI3</t>
  </si>
  <si>
    <t>TankTemp.</t>
  </si>
  <si>
    <t>EEC2-P1</t>
  </si>
  <si>
    <t>0x0CF00300</t>
  </si>
  <si>
    <t>PedalPos.</t>
  </si>
  <si>
    <t>Load %</t>
  </si>
  <si>
    <t>T curve</t>
  </si>
  <si>
    <t>DI status</t>
  </si>
  <si>
    <t>Grid&amp;Lift</t>
  </si>
  <si>
    <t>CWA rpm ref.</t>
  </si>
  <si>
    <t>Drive pump disp. Ref</t>
  </si>
  <si>
    <t>Aux. Hydr.</t>
  </si>
  <si>
    <t>Misc.4</t>
  </si>
  <si>
    <t>x-axel</t>
  </si>
  <si>
    <t>y-axel</t>
  </si>
  <si>
    <t>Status4</t>
  </si>
  <si>
    <t>Inital draft (copied from old IHA-machine</t>
  </si>
  <si>
    <t>IMU</t>
  </si>
  <si>
    <t>90 ms</t>
  </si>
  <si>
    <t>Updated messages</t>
  </si>
  <si>
    <t>Otso Karhu</t>
  </si>
  <si>
    <t>Added IMU</t>
  </si>
  <si>
    <t>Fuel level</t>
  </si>
  <si>
    <t>y gyro rate</t>
  </si>
  <si>
    <t>x gyro rate</t>
  </si>
  <si>
    <t>z gyro rate</t>
  </si>
  <si>
    <t>temperature</t>
  </si>
  <si>
    <t>x acceleration</t>
  </si>
  <si>
    <t>y acceleration</t>
  </si>
  <si>
    <t>z acceleration</t>
  </si>
  <si>
    <t>diagnostic state</t>
  </si>
  <si>
    <t>Misc.5</t>
  </si>
  <si>
    <t>Work temp.</t>
  </si>
  <si>
    <t>ButtonsEtc</t>
  </si>
  <si>
    <t>0xFC</t>
  </si>
  <si>
    <t>0x08FDD6FC</t>
  </si>
  <si>
    <t>0x0CC000FC</t>
  </si>
  <si>
    <t>0x0CFFF2FC</t>
  </si>
  <si>
    <t>0x18FECAFC</t>
  </si>
  <si>
    <t>Work pump displ.</t>
  </si>
  <si>
    <t>Updated CAN1 messages and devices</t>
  </si>
  <si>
    <t xml:space="preserve">Driv. mot. </t>
  </si>
  <si>
    <t>Added drive motor control</t>
  </si>
  <si>
    <t>HSD motor speed</t>
  </si>
  <si>
    <t>Updated HSD-motor speed</t>
  </si>
  <si>
    <t>Misc.6</t>
  </si>
  <si>
    <t>Added Misc.6 and boom and tilt postisions.</t>
  </si>
  <si>
    <t>Updated IMU: TPDO rates and gyro signal scaling</t>
  </si>
  <si>
    <t>Digital valve booster, tilt</t>
  </si>
  <si>
    <t>Digital valve booster, lift</t>
  </si>
  <si>
    <t>Lift booster</t>
  </si>
  <si>
    <t>Tilt booster</t>
  </si>
  <si>
    <t>Extra sensor input</t>
  </si>
  <si>
    <t>Added CAN digi and boosters</t>
  </si>
  <si>
    <t>Lift: port A pressure</t>
  </si>
  <si>
    <t>Lift: port B pressure</t>
  </si>
  <si>
    <t>Supply pressure</t>
  </si>
  <si>
    <t>Tilt: port B pressure</t>
  </si>
  <si>
    <t>Tilt: port A pressure</t>
  </si>
  <si>
    <t>PA</t>
  </si>
  <si>
    <t>AT</t>
  </si>
  <si>
    <t>PB</t>
  </si>
  <si>
    <t>BT</t>
  </si>
  <si>
    <t>Sent by xPC, rate TBD</t>
  </si>
  <si>
    <t>Minor cosmetic changes</t>
  </si>
  <si>
    <t>"Wille2012"</t>
  </si>
  <si>
    <t>Joni Backas</t>
  </si>
  <si>
    <t>Removed digi valve message (Id:1159) from CAN1</t>
  </si>
  <si>
    <t>Added Parking brakes and resolver message</t>
  </si>
  <si>
    <t>dSpace</t>
  </si>
  <si>
    <t>Added dSpace</t>
  </si>
  <si>
    <t>Lift position</t>
  </si>
  <si>
    <t>Tilt position</t>
  </si>
  <si>
    <t xml:space="preserve">Added Tilt and Lift </t>
  </si>
  <si>
    <t>Updated comment of Misc.4</t>
  </si>
  <si>
    <t>HSD m. ref.</t>
  </si>
  <si>
    <t>comments of the Status byte of cobid 391 updated</t>
  </si>
  <si>
    <t>Digi booster Tilt pressures corrected</t>
  </si>
  <si>
    <t>Gear</t>
  </si>
  <si>
    <t>Added Gear information to CAN1 (id:648)</t>
  </si>
  <si>
    <t>Number of pulses</t>
  </si>
  <si>
    <t>Flow AO1</t>
  </si>
  <si>
    <t>Density AO2</t>
  </si>
  <si>
    <t>Fuel cons</t>
  </si>
  <si>
    <t>Aux. Press</t>
  </si>
  <si>
    <t>Added Auxiliary pump pressure for CAN1</t>
  </si>
  <si>
    <t>Boom pressure measurement box</t>
  </si>
  <si>
    <t>Ville Ahola</t>
  </si>
  <si>
    <t>Extra pressure measurements for boom CAN1</t>
  </si>
  <si>
    <t>Arduino</t>
  </si>
  <si>
    <t>pAT2</t>
  </si>
  <si>
    <t>pAL2</t>
  </si>
  <si>
    <t>pBL2</t>
  </si>
  <si>
    <t>pS2</t>
  </si>
  <si>
    <t>pBT2</t>
  </si>
  <si>
    <t>pT2</t>
  </si>
  <si>
    <t>pAT3</t>
  </si>
  <si>
    <t>pBT3</t>
  </si>
  <si>
    <t>Extra pressure measurements moved to CAN digi</t>
  </si>
  <si>
    <t>RC 36</t>
  </si>
  <si>
    <t>DEBUG</t>
  </si>
  <si>
    <t>RC28</t>
  </si>
  <si>
    <t>Removed dSpace, Added RC28 + some debug messages</t>
  </si>
  <si>
    <t>Force gear</t>
  </si>
  <si>
    <t>debug</t>
  </si>
  <si>
    <t>ActualPressure</t>
  </si>
  <si>
    <t>MaxPressure</t>
  </si>
  <si>
    <t>Demo</t>
  </si>
  <si>
    <t>RC 4/5</t>
  </si>
  <si>
    <t>PumpAngle</t>
  </si>
  <si>
    <t>PumpPressure</t>
  </si>
  <si>
    <t>Req_PumpAngle</t>
  </si>
  <si>
    <t>Req_PumpPressure</t>
  </si>
  <si>
    <t>PumpRPM</t>
  </si>
  <si>
    <t>SystemTemperature</t>
  </si>
  <si>
    <t>Joystick bucket</t>
  </si>
  <si>
    <t>Joystick boom</t>
  </si>
  <si>
    <t>ID(hex)</t>
  </si>
  <si>
    <t>Bucket valve current</t>
  </si>
  <si>
    <t>Boom valve current</t>
  </si>
  <si>
    <t>not def</t>
  </si>
  <si>
    <t>ScaleLift_P1</t>
  </si>
  <si>
    <t>ScaleLift_P2</t>
  </si>
  <si>
    <t>ScaleLift_P3</t>
  </si>
  <si>
    <t>ScaleLift_P4</t>
  </si>
  <si>
    <t>ScaleLift_P5</t>
  </si>
  <si>
    <t>ScaleLift_P6</t>
  </si>
  <si>
    <t>ScaleLift_P7</t>
  </si>
  <si>
    <t>ScaleLift_P8</t>
  </si>
  <si>
    <t>ScaleLift_PR1</t>
  </si>
  <si>
    <t>ScaleLift_PR2</t>
  </si>
  <si>
    <t>ScaleLift_PR3</t>
  </si>
  <si>
    <t>ScaleLift_PR4</t>
  </si>
  <si>
    <t>ScaleLift_PR5</t>
  </si>
  <si>
    <t>ScaleLift_PR6</t>
  </si>
  <si>
    <t>ScaleLift_PR7</t>
  </si>
  <si>
    <t>ScaleLift_PR8</t>
  </si>
  <si>
    <t>ScaleLift_QR1</t>
  </si>
  <si>
    <t>ScaleLift_Q1</t>
  </si>
  <si>
    <t>ScaleLift_Q2</t>
  </si>
  <si>
    <t>ScaleLift_Q3</t>
  </si>
  <si>
    <t>ScaleLift_Q4</t>
  </si>
  <si>
    <t>ScaleLift_Q5</t>
  </si>
  <si>
    <t>ScaleLift_Q6</t>
  </si>
  <si>
    <t>ScaleLift_Q7</t>
  </si>
  <si>
    <t>ScaleLift_Q8</t>
  </si>
  <si>
    <t>ScaleLift_QR2</t>
  </si>
  <si>
    <t>ScaleLift_QR3</t>
  </si>
  <si>
    <t>ScaleLift_QR4</t>
  </si>
  <si>
    <t>ScaleLift_QR5</t>
  </si>
  <si>
    <t>ScaleLift_QR6</t>
  </si>
  <si>
    <t>ScaleLift_QR7</t>
  </si>
  <si>
    <t>ScaleLift_QR8</t>
  </si>
  <si>
    <t>Tilt velocity</t>
  </si>
  <si>
    <t>Lift velocity</t>
  </si>
  <si>
    <t>Note1: Demo2 mode shall be activated from the displays if the pump is driven with pressure&amp;flow control mode</t>
  </si>
  <si>
    <t>Note2: Scale function of the lift  is currently setting same parameters for the tilt</t>
  </si>
  <si>
    <t>Display</t>
  </si>
  <si>
    <t>pA_Lift</t>
  </si>
  <si>
    <t>pB_Lift</t>
  </si>
  <si>
    <t>pB_Tilt</t>
  </si>
  <si>
    <t>Updated demo2017 message and pressure signals (CAN1)</t>
  </si>
  <si>
    <t>Updated messages for auto/semi automatic scooping</t>
  </si>
  <si>
    <t>PileMode</t>
  </si>
  <si>
    <t>AutoPileCtr</t>
  </si>
  <si>
    <t>PileDetect</t>
  </si>
  <si>
    <t>gasPedal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</si>
</sst>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sz val="8"/>
      <color indexed="8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</font>
    <font>
      <sz val="8"/>
      <color indexed="81"/>
      <name val="Calibri"/>
      <family val="2"/>
    </font>
    <font>
      <sz val="9.1999999999999993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2" fontId="9" fillId="2" borderId="0" xfId="0" applyNumberFormat="1" applyFont="1" applyFill="1" applyProtection="1"/>
    <xf numFmtId="14" fontId="9" fillId="2" borderId="0" xfId="0" applyNumberFormat="1" applyFont="1" applyFill="1"/>
    <xf numFmtId="0" fontId="8" fillId="2" borderId="0" xfId="0" applyFont="1" applyFill="1"/>
    <xf numFmtId="49" fontId="0" fillId="0" borderId="0" xfId="0" applyNumberFormat="1"/>
    <xf numFmtId="0" fontId="9" fillId="0" borderId="10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6" xfId="0" applyBorder="1" applyAlignment="1"/>
    <xf numFmtId="0" fontId="0" fillId="0" borderId="11" xfId="0" applyBorder="1" applyAlignment="1"/>
    <xf numFmtId="0" fontId="8" fillId="0" borderId="24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right"/>
    </xf>
    <xf numFmtId="0" fontId="8" fillId="0" borderId="0" xfId="0" applyFont="1" applyFill="1" applyBorder="1" applyAlignment="1" applyProtection="1">
      <protection hidden="1"/>
    </xf>
    <xf numFmtId="0" fontId="0" fillId="0" borderId="0" xfId="0" applyAlignment="1" applyProtection="1">
      <protection hidden="1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19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/>
    <xf numFmtId="0" fontId="0" fillId="0" borderId="14" xfId="0" applyBorder="1" applyAlignment="1"/>
    <xf numFmtId="0" fontId="15" fillId="0" borderId="6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7" fillId="0" borderId="2" xfId="0" applyFont="1" applyBorder="1"/>
    <xf numFmtId="0" fontId="7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applyFont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/>
    <xf numFmtId="0" fontId="0" fillId="0" borderId="9" xfId="0" applyBorder="1" applyAlignment="1"/>
    <xf numFmtId="0" fontId="16" fillId="0" borderId="1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35" xfId="0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0" xfId="0" applyFont="1"/>
    <xf numFmtId="0" fontId="16" fillId="0" borderId="0" xfId="0" applyFont="1"/>
    <xf numFmtId="0" fontId="0" fillId="0" borderId="41" xfId="0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2" xfId="0" applyBorder="1"/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18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1" xfId="0" applyBorder="1"/>
    <xf numFmtId="0" fontId="0" fillId="0" borderId="46" xfId="0" applyBorder="1" applyAlignment="1">
      <alignment horizontal="left"/>
    </xf>
    <xf numFmtId="0" fontId="0" fillId="0" borderId="47" xfId="0" applyBorder="1"/>
    <xf numFmtId="0" fontId="0" fillId="0" borderId="43" xfId="0" applyBorder="1" applyAlignment="1">
      <alignment horizontal="left"/>
    </xf>
    <xf numFmtId="0" fontId="0" fillId="0" borderId="44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26</xdr:row>
      <xdr:rowOff>95250</xdr:rowOff>
    </xdr:from>
    <xdr:ext cx="184731" cy="264560"/>
    <xdr:sp macro="" textlink="">
      <xdr:nvSpPr>
        <xdr:cNvPr id="2" name="TextBox 1"/>
        <xdr:cNvSpPr txBox="1"/>
      </xdr:nvSpPr>
      <xdr:spPr>
        <a:xfrm>
          <a:off x="304800" y="504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9"/>
  <sheetViews>
    <sheetView topLeftCell="A10" workbookViewId="0">
      <selection activeCell="B32" sqref="B32"/>
    </sheetView>
  </sheetViews>
  <sheetFormatPr defaultRowHeight="15" x14ac:dyDescent="0.25"/>
  <cols>
    <col min="2" max="2" width="10.140625" bestFit="1" customWidth="1"/>
    <col min="3" max="3" width="21.42578125" customWidth="1"/>
    <col min="4" max="4" width="68.28515625" style="134" customWidth="1"/>
  </cols>
  <sheetData>
    <row r="1" spans="1:4" x14ac:dyDescent="0.25">
      <c r="A1" s="23">
        <f>MAXA(A7:A83)</f>
        <v>1.24</v>
      </c>
      <c r="B1" s="24">
        <f>MAXA(B7:B83)</f>
        <v>42997</v>
      </c>
      <c r="C1" s="25" t="s">
        <v>97</v>
      </c>
      <c r="D1" s="133"/>
    </row>
    <row r="2" spans="1:4" x14ac:dyDescent="0.25">
      <c r="A2" s="26"/>
    </row>
    <row r="3" spans="1:4" x14ac:dyDescent="0.25">
      <c r="A3" s="26"/>
    </row>
    <row r="4" spans="1:4" x14ac:dyDescent="0.25">
      <c r="A4" s="26"/>
    </row>
    <row r="5" spans="1:4" x14ac:dyDescent="0.25">
      <c r="A5" s="26"/>
    </row>
    <row r="6" spans="1:4" x14ac:dyDescent="0.25">
      <c r="A6" s="53" t="s">
        <v>29</v>
      </c>
      <c r="B6" s="54" t="s">
        <v>30</v>
      </c>
      <c r="C6" s="54" t="s">
        <v>31</v>
      </c>
      <c r="D6" s="135" t="s">
        <v>32</v>
      </c>
    </row>
    <row r="7" spans="1:4" ht="15" customHeight="1" x14ac:dyDescent="0.25">
      <c r="A7" s="51">
        <v>1</v>
      </c>
      <c r="B7" s="52">
        <v>41080</v>
      </c>
      <c r="C7" s="7" t="s">
        <v>96</v>
      </c>
      <c r="D7" s="136" t="s">
        <v>203</v>
      </c>
    </row>
    <row r="8" spans="1:4" x14ac:dyDescent="0.25">
      <c r="A8" s="51">
        <v>1.01</v>
      </c>
      <c r="B8" s="52">
        <v>41130</v>
      </c>
      <c r="C8" s="7" t="s">
        <v>96</v>
      </c>
      <c r="D8" s="136" t="s">
        <v>206</v>
      </c>
    </row>
    <row r="9" spans="1:4" x14ac:dyDescent="0.25">
      <c r="A9" s="7">
        <v>1.02</v>
      </c>
      <c r="B9" s="52">
        <v>41131</v>
      </c>
      <c r="C9" s="7" t="s">
        <v>207</v>
      </c>
      <c r="D9" s="134" t="s">
        <v>208</v>
      </c>
    </row>
    <row r="10" spans="1:4" x14ac:dyDescent="0.25">
      <c r="A10" s="7">
        <v>1.03</v>
      </c>
      <c r="B10" s="52">
        <v>41136</v>
      </c>
      <c r="C10" s="7" t="s">
        <v>96</v>
      </c>
      <c r="D10" s="134" t="s">
        <v>227</v>
      </c>
    </row>
    <row r="11" spans="1:4" x14ac:dyDescent="0.25">
      <c r="A11" s="7">
        <v>1.04</v>
      </c>
      <c r="B11" s="52">
        <v>41137</v>
      </c>
      <c r="C11" s="7" t="s">
        <v>96</v>
      </c>
      <c r="D11" s="134" t="s">
        <v>229</v>
      </c>
    </row>
    <row r="12" spans="1:4" x14ac:dyDescent="0.25">
      <c r="A12" s="7">
        <v>1.05</v>
      </c>
      <c r="B12" s="52">
        <v>41143</v>
      </c>
      <c r="C12" s="7" t="s">
        <v>96</v>
      </c>
      <c r="D12" s="134" t="s">
        <v>231</v>
      </c>
    </row>
    <row r="13" spans="1:4" x14ac:dyDescent="0.25">
      <c r="A13" s="7">
        <v>1.06</v>
      </c>
      <c r="B13" s="52">
        <v>41149</v>
      </c>
      <c r="C13" s="7" t="s">
        <v>96</v>
      </c>
      <c r="D13" s="134" t="s">
        <v>233</v>
      </c>
    </row>
    <row r="14" spans="1:4" x14ac:dyDescent="0.25">
      <c r="A14" s="7">
        <v>1.07</v>
      </c>
      <c r="B14" s="52">
        <v>41150</v>
      </c>
      <c r="C14" s="7" t="s">
        <v>207</v>
      </c>
      <c r="D14" s="134" t="s">
        <v>234</v>
      </c>
    </row>
    <row r="15" spans="1:4" x14ac:dyDescent="0.25">
      <c r="A15" s="7">
        <v>1.08</v>
      </c>
      <c r="B15" s="52">
        <v>41150</v>
      </c>
      <c r="C15" s="7" t="s">
        <v>207</v>
      </c>
      <c r="D15" s="134" t="s">
        <v>240</v>
      </c>
    </row>
    <row r="16" spans="1:4" x14ac:dyDescent="0.25">
      <c r="A16" s="7">
        <v>1.0900000000000001</v>
      </c>
      <c r="B16" s="52">
        <v>41151</v>
      </c>
      <c r="C16" s="7" t="s">
        <v>207</v>
      </c>
      <c r="D16" s="134" t="s">
        <v>251</v>
      </c>
    </row>
    <row r="17" spans="1:4" x14ac:dyDescent="0.25">
      <c r="A17" s="51">
        <v>1.1000000000000001</v>
      </c>
      <c r="B17" s="52">
        <v>41156</v>
      </c>
      <c r="C17" s="7" t="s">
        <v>253</v>
      </c>
      <c r="D17" s="134" t="s">
        <v>254</v>
      </c>
    </row>
    <row r="18" spans="1:4" x14ac:dyDescent="0.25">
      <c r="A18" s="7">
        <v>1.1100000000000001</v>
      </c>
      <c r="B18" s="52">
        <v>41157</v>
      </c>
      <c r="C18" s="7" t="s">
        <v>96</v>
      </c>
      <c r="D18" s="134" t="s">
        <v>255</v>
      </c>
    </row>
    <row r="19" spans="1:4" x14ac:dyDescent="0.25">
      <c r="A19" s="7">
        <v>1.1200000000000001</v>
      </c>
      <c r="B19" s="52">
        <v>41162</v>
      </c>
      <c r="C19" s="7" t="s">
        <v>96</v>
      </c>
      <c r="D19" s="134" t="s">
        <v>257</v>
      </c>
    </row>
    <row r="20" spans="1:4" x14ac:dyDescent="0.25">
      <c r="A20" s="7">
        <v>1.1299999999999999</v>
      </c>
      <c r="B20" s="52">
        <v>41163</v>
      </c>
      <c r="C20" s="7" t="s">
        <v>96</v>
      </c>
      <c r="D20" s="134" t="s">
        <v>260</v>
      </c>
    </row>
    <row r="21" spans="1:4" x14ac:dyDescent="0.25">
      <c r="A21" s="7">
        <v>1.1399999999999999</v>
      </c>
      <c r="B21" s="52">
        <v>41184</v>
      </c>
      <c r="C21" s="7" t="s">
        <v>96</v>
      </c>
      <c r="D21" s="134" t="s">
        <v>261</v>
      </c>
    </row>
    <row r="22" spans="1:4" x14ac:dyDescent="0.25">
      <c r="A22" s="7">
        <v>1.1499999999999999</v>
      </c>
      <c r="B22" s="52">
        <v>41564</v>
      </c>
      <c r="C22" s="7" t="s">
        <v>96</v>
      </c>
      <c r="D22" s="134" t="s">
        <v>263</v>
      </c>
    </row>
    <row r="23" spans="1:4" x14ac:dyDescent="0.25">
      <c r="A23" s="7">
        <v>1.1599999999999999</v>
      </c>
      <c r="B23" s="52">
        <v>42124</v>
      </c>
      <c r="C23" s="7" t="s">
        <v>96</v>
      </c>
      <c r="D23" s="134" t="s">
        <v>206</v>
      </c>
    </row>
    <row r="24" spans="1:4" x14ac:dyDescent="0.25">
      <c r="A24" s="7">
        <v>1.17</v>
      </c>
      <c r="B24" s="52">
        <v>42236</v>
      </c>
      <c r="C24" s="7" t="s">
        <v>96</v>
      </c>
      <c r="D24" s="134" t="s">
        <v>264</v>
      </c>
    </row>
    <row r="25" spans="1:4" x14ac:dyDescent="0.25">
      <c r="A25" s="7">
        <v>1.18</v>
      </c>
      <c r="B25" s="52">
        <v>42276</v>
      </c>
      <c r="C25" s="7" t="s">
        <v>96</v>
      </c>
      <c r="D25" s="134" t="s">
        <v>266</v>
      </c>
    </row>
    <row r="26" spans="1:4" x14ac:dyDescent="0.25">
      <c r="A26" s="7">
        <v>1.19</v>
      </c>
      <c r="B26" s="52">
        <v>42312</v>
      </c>
      <c r="C26" s="7" t="s">
        <v>96</v>
      </c>
      <c r="D26" s="134" t="s">
        <v>272</v>
      </c>
    </row>
    <row r="27" spans="1:4" x14ac:dyDescent="0.25">
      <c r="A27" s="51">
        <v>1.2</v>
      </c>
      <c r="B27" s="52">
        <v>42507</v>
      </c>
      <c r="C27" s="7" t="s">
        <v>274</v>
      </c>
      <c r="D27" s="134" t="s">
        <v>275</v>
      </c>
    </row>
    <row r="28" spans="1:4" x14ac:dyDescent="0.25">
      <c r="A28" s="7">
        <v>1.21</v>
      </c>
      <c r="B28" s="52">
        <v>42664</v>
      </c>
      <c r="C28" s="7" t="s">
        <v>274</v>
      </c>
      <c r="D28" s="134" t="s">
        <v>285</v>
      </c>
    </row>
    <row r="29" spans="1:4" x14ac:dyDescent="0.25">
      <c r="A29" s="7">
        <v>1.22</v>
      </c>
      <c r="B29" s="52">
        <v>42761</v>
      </c>
      <c r="C29" s="7" t="s">
        <v>274</v>
      </c>
      <c r="D29" s="134" t="s">
        <v>289</v>
      </c>
    </row>
    <row r="30" spans="1:4" x14ac:dyDescent="0.25">
      <c r="A30" s="7">
        <v>1.23</v>
      </c>
      <c r="B30" s="52">
        <v>42993</v>
      </c>
      <c r="C30" s="7" t="s">
        <v>96</v>
      </c>
      <c r="D30" s="134" t="s">
        <v>348</v>
      </c>
    </row>
    <row r="31" spans="1:4" x14ac:dyDescent="0.25">
      <c r="A31" s="7">
        <v>1.24</v>
      </c>
      <c r="B31" s="52">
        <v>42997</v>
      </c>
      <c r="C31" s="7" t="s">
        <v>96</v>
      </c>
      <c r="D31" s="134" t="s">
        <v>349</v>
      </c>
    </row>
    <row r="32" spans="1:4" x14ac:dyDescent="0.25">
      <c r="A32" s="7"/>
      <c r="B32" s="82"/>
      <c r="C32" s="7"/>
    </row>
    <row r="33" spans="1:3" x14ac:dyDescent="0.25">
      <c r="A33" s="7"/>
      <c r="B33" s="82"/>
      <c r="C33" s="7"/>
    </row>
    <row r="34" spans="1:3" x14ac:dyDescent="0.25">
      <c r="A34" s="7"/>
      <c r="B34" s="82"/>
      <c r="C34" s="7"/>
    </row>
    <row r="35" spans="1:3" x14ac:dyDescent="0.25">
      <c r="A35" s="51"/>
      <c r="B35" s="82"/>
      <c r="C35" s="7"/>
    </row>
    <row r="36" spans="1:3" x14ac:dyDescent="0.25">
      <c r="A36" s="51"/>
      <c r="B36" s="82"/>
      <c r="C36" s="7"/>
    </row>
    <row r="37" spans="1:3" x14ac:dyDescent="0.25">
      <c r="A37" s="51"/>
      <c r="B37" s="82"/>
      <c r="C37" s="7"/>
    </row>
    <row r="38" spans="1:3" x14ac:dyDescent="0.25">
      <c r="A38" s="51"/>
      <c r="B38" s="82"/>
      <c r="C38" s="7"/>
    </row>
    <row r="39" spans="1:3" x14ac:dyDescent="0.25">
      <c r="A39" s="51"/>
      <c r="B39" s="82"/>
      <c r="C39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C14" sqref="C14"/>
    </sheetView>
  </sheetViews>
  <sheetFormatPr defaultRowHeight="15" x14ac:dyDescent="0.25"/>
  <cols>
    <col min="1" max="1" width="18" customWidth="1"/>
    <col min="2" max="2" width="18.42578125" style="7" customWidth="1"/>
    <col min="3" max="3" width="16.42578125" style="7" customWidth="1"/>
    <col min="4" max="4" width="21.85546875" style="7" customWidth="1"/>
    <col min="5" max="5" width="12.28515625" customWidth="1"/>
  </cols>
  <sheetData>
    <row r="1" spans="1:4" ht="21.75" thickBot="1" x14ac:dyDescent="0.4">
      <c r="A1" s="137" t="s">
        <v>0</v>
      </c>
      <c r="B1" s="138"/>
      <c r="C1" s="12" t="s">
        <v>1</v>
      </c>
      <c r="D1" s="14" t="s">
        <v>143</v>
      </c>
    </row>
    <row r="2" spans="1:4" x14ac:dyDescent="0.25">
      <c r="A2" s="143" t="s">
        <v>3</v>
      </c>
      <c r="B2" s="144"/>
      <c r="C2" s="80">
        <v>5</v>
      </c>
      <c r="D2" s="79" t="s">
        <v>144</v>
      </c>
    </row>
    <row r="3" spans="1:4" s="5" customFormat="1" ht="15" customHeight="1" x14ac:dyDescent="0.35">
      <c r="A3" s="139" t="s">
        <v>2</v>
      </c>
      <c r="B3" s="140"/>
      <c r="C3" s="80">
        <v>7</v>
      </c>
      <c r="D3" s="77"/>
    </row>
    <row r="4" spans="1:4" s="5" customFormat="1" ht="15" customHeight="1" x14ac:dyDescent="0.35">
      <c r="A4" s="101" t="s">
        <v>256</v>
      </c>
      <c r="B4" s="102"/>
      <c r="C4" s="80">
        <v>8</v>
      </c>
      <c r="D4" s="77"/>
    </row>
    <row r="5" spans="1:4" x14ac:dyDescent="0.25">
      <c r="A5" s="101" t="s">
        <v>6</v>
      </c>
      <c r="B5" s="102"/>
      <c r="C5" s="80">
        <v>1</v>
      </c>
      <c r="D5" s="112"/>
    </row>
    <row r="6" spans="1:4" x14ac:dyDescent="0.25">
      <c r="A6" s="101" t="s">
        <v>55</v>
      </c>
      <c r="B6" s="102"/>
      <c r="C6" s="80">
        <v>10</v>
      </c>
      <c r="D6" s="112"/>
    </row>
    <row r="7" spans="1:4" x14ac:dyDescent="0.25">
      <c r="A7" s="101" t="s">
        <v>56</v>
      </c>
      <c r="B7" s="102"/>
      <c r="C7" s="80">
        <v>20</v>
      </c>
      <c r="D7" s="112"/>
    </row>
    <row r="8" spans="1:4" x14ac:dyDescent="0.25">
      <c r="A8" s="109" t="s">
        <v>204</v>
      </c>
      <c r="B8" s="86"/>
      <c r="C8" s="80">
        <v>50</v>
      </c>
      <c r="D8" s="112"/>
    </row>
    <row r="9" spans="1:4" x14ac:dyDescent="0.25">
      <c r="A9" s="101" t="s">
        <v>57</v>
      </c>
      <c r="B9" s="102"/>
      <c r="C9" s="80">
        <v>31</v>
      </c>
      <c r="D9" s="112"/>
    </row>
    <row r="10" spans="1:4" x14ac:dyDescent="0.25">
      <c r="A10" s="101" t="s">
        <v>176</v>
      </c>
      <c r="B10" s="102"/>
      <c r="C10" s="80">
        <v>40</v>
      </c>
      <c r="D10" s="112"/>
    </row>
    <row r="11" spans="1:4" x14ac:dyDescent="0.25">
      <c r="A11" s="101" t="s">
        <v>145</v>
      </c>
      <c r="B11" s="102"/>
      <c r="C11" s="80"/>
      <c r="D11" s="112" t="s">
        <v>147</v>
      </c>
    </row>
    <row r="12" spans="1:4" x14ac:dyDescent="0.25">
      <c r="A12" s="139" t="s">
        <v>146</v>
      </c>
      <c r="B12" s="140"/>
      <c r="C12" s="80"/>
      <c r="D12" s="112" t="s">
        <v>221</v>
      </c>
    </row>
    <row r="13" spans="1:4" x14ac:dyDescent="0.25">
      <c r="A13" s="139" t="s">
        <v>187</v>
      </c>
      <c r="B13" s="140"/>
      <c r="C13" s="80"/>
      <c r="D13" s="112"/>
    </row>
    <row r="14" spans="1:4" x14ac:dyDescent="0.25">
      <c r="A14" s="139" t="s">
        <v>236</v>
      </c>
      <c r="B14" s="140"/>
      <c r="C14" s="90">
        <v>10</v>
      </c>
      <c r="D14" s="79"/>
    </row>
    <row r="15" spans="1:4" x14ac:dyDescent="0.25">
      <c r="A15" s="141" t="s">
        <v>235</v>
      </c>
      <c r="B15" s="142"/>
      <c r="C15" s="113">
        <v>11</v>
      </c>
      <c r="D15" s="114"/>
    </row>
    <row r="16" spans="1:4" ht="15.75" thickBot="1" x14ac:dyDescent="0.3">
      <c r="A16" s="115" t="s">
        <v>273</v>
      </c>
      <c r="B16" s="110"/>
      <c r="C16" s="81">
        <v>15</v>
      </c>
      <c r="D16" s="78"/>
    </row>
    <row r="17" spans="1:9" ht="21" x14ac:dyDescent="0.35">
      <c r="A17" s="2"/>
    </row>
    <row r="18" spans="1:9" s="4" customFormat="1" ht="21" x14ac:dyDescent="0.35">
      <c r="A18" s="72"/>
      <c r="B18" s="72"/>
      <c r="C18" s="72"/>
      <c r="D18" s="72"/>
      <c r="F18"/>
    </row>
    <row r="19" spans="1:9" s="1" customFormat="1" ht="15.75" x14ac:dyDescent="0.25">
      <c r="A19" s="73"/>
      <c r="B19" s="42"/>
      <c r="C19" s="9"/>
      <c r="D19" s="43"/>
      <c r="F19"/>
    </row>
    <row r="20" spans="1:9" ht="15.75" x14ac:dyDescent="0.25">
      <c r="A20" s="6"/>
      <c r="B20" s="42"/>
      <c r="C20" s="9"/>
      <c r="D20" s="43"/>
    </row>
    <row r="21" spans="1:9" ht="15.75" x14ac:dyDescent="0.25">
      <c r="A21" s="6"/>
      <c r="B21" s="42"/>
      <c r="C21" s="9"/>
      <c r="D21" s="43"/>
      <c r="G21" s="42"/>
      <c r="H21" s="10"/>
      <c r="I21" s="43"/>
    </row>
    <row r="22" spans="1:9" ht="15.75" x14ac:dyDescent="0.25">
      <c r="A22" s="6"/>
      <c r="B22" s="42"/>
      <c r="C22" s="9"/>
      <c r="D22" s="43"/>
    </row>
    <row r="23" spans="1:9" ht="15.75" x14ac:dyDescent="0.25">
      <c r="A23" s="6"/>
      <c r="B23" s="42"/>
      <c r="C23" s="9"/>
      <c r="D23" s="43"/>
    </row>
    <row r="24" spans="1:9" ht="15.75" x14ac:dyDescent="0.25">
      <c r="A24" s="6"/>
      <c r="B24" s="42"/>
      <c r="C24" s="9"/>
      <c r="D24" s="43"/>
    </row>
    <row r="25" spans="1:9" ht="15.75" x14ac:dyDescent="0.25">
      <c r="A25" s="6"/>
      <c r="B25" s="42"/>
      <c r="C25" s="9"/>
      <c r="D25" s="43"/>
    </row>
    <row r="26" spans="1:9" ht="15.75" x14ac:dyDescent="0.25">
      <c r="A26" s="6"/>
      <c r="B26" s="42"/>
      <c r="C26" s="9"/>
      <c r="D26" s="43"/>
    </row>
    <row r="27" spans="1:9" ht="15.75" x14ac:dyDescent="0.25">
      <c r="A27" s="6"/>
      <c r="B27" s="42"/>
      <c r="C27" s="9"/>
      <c r="D27" s="43"/>
    </row>
    <row r="28" spans="1:9" ht="15.75" x14ac:dyDescent="0.25">
      <c r="A28" s="6"/>
      <c r="B28" s="42"/>
      <c r="C28" s="9"/>
      <c r="D28" s="43"/>
    </row>
    <row r="29" spans="1:9" ht="15.75" x14ac:dyDescent="0.25">
      <c r="A29" s="6"/>
      <c r="B29" s="42"/>
      <c r="C29" s="10"/>
      <c r="D29" s="43"/>
    </row>
    <row r="30" spans="1:9" ht="15.75" x14ac:dyDescent="0.25">
      <c r="A30" s="6"/>
      <c r="B30" s="42"/>
      <c r="C30" s="9"/>
      <c r="D30" s="43"/>
    </row>
    <row r="31" spans="1:9" ht="15.75" x14ac:dyDescent="0.25">
      <c r="A31" s="6"/>
      <c r="B31" s="42"/>
      <c r="C31" s="9"/>
      <c r="D31" s="43"/>
    </row>
    <row r="32" spans="1:9" ht="15.75" x14ac:dyDescent="0.25">
      <c r="A32" s="6"/>
      <c r="B32" s="42"/>
      <c r="C32" s="9"/>
      <c r="D32" s="43"/>
    </row>
    <row r="33" spans="1:4" ht="15.75" x14ac:dyDescent="0.25">
      <c r="A33" s="6"/>
      <c r="B33" s="42"/>
      <c r="C33" s="9"/>
      <c r="D33" s="43"/>
    </row>
    <row r="34" spans="1:4" ht="15.75" x14ac:dyDescent="0.25">
      <c r="A34" s="6"/>
      <c r="B34" s="42"/>
      <c r="C34" s="9"/>
      <c r="D34" s="43"/>
    </row>
    <row r="35" spans="1:4" ht="15.75" x14ac:dyDescent="0.25">
      <c r="A35" s="6"/>
      <c r="B35" s="42"/>
      <c r="C35" s="9"/>
      <c r="D35" s="43"/>
    </row>
    <row r="36" spans="1:4" s="1" customFormat="1" ht="15.75" x14ac:dyDescent="0.25">
      <c r="A36" s="74"/>
      <c r="B36" s="42"/>
      <c r="C36" s="9"/>
      <c r="D36" s="43"/>
    </row>
    <row r="37" spans="1:4" ht="15.75" x14ac:dyDescent="0.25">
      <c r="A37" s="6"/>
      <c r="B37" s="42"/>
      <c r="C37" s="9"/>
      <c r="D37" s="43"/>
    </row>
    <row r="38" spans="1:4" ht="15.75" x14ac:dyDescent="0.25">
      <c r="A38" s="6"/>
      <c r="B38" s="42"/>
      <c r="C38" s="10"/>
      <c r="D38" s="43"/>
    </row>
    <row r="39" spans="1:4" ht="15.75" x14ac:dyDescent="0.25">
      <c r="A39" s="6"/>
      <c r="B39" s="42"/>
      <c r="C39" s="10"/>
      <c r="D39" s="43"/>
    </row>
    <row r="40" spans="1:4" ht="15.75" x14ac:dyDescent="0.25">
      <c r="A40" s="6"/>
      <c r="B40" s="42"/>
      <c r="C40" s="9"/>
      <c r="D40" s="43"/>
    </row>
    <row r="41" spans="1:4" ht="15.75" x14ac:dyDescent="0.25">
      <c r="A41" s="6"/>
      <c r="B41" s="42"/>
      <c r="C41" s="9"/>
      <c r="D41" s="43"/>
    </row>
    <row r="42" spans="1:4" ht="15.75" x14ac:dyDescent="0.25">
      <c r="A42" s="6"/>
      <c r="B42" s="42"/>
      <c r="C42" s="9"/>
      <c r="D42" s="43"/>
    </row>
    <row r="43" spans="1:4" ht="15.75" x14ac:dyDescent="0.25">
      <c r="A43" s="6"/>
      <c r="B43" s="42"/>
      <c r="C43" s="10"/>
      <c r="D43" s="43"/>
    </row>
    <row r="44" spans="1:4" ht="15.75" x14ac:dyDescent="0.25">
      <c r="A44" s="6"/>
      <c r="B44" s="42"/>
      <c r="C44" s="9"/>
      <c r="D44" s="43"/>
    </row>
    <row r="45" spans="1:4" ht="15.75" x14ac:dyDescent="0.25">
      <c r="A45" s="6"/>
      <c r="B45" s="42"/>
      <c r="C45" s="9"/>
      <c r="D45" s="43"/>
    </row>
    <row r="46" spans="1:4" ht="15.75" x14ac:dyDescent="0.25">
      <c r="A46" s="6"/>
      <c r="B46" s="42"/>
      <c r="C46" s="10"/>
      <c r="D46" s="43"/>
    </row>
    <row r="47" spans="1:4" ht="15.75" x14ac:dyDescent="0.25">
      <c r="A47" s="6"/>
      <c r="B47" s="42"/>
      <c r="C47" s="10"/>
      <c r="D47" s="43"/>
    </row>
    <row r="48" spans="1:4" ht="15.75" x14ac:dyDescent="0.25">
      <c r="A48" s="6"/>
      <c r="B48" s="42"/>
      <c r="C48" s="9"/>
      <c r="D48" s="43"/>
    </row>
    <row r="49" spans="1:4" ht="15.75" x14ac:dyDescent="0.25">
      <c r="A49" s="6"/>
      <c r="B49" s="75"/>
      <c r="C49" s="10"/>
      <c r="D49" s="76"/>
    </row>
    <row r="50" spans="1:4" s="1" customFormat="1" ht="16.5" thickBot="1" x14ac:dyDescent="0.3">
      <c r="A50" s="69"/>
      <c r="B50" s="13"/>
      <c r="C50" s="70"/>
      <c r="D50" s="71"/>
    </row>
    <row r="66" spans="1:4" s="1" customFormat="1" ht="15.75" x14ac:dyDescent="0.25">
      <c r="A66" s="3"/>
      <c r="B66" s="8"/>
      <c r="C66" s="11"/>
      <c r="D66" s="8"/>
    </row>
  </sheetData>
  <mergeCells count="7">
    <mergeCell ref="A1:B1"/>
    <mergeCell ref="A3:B3"/>
    <mergeCell ref="A15:B15"/>
    <mergeCell ref="A14:B14"/>
    <mergeCell ref="A13:B13"/>
    <mergeCell ref="A12:B12"/>
    <mergeCell ref="A2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T51"/>
  <sheetViews>
    <sheetView tabSelected="1" zoomScaleNormal="100" workbookViewId="0">
      <selection activeCell="M22" sqref="M22"/>
    </sheetView>
  </sheetViews>
  <sheetFormatPr defaultRowHeight="15" x14ac:dyDescent="0.25"/>
  <cols>
    <col min="1" max="1" width="10.5703125" customWidth="1"/>
    <col min="2" max="2" width="8.28515625" customWidth="1"/>
    <col min="3" max="3" width="7.7109375" customWidth="1"/>
    <col min="5" max="5" width="8.140625" customWidth="1"/>
    <col min="6" max="6" width="7.85546875" customWidth="1"/>
    <col min="7" max="7" width="10.5703125" customWidth="1"/>
    <col min="8" max="12" width="9.5703125" customWidth="1"/>
    <col min="13" max="13" width="9.85546875" customWidth="1"/>
    <col min="14" max="14" width="10.42578125" customWidth="1"/>
    <col min="15" max="15" width="9.140625" customWidth="1"/>
    <col min="16" max="16" width="10.7109375" customWidth="1"/>
    <col min="17" max="17" width="7.85546875" customWidth="1"/>
    <col min="18" max="18" width="9.140625" customWidth="1"/>
  </cols>
  <sheetData>
    <row r="1" spans="1:20" x14ac:dyDescent="0.25">
      <c r="A1" s="15" t="s">
        <v>252</v>
      </c>
      <c r="B1" s="15"/>
      <c r="D1" s="16" t="s">
        <v>7</v>
      </c>
      <c r="E1" s="17">
        <f>Version!A1</f>
        <v>1.24</v>
      </c>
      <c r="F1" s="16" t="s">
        <v>8</v>
      </c>
      <c r="G1" s="18">
        <f>Version!B1</f>
        <v>42997</v>
      </c>
    </row>
    <row r="2" spans="1:20" x14ac:dyDescent="0.25">
      <c r="A2" s="15"/>
      <c r="F2" s="16"/>
      <c r="G2" s="15"/>
    </row>
    <row r="3" spans="1:20" x14ac:dyDescent="0.25">
      <c r="A3" s="15" t="s">
        <v>9</v>
      </c>
      <c r="B3" t="s">
        <v>27</v>
      </c>
      <c r="D3" s="48" t="s">
        <v>89</v>
      </c>
      <c r="E3">
        <f>(SUM(Q6:Q39)+SUM(Q44:Q56))/(E4*1000)*100</f>
        <v>44.0824</v>
      </c>
      <c r="F3" t="s">
        <v>91</v>
      </c>
    </row>
    <row r="4" spans="1:20" ht="15.75" thickBot="1" x14ac:dyDescent="0.3">
      <c r="A4" s="47" t="s">
        <v>92</v>
      </c>
      <c r="B4" t="s">
        <v>93</v>
      </c>
      <c r="D4" s="16" t="s">
        <v>10</v>
      </c>
      <c r="E4">
        <v>500</v>
      </c>
      <c r="F4" t="s">
        <v>90</v>
      </c>
      <c r="R4" s="58"/>
    </row>
    <row r="5" spans="1:20" ht="15.75" thickBot="1" x14ac:dyDescent="0.3">
      <c r="A5" s="39" t="s">
        <v>0</v>
      </c>
      <c r="B5" s="40" t="s">
        <v>50</v>
      </c>
      <c r="C5" s="40" t="s">
        <v>11</v>
      </c>
      <c r="D5" s="40" t="s">
        <v>12</v>
      </c>
      <c r="E5" s="40" t="s">
        <v>13</v>
      </c>
      <c r="F5" s="40" t="s">
        <v>14</v>
      </c>
      <c r="G5" s="40" t="s">
        <v>15</v>
      </c>
      <c r="H5" s="40" t="s">
        <v>16</v>
      </c>
      <c r="I5" s="40" t="s">
        <v>17</v>
      </c>
      <c r="J5" s="40" t="s">
        <v>18</v>
      </c>
      <c r="K5" s="40" t="s">
        <v>19</v>
      </c>
      <c r="L5" s="40" t="s">
        <v>20</v>
      </c>
      <c r="M5" s="40" t="s">
        <v>21</v>
      </c>
      <c r="N5" s="41" t="s">
        <v>22</v>
      </c>
      <c r="O5" s="46" t="s">
        <v>50</v>
      </c>
      <c r="P5" s="49" t="s">
        <v>95</v>
      </c>
      <c r="Q5" s="49" t="s">
        <v>94</v>
      </c>
    </row>
    <row r="6" spans="1:20" x14ac:dyDescent="0.25">
      <c r="A6" s="100" t="s">
        <v>2</v>
      </c>
      <c r="B6" s="36">
        <v>20</v>
      </c>
      <c r="C6" s="36">
        <v>7</v>
      </c>
      <c r="D6" s="36">
        <v>1</v>
      </c>
      <c r="E6" s="36" t="s">
        <v>33</v>
      </c>
      <c r="F6" s="36">
        <f>IF(E6="tx",C6+384+256*(D6-1),C6+512+256*(D6-1))</f>
        <v>391</v>
      </c>
      <c r="G6" s="151" t="s">
        <v>173</v>
      </c>
      <c r="H6" s="152"/>
      <c r="I6" s="151" t="s">
        <v>174</v>
      </c>
      <c r="J6" s="152"/>
      <c r="K6" s="36" t="s">
        <v>46</v>
      </c>
      <c r="L6" s="36" t="s">
        <v>38</v>
      </c>
      <c r="M6" s="36" t="s">
        <v>39</v>
      </c>
      <c r="N6" s="99" t="s">
        <v>48</v>
      </c>
      <c r="P6" s="50">
        <f t="shared" ref="P6:P16" si="0">IF(ISBLANK(N6),IF(ISBLANK(M6),IF(ISBLANK(L6),IF(ISBLANK(K6),IF(ISBLANK(J6),IF(ISBLANK(I6),IF(ISBLANK(H6),IF(ISBLANK(G6),0,1),2),3),4),5),6),7),8)</f>
        <v>8</v>
      </c>
      <c r="Q6" s="50">
        <f t="shared" ref="Q6:Q17" si="1">IFERROR(FLOOR(((1+11+1+1+1+4+(P6*8)+15+1+1+1+7+3)*1.2)*(1000/B6),1),"")</f>
        <v>6660</v>
      </c>
      <c r="T6" t="str">
        <f>DEC2HEX(F6)</f>
        <v>187</v>
      </c>
    </row>
    <row r="7" spans="1:20" x14ac:dyDescent="0.25">
      <c r="A7" s="129" t="s">
        <v>2</v>
      </c>
      <c r="B7" s="128">
        <v>20</v>
      </c>
      <c r="C7" s="128">
        <v>7</v>
      </c>
      <c r="D7" s="128">
        <v>2</v>
      </c>
      <c r="E7" s="128" t="s">
        <v>33</v>
      </c>
      <c r="F7" s="128">
        <f t="shared" ref="F7" si="2">IF(E7="tx",C7+384+256*(D7-1),C7+512+256*(D7-1))</f>
        <v>647</v>
      </c>
      <c r="G7" s="130" t="s">
        <v>196</v>
      </c>
      <c r="H7" s="131"/>
      <c r="I7" s="130" t="s">
        <v>197</v>
      </c>
      <c r="J7" s="131"/>
      <c r="K7" s="88" t="s">
        <v>198</v>
      </c>
      <c r="L7" s="20" t="s">
        <v>199</v>
      </c>
      <c r="M7" s="20" t="s">
        <v>36</v>
      </c>
      <c r="N7" s="20" t="s">
        <v>228</v>
      </c>
      <c r="P7" s="50">
        <f>IF(ISBLANK(N7),IF(ISBLANK(M7),IF(ISBLANK(L7),IF(ISBLANK(K7),IF(ISBLANK(J7),IF(ISBLANK(I7),IF(ISBLANK(H7),IF(ISBLANK(G7),0,1),2),3),4),5),6),7),8)</f>
        <v>8</v>
      </c>
      <c r="Q7" s="50">
        <f t="shared" ref="Q7" si="3">IFERROR(FLOOR(((1+11+1+1+1+4+(P7*8)+15+1+1+1+7+3)*1.2)*(1000/B7),1),"")</f>
        <v>6660</v>
      </c>
      <c r="T7" t="str">
        <f t="shared" ref="T7:T35" si="4">DEC2HEX(F7)</f>
        <v>287</v>
      </c>
    </row>
    <row r="8" spans="1:20" x14ac:dyDescent="0.25">
      <c r="A8" s="129" t="s">
        <v>2</v>
      </c>
      <c r="B8" s="128">
        <v>20</v>
      </c>
      <c r="C8" s="128">
        <v>7</v>
      </c>
      <c r="D8" s="128">
        <v>3</v>
      </c>
      <c r="E8" s="128" t="s">
        <v>33</v>
      </c>
      <c r="F8" s="128">
        <f t="shared" ref="F8:F9" si="5">IF(E8="tx",C8+384+256*(D8-1),C8+512+256*(D8-1))</f>
        <v>903</v>
      </c>
      <c r="G8" s="132" t="s">
        <v>350</v>
      </c>
      <c r="H8" s="132" t="s">
        <v>352</v>
      </c>
      <c r="I8" s="128"/>
      <c r="J8" s="128"/>
      <c r="K8" s="128"/>
      <c r="L8" s="128"/>
      <c r="M8" s="128"/>
      <c r="N8" s="128"/>
      <c r="P8" s="50">
        <f>IF(ISBLANK(N8),IF(ISBLANK(M8),IF(ISBLANK(L8),IF(ISBLANK(K8),IF(ISBLANK(J8),IF(ISBLANK(I8),IF(ISBLANK(H8),IF(ISBLANK(G8),0,1),2),3),4),5),6),7),8)</f>
        <v>2</v>
      </c>
      <c r="Q8" s="50">
        <f t="shared" ref="Q8" si="6">IFERROR(FLOOR(((1+11+1+1+1+4+(P8*8)+15+1+1+1+7+3)*1.2)*(1000/B8),1),"")</f>
        <v>3780</v>
      </c>
      <c r="T8" t="str">
        <f t="shared" ref="T8" si="7">DEC2HEX(F8)</f>
        <v>387</v>
      </c>
    </row>
    <row r="9" spans="1:20" x14ac:dyDescent="0.25">
      <c r="A9" s="129" t="s">
        <v>344</v>
      </c>
      <c r="B9" s="128">
        <v>20</v>
      </c>
      <c r="C9" s="128">
        <v>7</v>
      </c>
      <c r="D9" s="128">
        <v>1</v>
      </c>
      <c r="E9" s="128" t="s">
        <v>70</v>
      </c>
      <c r="F9" s="128">
        <f t="shared" si="5"/>
        <v>519</v>
      </c>
      <c r="G9" s="132" t="s">
        <v>351</v>
      </c>
      <c r="H9" s="132"/>
      <c r="I9" s="128"/>
      <c r="J9" s="128"/>
      <c r="K9" s="128"/>
      <c r="L9" s="128"/>
      <c r="M9" s="128"/>
      <c r="N9" s="128"/>
      <c r="P9" s="50">
        <f>IF(ISBLANK(N9),IF(ISBLANK(M9),IF(ISBLANK(L9),IF(ISBLANK(K9),IF(ISBLANK(J9),IF(ISBLANK(I9),IF(ISBLANK(H9),IF(ISBLANK(G9),0,1),2),3),4),5),6),7),8)</f>
        <v>1</v>
      </c>
      <c r="Q9" s="50">
        <f t="shared" ref="Q9" si="8">IFERROR(FLOOR(((1+11+1+1+1+4+(P9*8)+15+1+1+1+7+3)*1.2)*(1000/B9),1),"")</f>
        <v>3300</v>
      </c>
      <c r="T9" t="str">
        <f t="shared" ref="T9" si="9">DEC2HEX(F9)</f>
        <v>207</v>
      </c>
    </row>
    <row r="10" spans="1:20" x14ac:dyDescent="0.25">
      <c r="A10" s="28" t="s">
        <v>288</v>
      </c>
      <c r="B10" s="128">
        <v>20</v>
      </c>
      <c r="C10" s="128">
        <v>8</v>
      </c>
      <c r="D10" s="128">
        <v>2</v>
      </c>
      <c r="E10" s="128" t="s">
        <v>33</v>
      </c>
      <c r="F10" s="128">
        <f>IF(E10="tx",C10+384+256*(D10-1),C10+512+256*(D10-1))</f>
        <v>648</v>
      </c>
      <c r="G10" s="87" t="s">
        <v>41</v>
      </c>
      <c r="H10" s="87" t="s">
        <v>42</v>
      </c>
      <c r="I10" s="87"/>
      <c r="J10" s="87"/>
      <c r="K10" s="87"/>
      <c r="L10" s="87" t="s">
        <v>265</v>
      </c>
      <c r="M10" s="108" t="s">
        <v>271</v>
      </c>
      <c r="N10" s="87"/>
      <c r="P10" s="50">
        <f>IF(ISBLANK(N10),IF(ISBLANK(M10),IF(ISBLANK(L10),IF(ISBLANK(K10),IF(ISBLANK(J10),IF(ISBLANK(I10),IF(ISBLANK(H10),IF(ISBLANK(G10),0,1),2),3),4),5),6),7),8)</f>
        <v>7</v>
      </c>
      <c r="Q10" s="50">
        <f>IFERROR(FLOOR(((1+11+1+1+1+4+(P10*8)+15+1+1+1+7+3)*1.2)*(1000/B10),1),"")</f>
        <v>6180</v>
      </c>
      <c r="T10" t="str">
        <f t="shared" si="4"/>
        <v>288</v>
      </c>
    </row>
    <row r="11" spans="1:20" x14ac:dyDescent="0.25">
      <c r="A11" s="121" t="s">
        <v>288</v>
      </c>
      <c r="B11" s="36">
        <v>3</v>
      </c>
      <c r="C11" s="87">
        <v>8</v>
      </c>
      <c r="D11" s="87">
        <v>1</v>
      </c>
      <c r="E11" s="87" t="s">
        <v>33</v>
      </c>
      <c r="F11" s="87">
        <f t="shared" ref="F11:F15" si="10">IF(E11="tx",C11+384+256*(D11-1),C11+512+256*(D11-1))</f>
        <v>392</v>
      </c>
      <c r="G11" s="145" t="s">
        <v>175</v>
      </c>
      <c r="H11" s="146"/>
      <c r="I11" s="87" t="s">
        <v>218</v>
      </c>
      <c r="J11" s="87"/>
      <c r="K11" s="87"/>
      <c r="L11" s="87"/>
      <c r="M11" s="87"/>
      <c r="N11" s="87"/>
      <c r="P11" s="50">
        <f>IF(ISBLANK(N11),IF(ISBLANK(M11),IF(ISBLANK(L11),IF(ISBLANK(K11),IF(ISBLANK(J11),IF(ISBLANK(I11),IF(ISBLANK(H11),IF(ISBLANK(G11),0,1),2),3),4),5),6),7),8)</f>
        <v>3</v>
      </c>
      <c r="Q11" s="50">
        <f>IFERROR(FLOOR(((1+11+1+1+1+4+(P11*8)+15+1+1+1+7+3)*1.2)*(1000/B11),1),"")</f>
        <v>28400</v>
      </c>
      <c r="T11" t="str">
        <f t="shared" si="4"/>
        <v>188</v>
      </c>
    </row>
    <row r="12" spans="1:20" x14ac:dyDescent="0.25">
      <c r="A12" s="121" t="s">
        <v>288</v>
      </c>
      <c r="B12" s="36">
        <v>150</v>
      </c>
      <c r="C12" s="106">
        <v>8</v>
      </c>
      <c r="D12" s="106">
        <v>3</v>
      </c>
      <c r="E12" s="106" t="s">
        <v>33</v>
      </c>
      <c r="F12" s="106">
        <f t="shared" si="10"/>
        <v>904</v>
      </c>
      <c r="G12" s="106" t="s">
        <v>290</v>
      </c>
      <c r="H12" s="106" t="s">
        <v>291</v>
      </c>
      <c r="I12" s="106" t="s">
        <v>291</v>
      </c>
      <c r="J12" s="106" t="s">
        <v>291</v>
      </c>
      <c r="K12" s="106" t="s">
        <v>291</v>
      </c>
      <c r="L12" s="106" t="s">
        <v>291</v>
      </c>
      <c r="M12" s="106" t="s">
        <v>291</v>
      </c>
      <c r="N12" s="106" t="s">
        <v>291</v>
      </c>
      <c r="P12" s="50">
        <v>8</v>
      </c>
      <c r="Q12" s="50">
        <f t="shared" ref="Q12" si="11">IFERROR(FLOOR(((1+11+1+1+1+4+(P12*8)+15+1+1+1+7+3)*1.2)*(1000/B12),1),"")</f>
        <v>888</v>
      </c>
      <c r="T12" t="str">
        <f>DEC2HEX(F12)</f>
        <v>388</v>
      </c>
    </row>
    <row r="13" spans="1:20" x14ac:dyDescent="0.25">
      <c r="A13" s="121" t="s">
        <v>288</v>
      </c>
      <c r="B13" s="120">
        <v>20</v>
      </c>
      <c r="C13" s="120">
        <v>8</v>
      </c>
      <c r="D13" s="120">
        <v>4</v>
      </c>
      <c r="E13" s="120" t="s">
        <v>33</v>
      </c>
      <c r="F13" s="106">
        <f t="shared" si="10"/>
        <v>1160</v>
      </c>
      <c r="G13" s="145" t="s">
        <v>293</v>
      </c>
      <c r="H13" s="146"/>
      <c r="I13" s="145" t="s">
        <v>292</v>
      </c>
      <c r="J13" s="146"/>
      <c r="K13" s="145" t="s">
        <v>88</v>
      </c>
      <c r="L13" s="146"/>
      <c r="M13" s="125"/>
      <c r="N13" s="125"/>
      <c r="P13" s="50">
        <v>6</v>
      </c>
      <c r="Q13" s="50">
        <f t="shared" ref="Q13:Q15" si="12">IFERROR(FLOOR(((1+11+1+1+1+4+(P13*8)+15+1+1+1+7+3)*1.2)*(1000/B13),1),"")</f>
        <v>5700</v>
      </c>
      <c r="T13" t="str">
        <f t="shared" ref="T13:T15" si="13">DEC2HEX(F13)</f>
        <v>488</v>
      </c>
    </row>
    <row r="14" spans="1:20" x14ac:dyDescent="0.25">
      <c r="A14" s="126" t="s">
        <v>288</v>
      </c>
      <c r="B14" s="125">
        <v>20</v>
      </c>
      <c r="C14" s="125">
        <v>9</v>
      </c>
      <c r="D14" s="125">
        <v>1</v>
      </c>
      <c r="E14" s="125" t="s">
        <v>33</v>
      </c>
      <c r="F14" s="125">
        <f t="shared" ref="F14" si="14">IF(E14="tx",C14+384+256*(D14-1),C14+512+256*(D14-1))</f>
        <v>393</v>
      </c>
      <c r="G14" s="145" t="s">
        <v>345</v>
      </c>
      <c r="H14" s="146"/>
      <c r="I14" s="145" t="s">
        <v>346</v>
      </c>
      <c r="J14" s="146"/>
      <c r="K14" s="145" t="s">
        <v>347</v>
      </c>
      <c r="L14" s="146"/>
      <c r="M14" s="145" t="s">
        <v>345</v>
      </c>
      <c r="N14" s="146"/>
      <c r="P14" s="50">
        <v>8</v>
      </c>
      <c r="Q14" s="50">
        <f t="shared" ref="Q14" si="15">IFERROR(FLOOR(((1+11+1+1+1+4+(P14*8)+15+1+1+1+7+3)*1.2)*(1000/B14),1),"")</f>
        <v>6660</v>
      </c>
      <c r="T14" t="str">
        <f t="shared" ref="T14" si="16">DEC2HEX(F14)</f>
        <v>189</v>
      </c>
    </row>
    <row r="15" spans="1:20" x14ac:dyDescent="0.25">
      <c r="A15" s="89" t="s">
        <v>344</v>
      </c>
      <c r="B15" s="36">
        <v>20</v>
      </c>
      <c r="C15" s="36">
        <v>35</v>
      </c>
      <c r="D15" s="36">
        <v>1</v>
      </c>
      <c r="E15" s="36" t="s">
        <v>33</v>
      </c>
      <c r="F15" s="106">
        <f t="shared" si="10"/>
        <v>419</v>
      </c>
      <c r="G15" s="145" t="s">
        <v>293</v>
      </c>
      <c r="H15" s="146"/>
      <c r="I15" s="122" t="s">
        <v>294</v>
      </c>
      <c r="J15" s="107"/>
      <c r="K15" s="106"/>
      <c r="L15" s="106"/>
      <c r="M15" s="106"/>
      <c r="N15" s="106"/>
      <c r="P15" s="50">
        <v>2</v>
      </c>
      <c r="Q15" s="50">
        <f t="shared" si="12"/>
        <v>3780</v>
      </c>
      <c r="T15" t="str">
        <f t="shared" si="13"/>
        <v>1A3</v>
      </c>
    </row>
    <row r="16" spans="1:20" ht="14.25" customHeight="1" x14ac:dyDescent="0.25">
      <c r="A16" s="87" t="s">
        <v>28</v>
      </c>
      <c r="B16" s="36">
        <v>20</v>
      </c>
      <c r="C16" s="87">
        <f>IF(A44=A16,C44,IF(A45=A16,C45,IF(A47=A16,C47,IF(#REF!=A16,#REF!,IF(A48=A16,C48)))))</f>
        <v>5</v>
      </c>
      <c r="D16" s="87">
        <v>1</v>
      </c>
      <c r="E16" s="87" t="s">
        <v>33</v>
      </c>
      <c r="F16" s="87">
        <f t="shared" ref="F16:F17" si="17">IF(E16="tx",C16+384+256*(D16-1),C16+512+256*(D16-1))</f>
        <v>389</v>
      </c>
      <c r="G16" s="153" t="s">
        <v>173</v>
      </c>
      <c r="H16" s="154"/>
      <c r="I16" s="153" t="s">
        <v>174</v>
      </c>
      <c r="J16" s="154"/>
      <c r="K16" s="87" t="s">
        <v>36</v>
      </c>
      <c r="L16" s="87" t="s">
        <v>35</v>
      </c>
      <c r="M16" s="87" t="s">
        <v>47</v>
      </c>
      <c r="N16" s="87" t="s">
        <v>49</v>
      </c>
      <c r="P16" s="50">
        <f t="shared" si="0"/>
        <v>8</v>
      </c>
      <c r="Q16" s="50">
        <f t="shared" si="1"/>
        <v>6660</v>
      </c>
      <c r="T16" t="str">
        <f t="shared" si="4"/>
        <v>185</v>
      </c>
    </row>
    <row r="17" spans="1:20" x14ac:dyDescent="0.25">
      <c r="A17" s="87" t="s">
        <v>28</v>
      </c>
      <c r="B17" s="36">
        <v>20</v>
      </c>
      <c r="C17" s="87">
        <f>IF(A44=A17,C44,IF(A45=A17,C45,IF(A47=A17,C47,IF(#REF!=A17,#REF!,IF(A48=A17,C48)))))</f>
        <v>5</v>
      </c>
      <c r="D17" s="87">
        <v>2</v>
      </c>
      <c r="E17" s="87" t="s">
        <v>33</v>
      </c>
      <c r="F17" s="87">
        <f t="shared" si="17"/>
        <v>645</v>
      </c>
      <c r="G17" s="68" t="s">
        <v>192</v>
      </c>
      <c r="H17" s="87" t="s">
        <v>37</v>
      </c>
      <c r="I17" s="87" t="s">
        <v>171</v>
      </c>
      <c r="J17" s="87" t="s">
        <v>183</v>
      </c>
      <c r="K17" s="87" t="s">
        <v>184</v>
      </c>
      <c r="L17" s="87" t="s">
        <v>185</v>
      </c>
      <c r="M17" s="87" t="s">
        <v>10</v>
      </c>
      <c r="N17" s="87" t="s">
        <v>52</v>
      </c>
      <c r="P17" s="50">
        <f>IF(ISBLANK(N17),IF(ISBLANK(M17),IF(ISBLANK(L17),IF(ISBLANK(K17),IF(ISBLANK(J17),IF(ISBLANK(I17),IF(ISBLANK(H17),IF(ISBLANK(G17),0,1),2),3),4),5),6),7),8)</f>
        <v>8</v>
      </c>
      <c r="Q17" s="50">
        <f t="shared" si="1"/>
        <v>6660</v>
      </c>
      <c r="T17" t="str">
        <f t="shared" si="4"/>
        <v>285</v>
      </c>
    </row>
    <row r="18" spans="1:20" x14ac:dyDescent="0.25">
      <c r="A18" s="87" t="s">
        <v>28</v>
      </c>
      <c r="B18" s="36">
        <v>20</v>
      </c>
      <c r="C18" s="87">
        <v>5</v>
      </c>
      <c r="D18" s="87">
        <v>3</v>
      </c>
      <c r="E18" s="87" t="s">
        <v>33</v>
      </c>
      <c r="F18" s="87">
        <f t="shared" ref="F18" si="18">IF(E18="tx",C18+384+256*(D18-1),C18+512+256*(D18-1))</f>
        <v>901</v>
      </c>
      <c r="G18" s="145" t="s">
        <v>34</v>
      </c>
      <c r="H18" s="146"/>
      <c r="I18" s="87" t="s">
        <v>219</v>
      </c>
      <c r="J18" s="87" t="s">
        <v>188</v>
      </c>
      <c r="K18" s="87" t="s">
        <v>209</v>
      </c>
      <c r="L18" s="145" t="s">
        <v>226</v>
      </c>
      <c r="M18" s="146"/>
      <c r="N18" s="87" t="s">
        <v>262</v>
      </c>
      <c r="P18" s="50">
        <v>7</v>
      </c>
      <c r="Q18" s="50">
        <f t="shared" ref="Q18" si="19">IFERROR(FLOOR(((1+11+1+1+1+4+(P18*8)+15+1+1+1+7+3)*1.2)*(1000/B18),1),"")</f>
        <v>6180</v>
      </c>
      <c r="T18" t="str">
        <f t="shared" si="4"/>
        <v>385</v>
      </c>
    </row>
    <row r="19" spans="1:20" x14ac:dyDescent="0.25">
      <c r="A19" s="36" t="s">
        <v>28</v>
      </c>
      <c r="B19" s="36">
        <v>20</v>
      </c>
      <c r="C19" s="36">
        <v>5</v>
      </c>
      <c r="D19" s="36">
        <v>4</v>
      </c>
      <c r="E19" s="36" t="s">
        <v>33</v>
      </c>
      <c r="F19" s="36">
        <f>IF(A19="OBE Pump",IF(E19="rx",C19+384+256*(D19-1),C19+512+256*(D19-1)),IF(E19="tx",C19+384+256*(D19-1),C19+512+256*(D19-1)))</f>
        <v>1157</v>
      </c>
      <c r="G19" s="145" t="s">
        <v>230</v>
      </c>
      <c r="H19" s="146"/>
      <c r="I19" s="36" t="s">
        <v>232</v>
      </c>
      <c r="J19" s="36" t="s">
        <v>200</v>
      </c>
      <c r="K19" s="36" t="s">
        <v>201</v>
      </c>
      <c r="L19" s="36" t="s">
        <v>151</v>
      </c>
      <c r="M19" s="104" t="s">
        <v>353</v>
      </c>
      <c r="N19" s="104"/>
      <c r="P19" s="50">
        <v>6</v>
      </c>
      <c r="Q19" s="50">
        <f>IFERROR(FLOOR(((1+11+1+1+1+4+(P19*8)+15+1+1+1+7+3)*1.2)*(1000/B19),1),"")</f>
        <v>5700</v>
      </c>
      <c r="T19" t="str">
        <f t="shared" ref="T19" si="20">DEC2HEX(F19)</f>
        <v>485</v>
      </c>
    </row>
    <row r="20" spans="1:20" x14ac:dyDescent="0.25">
      <c r="A20" s="36" t="s">
        <v>28</v>
      </c>
      <c r="B20" s="36">
        <v>20</v>
      </c>
      <c r="C20" s="36">
        <v>6</v>
      </c>
      <c r="D20" s="36">
        <v>1</v>
      </c>
      <c r="E20" s="36" t="s">
        <v>33</v>
      </c>
      <c r="F20" s="36">
        <f>IF(A20="OBE Pump",IF(E20="rx",C20+384+256*(D20-1),C20+512+256*(D20-1)),IF(E20="tx",C20+384+256*(D20-1),C20+512+256*(D20-1)))</f>
        <v>390</v>
      </c>
      <c r="G20" s="145" t="s">
        <v>258</v>
      </c>
      <c r="H20" s="146"/>
      <c r="I20" s="145" t="s">
        <v>259</v>
      </c>
      <c r="J20" s="146"/>
      <c r="K20" s="36"/>
      <c r="L20" s="36"/>
      <c r="M20" s="104"/>
      <c r="N20" s="104"/>
      <c r="P20" s="50">
        <v>4</v>
      </c>
      <c r="Q20" s="50">
        <f>IFERROR(FLOOR(((1+11+1+1+1+4+(P20*8)+15+1+1+1+7+3)*1.2)*(1000/B20),1),"")</f>
        <v>4740</v>
      </c>
      <c r="T20" t="str">
        <f t="shared" si="4"/>
        <v>186</v>
      </c>
    </row>
    <row r="21" spans="1:20" x14ac:dyDescent="0.25">
      <c r="A21" s="87" t="s">
        <v>5</v>
      </c>
      <c r="B21" s="36">
        <v>64</v>
      </c>
      <c r="C21" s="87">
        <v>1</v>
      </c>
      <c r="D21" s="87">
        <v>1</v>
      </c>
      <c r="E21" s="87" t="s">
        <v>33</v>
      </c>
      <c r="F21" s="87">
        <f>IF(E21="tx",C21+384+256*(D21-1),C21+512+256*(D21-1))</f>
        <v>385</v>
      </c>
      <c r="G21" s="87" t="s">
        <v>43</v>
      </c>
      <c r="H21" s="87"/>
      <c r="I21" s="87"/>
      <c r="J21" s="87"/>
      <c r="K21" s="87"/>
      <c r="L21" s="87"/>
      <c r="M21" s="87"/>
      <c r="N21" s="87"/>
      <c r="P21" s="50">
        <f>IF(ISBLANK(N21),IF(ISBLANK(M21),IF(ISBLANK(L21),IF(ISBLANK(K21),IF(ISBLANK(J21),IF(ISBLANK(I21),IF(ISBLANK(H21),IF(ISBLANK(G21),0,1),2),3),4),5),6),7),8)</f>
        <v>1</v>
      </c>
      <c r="Q21" s="50">
        <f>IFERROR(FLOOR(((1+11+1+1+1+4+(P21*8)+15+1+1+1+7+3)*1.2)*(1000/B21),1),"")</f>
        <v>1031</v>
      </c>
      <c r="T21" t="str">
        <f t="shared" si="4"/>
        <v>181</v>
      </c>
    </row>
    <row r="22" spans="1:20" x14ac:dyDescent="0.25">
      <c r="A22" s="87" t="s">
        <v>177</v>
      </c>
      <c r="B22" s="36">
        <v>50</v>
      </c>
      <c r="C22" s="87">
        <v>40</v>
      </c>
      <c r="D22" s="87">
        <v>1</v>
      </c>
      <c r="E22" s="87" t="s">
        <v>33</v>
      </c>
      <c r="F22" s="87">
        <f>IF(E22="tx",C22+384+256*(D22-1),C22+512+256*(D22-1))</f>
        <v>424</v>
      </c>
      <c r="G22" s="87" t="s">
        <v>202</v>
      </c>
      <c r="H22" s="87" t="s">
        <v>178</v>
      </c>
      <c r="I22" s="87" t="s">
        <v>182</v>
      </c>
      <c r="J22" s="87" t="s">
        <v>179</v>
      </c>
      <c r="K22" s="87" t="s">
        <v>180</v>
      </c>
      <c r="L22" s="87" t="s">
        <v>181</v>
      </c>
      <c r="M22" s="87" t="s">
        <v>220</v>
      </c>
      <c r="N22" s="87"/>
      <c r="P22" s="50">
        <f>IF(ISBLANK(N22),IF(ISBLANK(M22),IF(ISBLANK(L22),IF(ISBLANK(K22),IF(ISBLANK(J22),IF(ISBLANK(I22),IF(ISBLANK(H22),IF(ISBLANK(G22),0,1),2),3),4),5),6),7),8)</f>
        <v>7</v>
      </c>
      <c r="Q22" s="50">
        <f>IFERROR(FLOOR(((1+11+1+1+1+4+(P22*8)+15+1+1+1+7+3)*1.2)*(1000/B22),1),"")</f>
        <v>2472</v>
      </c>
      <c r="T22" t="str">
        <f t="shared" si="4"/>
        <v>1A8</v>
      </c>
    </row>
    <row r="23" spans="1:20" x14ac:dyDescent="0.25">
      <c r="A23" s="87" t="s">
        <v>204</v>
      </c>
      <c r="B23" s="36">
        <v>7.8</v>
      </c>
      <c r="C23" s="87">
        <v>50</v>
      </c>
      <c r="D23" s="87">
        <v>1</v>
      </c>
      <c r="E23" s="87" t="s">
        <v>33</v>
      </c>
      <c r="F23" s="91">
        <f t="shared" ref="F23:F24" si="21">IF(E23="tx",C23+384+256*(D23-1),C23+512+256*(D23-1))</f>
        <v>434</v>
      </c>
      <c r="G23" s="145" t="s">
        <v>211</v>
      </c>
      <c r="H23" s="146"/>
      <c r="I23" s="145" t="s">
        <v>210</v>
      </c>
      <c r="J23" s="146"/>
      <c r="K23" s="145" t="s">
        <v>212</v>
      </c>
      <c r="L23" s="146"/>
      <c r="M23" s="145" t="s">
        <v>213</v>
      </c>
      <c r="N23" s="146"/>
      <c r="P23" s="50">
        <v>8</v>
      </c>
      <c r="Q23" s="50">
        <f t="shared" ref="Q23:Q24" si="22">IFERROR(FLOOR(((1+11+1+1+1+4+(P23*8)+15+1+1+1+7+3)*1.2)*(1000/B23),1),"")</f>
        <v>17076</v>
      </c>
      <c r="T23" t="str">
        <f t="shared" si="4"/>
        <v>1B2</v>
      </c>
    </row>
    <row r="24" spans="1:20" x14ac:dyDescent="0.25">
      <c r="A24" s="87" t="s">
        <v>204</v>
      </c>
      <c r="B24" s="36">
        <v>7.8</v>
      </c>
      <c r="C24" s="87">
        <v>50</v>
      </c>
      <c r="D24" s="87">
        <v>2</v>
      </c>
      <c r="E24" s="87" t="s">
        <v>33</v>
      </c>
      <c r="F24" s="91">
        <f t="shared" si="21"/>
        <v>690</v>
      </c>
      <c r="G24" s="145" t="s">
        <v>214</v>
      </c>
      <c r="H24" s="146"/>
      <c r="I24" s="145" t="s">
        <v>215</v>
      </c>
      <c r="J24" s="146"/>
      <c r="K24" s="145" t="s">
        <v>216</v>
      </c>
      <c r="L24" s="146"/>
      <c r="M24" s="145" t="s">
        <v>217</v>
      </c>
      <c r="N24" s="146"/>
      <c r="P24" s="50">
        <v>8</v>
      </c>
      <c r="Q24" s="50">
        <f t="shared" si="22"/>
        <v>17076</v>
      </c>
      <c r="T24" t="str">
        <f t="shared" si="4"/>
        <v>2B2</v>
      </c>
    </row>
    <row r="25" spans="1:20" x14ac:dyDescent="0.25">
      <c r="A25" s="87" t="s">
        <v>54</v>
      </c>
      <c r="B25" s="87">
        <v>20</v>
      </c>
      <c r="C25" s="87">
        <v>10</v>
      </c>
      <c r="D25" s="87">
        <v>1</v>
      </c>
      <c r="E25" s="87" t="s">
        <v>70</v>
      </c>
      <c r="F25" s="87">
        <f>IF(A25="OBE Pump",IF(E25="rx",C25+384+256*(D25-1),C25+512+256*(D25-1)),IF(E25="tx",C25+384+256*(D25-1),C25+512+256*(D25-1)))</f>
        <v>394</v>
      </c>
      <c r="G25" s="150" t="s">
        <v>58</v>
      </c>
      <c r="H25" s="150"/>
      <c r="I25" s="150" t="s">
        <v>61</v>
      </c>
      <c r="J25" s="150"/>
      <c r="K25" s="87"/>
      <c r="L25" s="87"/>
      <c r="M25" s="87"/>
      <c r="N25" s="87"/>
      <c r="P25" s="50">
        <v>4</v>
      </c>
      <c r="Q25" s="50">
        <f t="shared" ref="Q25:Q31" si="23">IFERROR(FLOOR(((1+11+1+1+1+4+(P25*8)+15+1+1+1+7+3)*1.2)*(1000/B25),1),"")</f>
        <v>4740</v>
      </c>
      <c r="R25" t="s">
        <v>84</v>
      </c>
      <c r="T25" t="str">
        <f t="shared" si="4"/>
        <v>18A</v>
      </c>
    </row>
    <row r="26" spans="1:20" x14ac:dyDescent="0.25">
      <c r="A26" s="87" t="s">
        <v>54</v>
      </c>
      <c r="B26" s="87">
        <v>20</v>
      </c>
      <c r="C26" s="87">
        <v>10</v>
      </c>
      <c r="D26" s="87">
        <v>2</v>
      </c>
      <c r="E26" s="87" t="s">
        <v>70</v>
      </c>
      <c r="F26" s="87">
        <f t="shared" ref="F26:F31" si="24">IF(A26="OBE Pump",IF(E26="rx",C26+384+256*(D26-1),C26+512+256*(D26-1)),IF(E26="tx",C26+384+256*(D26-1),C26+512+256*(D26-1)))</f>
        <v>650</v>
      </c>
      <c r="G26" s="150" t="s">
        <v>59</v>
      </c>
      <c r="H26" s="150"/>
      <c r="I26" s="87"/>
      <c r="J26" s="87"/>
      <c r="K26" s="87"/>
      <c r="L26" s="87"/>
      <c r="M26" s="87"/>
      <c r="N26" s="87"/>
      <c r="P26" s="50">
        <v>2</v>
      </c>
      <c r="Q26" s="50">
        <f t="shared" si="23"/>
        <v>3780</v>
      </c>
      <c r="R26" t="s">
        <v>84</v>
      </c>
      <c r="T26" t="str">
        <f t="shared" si="4"/>
        <v>28A</v>
      </c>
    </row>
    <row r="27" spans="1:20" x14ac:dyDescent="0.25">
      <c r="A27" s="87" t="s">
        <v>54</v>
      </c>
      <c r="B27" s="36">
        <v>90</v>
      </c>
      <c r="C27" s="87">
        <v>10</v>
      </c>
      <c r="D27" s="87">
        <v>3</v>
      </c>
      <c r="E27" s="87" t="s">
        <v>70</v>
      </c>
      <c r="F27" s="36">
        <f>IF(A27="OBE Pump",IF(E27="rx",C27+384+256*(D27-1),C27+512+256*(D27-1)),IF(E27="tx",C27+384+256*(D27-1),C27+512+256*(D27-1)))</f>
        <v>906</v>
      </c>
      <c r="G27" s="145" t="s">
        <v>60</v>
      </c>
      <c r="H27" s="146"/>
      <c r="I27" s="87"/>
      <c r="J27" s="87"/>
      <c r="K27" s="87"/>
      <c r="L27" s="87"/>
      <c r="M27" s="87"/>
      <c r="N27" s="87"/>
      <c r="P27" s="50">
        <v>2</v>
      </c>
      <c r="Q27" s="50">
        <f t="shared" si="23"/>
        <v>840</v>
      </c>
      <c r="R27" t="s">
        <v>84</v>
      </c>
      <c r="T27" t="str">
        <f t="shared" si="4"/>
        <v>38A</v>
      </c>
    </row>
    <row r="28" spans="1:20" x14ac:dyDescent="0.25">
      <c r="A28" s="87" t="s">
        <v>54</v>
      </c>
      <c r="B28" s="36">
        <v>0</v>
      </c>
      <c r="C28" s="87">
        <v>10</v>
      </c>
      <c r="D28" s="87">
        <v>1</v>
      </c>
      <c r="E28" s="87" t="s">
        <v>33</v>
      </c>
      <c r="F28" s="36">
        <f t="shared" si="24"/>
        <v>522</v>
      </c>
      <c r="G28" s="87" t="s">
        <v>62</v>
      </c>
      <c r="H28" s="87" t="s">
        <v>63</v>
      </c>
      <c r="I28" s="87" t="s">
        <v>64</v>
      </c>
      <c r="J28" s="87" t="s">
        <v>65</v>
      </c>
      <c r="K28" s="87" t="s">
        <v>66</v>
      </c>
      <c r="L28" s="87" t="s">
        <v>67</v>
      </c>
      <c r="M28" s="87" t="s">
        <v>68</v>
      </c>
      <c r="N28" s="87" t="s">
        <v>69</v>
      </c>
      <c r="P28" s="50">
        <f t="shared" ref="P28:P30" si="25">IF(ISBLANK(N28),IF(ISBLANK(M28),IF(ISBLANK(L28),IF(ISBLANK(K28),IF(ISBLANK(J28),IF(ISBLANK(I28),IF(ISBLANK(H28),IF(ISBLANK(G28),0,1),2),3),4),5),6),7),8)</f>
        <v>8</v>
      </c>
      <c r="Q28" s="50" t="str">
        <f t="shared" si="23"/>
        <v/>
      </c>
      <c r="T28" t="str">
        <f t="shared" si="4"/>
        <v>20A</v>
      </c>
    </row>
    <row r="29" spans="1:20" x14ac:dyDescent="0.25">
      <c r="A29" s="87" t="s">
        <v>54</v>
      </c>
      <c r="B29" s="36">
        <v>10</v>
      </c>
      <c r="C29" s="87">
        <v>10</v>
      </c>
      <c r="D29" s="87">
        <v>2</v>
      </c>
      <c r="E29" s="87" t="s">
        <v>33</v>
      </c>
      <c r="F29" s="36">
        <f t="shared" si="24"/>
        <v>778</v>
      </c>
      <c r="G29" s="145" t="s">
        <v>71</v>
      </c>
      <c r="H29" s="146"/>
      <c r="I29" s="145" t="s">
        <v>72</v>
      </c>
      <c r="J29" s="146"/>
      <c r="K29" s="145" t="s">
        <v>73</v>
      </c>
      <c r="L29" s="146"/>
      <c r="M29" s="145" t="s">
        <v>74</v>
      </c>
      <c r="N29" s="146"/>
      <c r="P29" s="50">
        <v>8</v>
      </c>
      <c r="Q29" s="50">
        <f t="shared" si="23"/>
        <v>13320</v>
      </c>
      <c r="T29" t="str">
        <f t="shared" si="4"/>
        <v>30A</v>
      </c>
    </row>
    <row r="30" spans="1:20" x14ac:dyDescent="0.25">
      <c r="A30" s="87" t="s">
        <v>54</v>
      </c>
      <c r="B30" s="36">
        <v>100</v>
      </c>
      <c r="C30" s="87">
        <v>10</v>
      </c>
      <c r="D30" s="87">
        <v>3</v>
      </c>
      <c r="E30" s="87" t="s">
        <v>33</v>
      </c>
      <c r="F30" s="36">
        <f t="shared" si="24"/>
        <v>1034</v>
      </c>
      <c r="G30" s="145" t="s">
        <v>75</v>
      </c>
      <c r="H30" s="146"/>
      <c r="I30" s="145" t="s">
        <v>76</v>
      </c>
      <c r="J30" s="146"/>
      <c r="K30" s="145" t="s">
        <v>77</v>
      </c>
      <c r="L30" s="146"/>
      <c r="M30" s="44" t="s">
        <v>79</v>
      </c>
      <c r="N30" s="44" t="s">
        <v>78</v>
      </c>
      <c r="P30" s="50">
        <f t="shared" si="25"/>
        <v>8</v>
      </c>
      <c r="Q30" s="50">
        <f>IFERROR(FLOOR(((1+11+1+1+1+4+(P30*8)+15+1+1+1+7+3)*1.2)*(1000/B30),1),"")</f>
        <v>1332</v>
      </c>
      <c r="T30" t="str">
        <f t="shared" si="4"/>
        <v>40A</v>
      </c>
    </row>
    <row r="31" spans="1:20" x14ac:dyDescent="0.25">
      <c r="A31" s="87" t="s">
        <v>54</v>
      </c>
      <c r="B31" s="36">
        <v>100</v>
      </c>
      <c r="C31" s="87">
        <v>10</v>
      </c>
      <c r="D31" s="87">
        <v>4</v>
      </c>
      <c r="E31" s="87" t="s">
        <v>33</v>
      </c>
      <c r="F31" s="36">
        <f t="shared" si="24"/>
        <v>1290</v>
      </c>
      <c r="G31" s="145" t="s">
        <v>80</v>
      </c>
      <c r="H31" s="146"/>
      <c r="I31" s="145" t="s">
        <v>81</v>
      </c>
      <c r="J31" s="146"/>
      <c r="K31" s="145" t="s">
        <v>82</v>
      </c>
      <c r="L31" s="146"/>
      <c r="M31" s="147" t="s">
        <v>83</v>
      </c>
      <c r="N31" s="148"/>
      <c r="P31" s="50">
        <v>8</v>
      </c>
      <c r="Q31" s="50">
        <f t="shared" si="23"/>
        <v>1332</v>
      </c>
      <c r="T31" t="str">
        <f t="shared" si="4"/>
        <v>50A</v>
      </c>
    </row>
    <row r="32" spans="1:20" x14ac:dyDescent="0.25">
      <c r="A32" s="87" t="s">
        <v>54</v>
      </c>
      <c r="B32" s="20">
        <v>100</v>
      </c>
      <c r="C32" s="87">
        <v>10</v>
      </c>
      <c r="D32" s="87">
        <v>5</v>
      </c>
      <c r="E32" s="87" t="s">
        <v>33</v>
      </c>
      <c r="F32" s="36">
        <f>IF(AND(A32="OBE Pump",D32=5),523,"Error")</f>
        <v>523</v>
      </c>
      <c r="G32" s="145" t="s">
        <v>58</v>
      </c>
      <c r="H32" s="146"/>
      <c r="I32" s="145" t="s">
        <v>59</v>
      </c>
      <c r="J32" s="146"/>
      <c r="K32" s="145" t="s">
        <v>60</v>
      </c>
      <c r="L32" s="146"/>
      <c r="M32" s="87"/>
      <c r="N32" s="87"/>
      <c r="P32" s="50">
        <v>6</v>
      </c>
      <c r="Q32" s="50">
        <f>IFERROR(FLOOR(((1+11+1+1+1+4+(P32*8)+15+1+1+1+7+3)*1.2)*(1000/B32),1),"")</f>
        <v>1140</v>
      </c>
      <c r="T32" t="str">
        <f t="shared" si="4"/>
        <v>20B</v>
      </c>
    </row>
    <row r="33" spans="1:20" x14ac:dyDescent="0.25">
      <c r="A33" s="87" t="s">
        <v>52</v>
      </c>
      <c r="B33" s="87">
        <v>50</v>
      </c>
      <c r="C33" s="87">
        <v>31</v>
      </c>
      <c r="D33" s="87">
        <v>1</v>
      </c>
      <c r="E33" s="87" t="s">
        <v>33</v>
      </c>
      <c r="F33" s="36">
        <f t="shared" ref="F33" si="26">IF(A33="OBE Pump",IF(E33="rx",C33+384+256*(D33-1),C33+512+256*(D33-1)),IF(E33="tx",C33+384+256*(D33-1),C33+512+256*(D33-1)))</f>
        <v>415</v>
      </c>
      <c r="G33" s="145" t="s">
        <v>85</v>
      </c>
      <c r="H33" s="146"/>
      <c r="I33" s="6"/>
      <c r="J33" s="6"/>
      <c r="K33" s="145" t="s">
        <v>86</v>
      </c>
      <c r="L33" s="149"/>
      <c r="M33" s="149"/>
      <c r="N33" s="146"/>
      <c r="P33" s="50">
        <v>8</v>
      </c>
      <c r="Q33" s="50">
        <f>IFERROR(FLOOR(((1+11+1+1+1+4+(P33*8)+15+1+1+1+7+3)*1.2)*(1000/B33),1),"")</f>
        <v>2664</v>
      </c>
      <c r="T33" t="str">
        <f t="shared" si="4"/>
        <v>19F</v>
      </c>
    </row>
    <row r="34" spans="1:20" x14ac:dyDescent="0.25">
      <c r="A34" s="20" t="s">
        <v>53</v>
      </c>
      <c r="B34" s="36">
        <v>20</v>
      </c>
      <c r="C34" s="87">
        <v>20</v>
      </c>
      <c r="D34" s="87">
        <v>1</v>
      </c>
      <c r="E34" s="87" t="s">
        <v>70</v>
      </c>
      <c r="F34" s="36">
        <f>IF(A34="OBE Pump",IF(E34="rx",C34+384+256*(D34-1),C34+512+256*(D34-1)),IF(E34="tx",C34+384+256*(D34-1),C34+512+256*(D34-1)))</f>
        <v>532</v>
      </c>
      <c r="G34" s="87" t="s">
        <v>87</v>
      </c>
      <c r="H34" s="87" t="s">
        <v>88</v>
      </c>
      <c r="I34" s="87" t="s">
        <v>98</v>
      </c>
      <c r="J34" s="28" t="s">
        <v>99</v>
      </c>
      <c r="K34" s="87"/>
      <c r="L34" s="87"/>
      <c r="M34" s="87"/>
      <c r="N34" s="87"/>
      <c r="P34" s="50">
        <f t="shared" ref="P34:P35" si="27">IF(ISBLANK(N34),IF(ISBLANK(M34),IF(ISBLANK(L34),IF(ISBLANK(K34),IF(ISBLANK(J34),IF(ISBLANK(I34),IF(ISBLANK(H34),IF(ISBLANK(G34),0,1),2),3),4),5),6),7),8)</f>
        <v>4</v>
      </c>
      <c r="Q34" s="50">
        <f>IFERROR(FLOOR(((1+11+1+1+1+4+(P34*8)+15+1+1+1+7+3)*1.2)*(1000/B34),1),"")</f>
        <v>4740</v>
      </c>
      <c r="R34" t="s">
        <v>84</v>
      </c>
      <c r="T34" t="str">
        <f t="shared" si="4"/>
        <v>214</v>
      </c>
    </row>
    <row r="35" spans="1:20" x14ac:dyDescent="0.25">
      <c r="A35" s="87" t="s">
        <v>159</v>
      </c>
      <c r="B35" s="20">
        <f>50</f>
        <v>50</v>
      </c>
      <c r="C35" s="20"/>
      <c r="D35" s="20"/>
      <c r="E35" s="20"/>
      <c r="F35" s="20">
        <v>128</v>
      </c>
      <c r="G35" s="20"/>
      <c r="H35" s="20"/>
      <c r="I35" s="20"/>
      <c r="J35" s="20"/>
      <c r="K35" s="20"/>
      <c r="L35" s="20"/>
      <c r="M35" s="20"/>
      <c r="N35" s="20"/>
      <c r="P35" s="50">
        <f t="shared" si="27"/>
        <v>0</v>
      </c>
      <c r="Q35" s="50">
        <f t="shared" ref="Q35" si="28">IFERROR(FLOOR(((1+11+1+1+1+4+(P35*8)+15+1+1+1+7+3)*1.2)*(1000/B35),1),"")</f>
        <v>1128</v>
      </c>
      <c r="T35" t="str">
        <f t="shared" si="4"/>
        <v>80</v>
      </c>
    </row>
    <row r="36" spans="1:20" x14ac:dyDescent="0.25">
      <c r="A36" s="30" t="s">
        <v>270</v>
      </c>
      <c r="B36" s="111">
        <v>10</v>
      </c>
      <c r="C36" s="111">
        <v>96</v>
      </c>
      <c r="D36" s="111">
        <v>1</v>
      </c>
      <c r="E36" s="111" t="s">
        <v>33</v>
      </c>
      <c r="F36" s="111">
        <f t="shared" ref="F36:F39" si="29">IF(E36="tx",C36+384+256*(D36-1),C36+512+256*(D36-1))</f>
        <v>480</v>
      </c>
      <c r="G36" s="150" t="s">
        <v>267</v>
      </c>
      <c r="H36" s="150"/>
      <c r="I36" s="150"/>
      <c r="J36" s="150"/>
      <c r="K36" s="155"/>
      <c r="L36" s="155"/>
      <c r="M36" s="156"/>
      <c r="N36" s="156"/>
      <c r="P36" s="50">
        <f>IF(ISBLANK(N36),IF(ISBLANK(M36),IF(ISBLANK(L36),IF(ISBLANK(K36),IF(ISBLANK(J36),IF(ISBLANK(I36),IF(ISBLANK(H36),IF(ISBLANK(G36),0,1),2),3),4),5),6),7),8)</f>
        <v>1</v>
      </c>
      <c r="Q36" s="50">
        <f>IFERROR(FLOOR(((1+11+1+1+1+4+(P36*8)+15+1+1+1+7+3)*1.2)*(1000/B36),1),"")</f>
        <v>6600</v>
      </c>
      <c r="T36" t="str">
        <f>DEC2HEX(F36)</f>
        <v>1E0</v>
      </c>
    </row>
    <row r="37" spans="1:20" ht="15.75" thickBot="1" x14ac:dyDescent="0.3">
      <c r="A37" s="31" t="s">
        <v>270</v>
      </c>
      <c r="B37" s="111">
        <v>10</v>
      </c>
      <c r="C37" s="111">
        <v>96</v>
      </c>
      <c r="D37" s="111">
        <v>2</v>
      </c>
      <c r="E37" s="111" t="s">
        <v>33</v>
      </c>
      <c r="F37" s="111">
        <f t="shared" si="29"/>
        <v>736</v>
      </c>
      <c r="G37" s="150" t="s">
        <v>268</v>
      </c>
      <c r="H37" s="150"/>
      <c r="I37" s="150" t="s">
        <v>269</v>
      </c>
      <c r="J37" s="150"/>
      <c r="K37" s="155"/>
      <c r="L37" s="155"/>
      <c r="M37" s="156"/>
      <c r="N37" s="156"/>
      <c r="P37" s="50">
        <f>IF(ISBLANK(N37),IF(ISBLANK(M37),IF(ISBLANK(L37),IF(ISBLANK(K37),IF(ISBLANK(J37),IF(ISBLANK(I37),IF(ISBLANK(H37),IF(ISBLANK(G37),0,1),2),3),4),5),6),7),8)</f>
        <v>3</v>
      </c>
      <c r="Q37" s="50">
        <f>IFERROR(FLOOR(((1+11+1+1+1+4+(P37*8)+15+1+1+1+7+3)*1.2)*(1000/B37),1),"")</f>
        <v>8520</v>
      </c>
      <c r="T37" t="str">
        <f>DEC2HEX(F37)</f>
        <v>2E0</v>
      </c>
    </row>
    <row r="38" spans="1:20" x14ac:dyDescent="0.25">
      <c r="A38" s="118" t="s">
        <v>286</v>
      </c>
      <c r="B38" s="116">
        <v>10</v>
      </c>
      <c r="C38" s="116">
        <v>6</v>
      </c>
      <c r="D38" s="116">
        <v>3</v>
      </c>
      <c r="E38" s="116" t="s">
        <v>33</v>
      </c>
      <c r="F38" s="117">
        <f t="shared" si="29"/>
        <v>902</v>
      </c>
      <c r="G38" s="150" t="s">
        <v>287</v>
      </c>
      <c r="H38" s="150"/>
      <c r="I38" s="150" t="s">
        <v>287</v>
      </c>
      <c r="J38" s="150"/>
      <c r="K38" s="150" t="s">
        <v>287</v>
      </c>
      <c r="L38" s="150"/>
      <c r="M38" s="150" t="s">
        <v>287</v>
      </c>
      <c r="N38" s="150"/>
      <c r="P38">
        <v>8</v>
      </c>
      <c r="Q38" s="50">
        <f>IFERROR(FLOOR(((1+11+1+1+1+4+(P38*8)+15+1+1+1+7+3)*1.2)*(1000/B38),1),"")</f>
        <v>13320</v>
      </c>
      <c r="T38" t="str">
        <f>DEC2HEX(F38)</f>
        <v>386</v>
      </c>
    </row>
    <row r="39" spans="1:20" x14ac:dyDescent="0.25">
      <c r="A39" s="118" t="s">
        <v>286</v>
      </c>
      <c r="B39" s="116">
        <v>10</v>
      </c>
      <c r="C39" s="116">
        <v>6</v>
      </c>
      <c r="D39" s="116">
        <v>4</v>
      </c>
      <c r="E39" s="116" t="s">
        <v>33</v>
      </c>
      <c r="F39" s="119">
        <f t="shared" si="29"/>
        <v>1158</v>
      </c>
      <c r="G39" s="150" t="s">
        <v>287</v>
      </c>
      <c r="H39" s="150"/>
      <c r="I39" s="150" t="s">
        <v>287</v>
      </c>
      <c r="J39" s="150"/>
      <c r="K39" s="150" t="s">
        <v>287</v>
      </c>
      <c r="L39" s="150"/>
      <c r="M39" s="150" t="s">
        <v>287</v>
      </c>
      <c r="N39" s="150"/>
      <c r="P39">
        <v>8</v>
      </c>
      <c r="Q39" s="50">
        <f>IFERROR(FLOOR(((1+11+1+1+1+4+(P39*8)+15+1+1+1+7+3)*1.2)*(1000/B39),1),"")</f>
        <v>13320</v>
      </c>
      <c r="T39" t="str">
        <f>DEC2HEX(F39)</f>
        <v>486</v>
      </c>
    </row>
    <row r="40" spans="1:20" x14ac:dyDescent="0.25">
      <c r="B40" s="10"/>
      <c r="C40" s="10"/>
      <c r="D40" s="10"/>
      <c r="E40" s="10"/>
      <c r="F40" s="9"/>
    </row>
    <row r="41" spans="1:20" ht="15.75" thickBot="1" x14ac:dyDescent="0.3"/>
    <row r="42" spans="1:20" ht="15.75" thickBot="1" x14ac:dyDescent="0.3">
      <c r="A42" s="21" t="s">
        <v>4</v>
      </c>
      <c r="F42" s="9"/>
    </row>
    <row r="43" spans="1:20" ht="15.75" thickBot="1" x14ac:dyDescent="0.3">
      <c r="A43" s="39" t="s">
        <v>0</v>
      </c>
      <c r="B43" s="40" t="s">
        <v>40</v>
      </c>
      <c r="C43" s="40" t="s">
        <v>11</v>
      </c>
      <c r="D43" s="40" t="s">
        <v>24</v>
      </c>
      <c r="E43" s="40" t="s">
        <v>25</v>
      </c>
      <c r="F43" s="41" t="s">
        <v>186</v>
      </c>
    </row>
    <row r="44" spans="1:20" x14ac:dyDescent="0.25">
      <c r="A44" s="35" t="s">
        <v>28</v>
      </c>
      <c r="B44" s="36" t="s">
        <v>23</v>
      </c>
      <c r="C44" s="36">
        <f>Devices!C2</f>
        <v>5</v>
      </c>
      <c r="D44" s="36">
        <f t="shared" ref="D44:D50" si="30">1792+C44</f>
        <v>1797</v>
      </c>
      <c r="E44" s="37" t="s">
        <v>205</v>
      </c>
      <c r="F44" s="38"/>
      <c r="O44">
        <f t="shared" ref="O44:O51" si="31">IFERROR(REPLACE(E44,SEARCH(" ",E44),10,"")*IF(ISERROR(SEARCH("ms",E44)),IF(ISERROR(SEARCH("None",E44)),IF(ISERROR(SEARCH("s",E44)),0,1000),0),1),0)</f>
        <v>90</v>
      </c>
      <c r="P44" s="22"/>
      <c r="Q44" s="50">
        <f t="shared" ref="Q44" si="32">IFERROR(FLOOR(((1+11+1+1+1+4+(1*8)+15+1+1+1+7+3)*1.2)*(1000/(O44)),1),"")</f>
        <v>733</v>
      </c>
    </row>
    <row r="45" spans="1:20" x14ac:dyDescent="0.25">
      <c r="A45" s="27" t="s">
        <v>2</v>
      </c>
      <c r="B45" s="19" t="s">
        <v>26</v>
      </c>
      <c r="C45" s="19">
        <v>7</v>
      </c>
      <c r="D45" s="19">
        <f t="shared" si="30"/>
        <v>1799</v>
      </c>
      <c r="E45" s="28" t="s">
        <v>44</v>
      </c>
      <c r="F45" s="29"/>
      <c r="O45">
        <f t="shared" si="31"/>
        <v>100</v>
      </c>
      <c r="P45" s="22"/>
      <c r="Q45" s="50">
        <f t="shared" ref="Q45:Q51" si="33">IFERROR(FLOOR(((1+11+1+1+1+4+(1*8)+15+1+1+1+7+3)*1.2)*(1000/(O45)),1),"")</f>
        <v>660</v>
      </c>
    </row>
    <row r="46" spans="1:20" x14ac:dyDescent="0.25">
      <c r="A46" s="105" t="s">
        <v>256</v>
      </c>
      <c r="B46" s="20" t="s">
        <v>26</v>
      </c>
      <c r="C46" s="20">
        <v>8</v>
      </c>
      <c r="D46" s="103">
        <f t="shared" si="30"/>
        <v>1800</v>
      </c>
      <c r="E46" s="28" t="s">
        <v>44</v>
      </c>
      <c r="F46" s="57"/>
      <c r="O46">
        <f t="shared" si="31"/>
        <v>100</v>
      </c>
      <c r="P46" s="22"/>
      <c r="Q46" s="50">
        <f t="shared" si="33"/>
        <v>660</v>
      </c>
    </row>
    <row r="47" spans="1:20" x14ac:dyDescent="0.25">
      <c r="A47" s="55" t="s">
        <v>5</v>
      </c>
      <c r="B47" s="20" t="s">
        <v>26</v>
      </c>
      <c r="C47" s="20">
        <f>Devices!C6</f>
        <v>10</v>
      </c>
      <c r="D47" s="20">
        <f t="shared" ref="D47:D49" si="34">1792+C47</f>
        <v>1802</v>
      </c>
      <c r="E47" s="56" t="s">
        <v>44</v>
      </c>
      <c r="F47" s="57"/>
      <c r="O47">
        <f t="shared" si="31"/>
        <v>100</v>
      </c>
      <c r="P47" s="22"/>
      <c r="Q47" s="50">
        <f t="shared" si="33"/>
        <v>660</v>
      </c>
    </row>
    <row r="48" spans="1:20" x14ac:dyDescent="0.25">
      <c r="A48" s="55" t="s">
        <v>52</v>
      </c>
      <c r="B48" s="20" t="s">
        <v>26</v>
      </c>
      <c r="C48" s="20">
        <v>31</v>
      </c>
      <c r="D48" s="36">
        <f t="shared" si="34"/>
        <v>1823</v>
      </c>
      <c r="E48" s="56" t="s">
        <v>44</v>
      </c>
      <c r="F48" s="57"/>
      <c r="O48">
        <f t="shared" si="31"/>
        <v>100</v>
      </c>
      <c r="P48" s="22"/>
      <c r="Q48" s="50">
        <f t="shared" si="33"/>
        <v>660</v>
      </c>
    </row>
    <row r="49" spans="1:17" x14ac:dyDescent="0.25">
      <c r="A49" s="55" t="s">
        <v>53</v>
      </c>
      <c r="B49" s="20" t="s">
        <v>26</v>
      </c>
      <c r="C49" s="20">
        <v>20</v>
      </c>
      <c r="D49" s="85">
        <f t="shared" si="34"/>
        <v>1812</v>
      </c>
      <c r="E49" s="56" t="s">
        <v>44</v>
      </c>
      <c r="F49" s="57"/>
      <c r="O49">
        <f t="shared" si="31"/>
        <v>100</v>
      </c>
      <c r="P49" s="22"/>
      <c r="Q49" s="50">
        <f t="shared" si="33"/>
        <v>660</v>
      </c>
    </row>
    <row r="50" spans="1:17" x14ac:dyDescent="0.25">
      <c r="A50" s="55" t="s">
        <v>204</v>
      </c>
      <c r="B50" s="20" t="s">
        <v>26</v>
      </c>
      <c r="C50" s="20">
        <v>45</v>
      </c>
      <c r="D50" s="85">
        <f t="shared" si="30"/>
        <v>1837</v>
      </c>
      <c r="E50" s="56" t="s">
        <v>45</v>
      </c>
      <c r="F50" s="57"/>
      <c r="O50">
        <f t="shared" si="31"/>
        <v>0</v>
      </c>
      <c r="P50" s="22"/>
      <c r="Q50" s="50" t="str">
        <f t="shared" si="33"/>
        <v/>
      </c>
    </row>
    <row r="51" spans="1:17" ht="15.75" thickBot="1" x14ac:dyDescent="0.3">
      <c r="A51" s="31" t="s">
        <v>177</v>
      </c>
      <c r="B51" s="32" t="s">
        <v>26</v>
      </c>
      <c r="C51" s="32">
        <f>Devices!C12</f>
        <v>0</v>
      </c>
      <c r="D51" s="32">
        <f t="shared" ref="D51" si="35">1792+C51</f>
        <v>1792</v>
      </c>
      <c r="E51" s="33" t="s">
        <v>45</v>
      </c>
      <c r="F51" s="34"/>
      <c r="O51">
        <f t="shared" si="31"/>
        <v>0</v>
      </c>
      <c r="P51" s="22"/>
      <c r="Q51" s="50" t="str">
        <f t="shared" si="33"/>
        <v/>
      </c>
    </row>
  </sheetData>
  <mergeCells count="62">
    <mergeCell ref="G38:H38"/>
    <mergeCell ref="I38:J38"/>
    <mergeCell ref="K38:L38"/>
    <mergeCell ref="M38:N38"/>
    <mergeCell ref="G39:H39"/>
    <mergeCell ref="I39:J39"/>
    <mergeCell ref="K39:L39"/>
    <mergeCell ref="M39:N39"/>
    <mergeCell ref="G36:H36"/>
    <mergeCell ref="I36:J36"/>
    <mergeCell ref="K36:L36"/>
    <mergeCell ref="M36:N36"/>
    <mergeCell ref="G37:H37"/>
    <mergeCell ref="I37:J37"/>
    <mergeCell ref="K37:L37"/>
    <mergeCell ref="M37:N37"/>
    <mergeCell ref="I30:J30"/>
    <mergeCell ref="K30:L30"/>
    <mergeCell ref="K23:L23"/>
    <mergeCell ref="I25:J25"/>
    <mergeCell ref="G26:H26"/>
    <mergeCell ref="G27:H27"/>
    <mergeCell ref="G23:H23"/>
    <mergeCell ref="I23:J23"/>
    <mergeCell ref="G30:H30"/>
    <mergeCell ref="G29:H29"/>
    <mergeCell ref="I29:J29"/>
    <mergeCell ref="K29:L29"/>
    <mergeCell ref="G19:H19"/>
    <mergeCell ref="G14:H14"/>
    <mergeCell ref="G6:H6"/>
    <mergeCell ref="I6:J6"/>
    <mergeCell ref="G16:H16"/>
    <mergeCell ref="I16:J16"/>
    <mergeCell ref="G11:H11"/>
    <mergeCell ref="G15:H15"/>
    <mergeCell ref="I13:J13"/>
    <mergeCell ref="I14:J14"/>
    <mergeCell ref="M29:N29"/>
    <mergeCell ref="G20:H20"/>
    <mergeCell ref="G25:H25"/>
    <mergeCell ref="I20:J20"/>
    <mergeCell ref="M23:N23"/>
    <mergeCell ref="G24:H24"/>
    <mergeCell ref="I24:J24"/>
    <mergeCell ref="K24:L24"/>
    <mergeCell ref="M24:N24"/>
    <mergeCell ref="G33:H33"/>
    <mergeCell ref="G31:H31"/>
    <mergeCell ref="I31:J31"/>
    <mergeCell ref="K31:L31"/>
    <mergeCell ref="M31:N31"/>
    <mergeCell ref="G32:H32"/>
    <mergeCell ref="I32:J32"/>
    <mergeCell ref="K32:L32"/>
    <mergeCell ref="K33:N33"/>
    <mergeCell ref="K14:L14"/>
    <mergeCell ref="M14:N14"/>
    <mergeCell ref="K13:L13"/>
    <mergeCell ref="G13:H13"/>
    <mergeCell ref="L18:M18"/>
    <mergeCell ref="G18:H18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3"/>
  <sheetViews>
    <sheetView zoomScaleNormal="100" workbookViewId="0"/>
  </sheetViews>
  <sheetFormatPr defaultRowHeight="15" x14ac:dyDescent="0.25"/>
  <cols>
    <col min="1" max="1" width="8.42578125" customWidth="1"/>
    <col min="2" max="2" width="7.42578125" customWidth="1"/>
    <col min="3" max="3" width="9.140625" customWidth="1"/>
    <col min="4" max="4" width="5.140625" customWidth="1"/>
    <col min="5" max="5" width="7.140625" customWidth="1"/>
    <col min="6" max="6" width="6.140625" customWidth="1"/>
    <col min="7" max="7" width="11.85546875" customWidth="1"/>
    <col min="8" max="10" width="9.28515625" customWidth="1"/>
    <col min="11" max="11" width="9.5703125" customWidth="1"/>
    <col min="12" max="14" width="9.28515625" customWidth="1"/>
    <col min="15" max="15" width="9.42578125" customWidth="1"/>
    <col min="16" max="16" width="9" hidden="1" customWidth="1"/>
    <col min="17" max="17" width="8.140625" hidden="1" customWidth="1"/>
  </cols>
  <sheetData>
    <row r="1" spans="1:19" x14ac:dyDescent="0.25">
      <c r="A1" s="15" t="s">
        <v>252</v>
      </c>
      <c r="B1" s="15"/>
      <c r="E1" s="16" t="s">
        <v>7</v>
      </c>
      <c r="F1" s="17">
        <f>Version!A1</f>
        <v>1.24</v>
      </c>
      <c r="G1" s="16" t="s">
        <v>8</v>
      </c>
      <c r="H1" s="18">
        <f>Version!B1</f>
        <v>42997</v>
      </c>
    </row>
    <row r="2" spans="1:19" x14ac:dyDescent="0.25">
      <c r="A2" s="15"/>
      <c r="G2" s="16"/>
      <c r="H2" s="15"/>
    </row>
    <row r="3" spans="1:19" x14ac:dyDescent="0.25">
      <c r="A3" s="15" t="s">
        <v>9</v>
      </c>
      <c r="B3" t="s">
        <v>51</v>
      </c>
      <c r="E3" s="48" t="s">
        <v>89</v>
      </c>
      <c r="F3">
        <f>(SUM(Q6:Q23)/(F4*1000)*100)</f>
        <v>13.2044</v>
      </c>
      <c r="G3" t="s">
        <v>91</v>
      </c>
    </row>
    <row r="4" spans="1:19" ht="15.75" thickBot="1" x14ac:dyDescent="0.3">
      <c r="A4" s="47" t="s">
        <v>92</v>
      </c>
      <c r="B4" t="s">
        <v>100</v>
      </c>
      <c r="E4" s="16" t="s">
        <v>10</v>
      </c>
      <c r="F4">
        <v>250</v>
      </c>
      <c r="G4" t="s">
        <v>90</v>
      </c>
    </row>
    <row r="5" spans="1:19" ht="15.75" thickBot="1" x14ac:dyDescent="0.3">
      <c r="A5" s="39" t="s">
        <v>0</v>
      </c>
      <c r="B5" s="40" t="s">
        <v>50</v>
      </c>
      <c r="C5" s="40" t="s">
        <v>101</v>
      </c>
      <c r="D5" s="40" t="s">
        <v>108</v>
      </c>
      <c r="E5" s="62" t="s">
        <v>109</v>
      </c>
      <c r="F5" s="40" t="s">
        <v>104</v>
      </c>
      <c r="G5" s="40" t="s">
        <v>105</v>
      </c>
      <c r="H5" s="40" t="s">
        <v>15</v>
      </c>
      <c r="I5" s="40" t="s">
        <v>16</v>
      </c>
      <c r="J5" s="40" t="s">
        <v>17</v>
      </c>
      <c r="K5" s="40" t="s">
        <v>18</v>
      </c>
      <c r="L5" s="40" t="s">
        <v>19</v>
      </c>
      <c r="M5" s="40" t="s">
        <v>20</v>
      </c>
      <c r="N5" s="40" t="s">
        <v>21</v>
      </c>
      <c r="O5" s="41" t="s">
        <v>22</v>
      </c>
      <c r="P5" s="60" t="s">
        <v>95</v>
      </c>
      <c r="Q5" s="60" t="s">
        <v>94</v>
      </c>
      <c r="R5" s="58"/>
    </row>
    <row r="6" spans="1:19" x14ac:dyDescent="0.25">
      <c r="A6" s="63" t="s">
        <v>119</v>
      </c>
      <c r="B6" s="36">
        <v>40</v>
      </c>
      <c r="C6" s="36" t="s">
        <v>102</v>
      </c>
      <c r="D6" s="36">
        <f t="shared" ref="D6:D21" si="0">IFERROR(IF(ISBLANK(G6),"",HEX2DEC(RIGHT(LEFT(G6,4),2))/4),"")</f>
        <v>2</v>
      </c>
      <c r="E6" s="19">
        <f t="shared" ref="E6:E7" si="1">IFERROR(IF(ISBLANK(G6),"",HEX2DEC(RIGHT(LEFT(G6,8),4))),"")</f>
        <v>64982</v>
      </c>
      <c r="F6" s="36" t="str">
        <f>REPLACE(G6,3,6,"")</f>
        <v>0xFC</v>
      </c>
      <c r="G6" s="36" t="s">
        <v>222</v>
      </c>
      <c r="H6" s="151" t="s">
        <v>149</v>
      </c>
      <c r="I6" s="152"/>
      <c r="J6" s="151" t="s">
        <v>150</v>
      </c>
      <c r="K6" s="152"/>
      <c r="L6" s="68" t="s">
        <v>156</v>
      </c>
      <c r="M6" s="36" t="s">
        <v>151</v>
      </c>
      <c r="N6" s="19" t="s">
        <v>157</v>
      </c>
      <c r="O6" s="67" t="s">
        <v>136</v>
      </c>
      <c r="P6" s="61">
        <f t="shared" ref="P6:P21" si="2">IF(ISBLANK(A6),0,8)</f>
        <v>8</v>
      </c>
      <c r="Q6" s="61">
        <f>IFERROR(FLOOR(((1+11+1+1+18+1+2+4+(P6*8)+15+1+1+1+7+3)*1.2)*(1000/B6),1),"")</f>
        <v>3930</v>
      </c>
      <c r="S6" s="9"/>
    </row>
    <row r="7" spans="1:19" x14ac:dyDescent="0.25">
      <c r="A7" s="30" t="s">
        <v>119</v>
      </c>
      <c r="B7" s="19">
        <v>0</v>
      </c>
      <c r="C7" s="19" t="s">
        <v>103</v>
      </c>
      <c r="D7" s="19">
        <f t="shared" si="0"/>
        <v>3</v>
      </c>
      <c r="E7" s="19">
        <f t="shared" si="1"/>
        <v>49152</v>
      </c>
      <c r="F7" s="19" t="str">
        <f>REPLACE(G7,3,6,"")</f>
        <v>0xFC</v>
      </c>
      <c r="G7" s="87" t="s">
        <v>223</v>
      </c>
      <c r="H7" s="66" t="s">
        <v>136</v>
      </c>
      <c r="I7" s="66" t="s">
        <v>136</v>
      </c>
      <c r="J7" s="66" t="s">
        <v>136</v>
      </c>
      <c r="K7" s="66" t="s">
        <v>136</v>
      </c>
      <c r="L7" s="66" t="s">
        <v>136</v>
      </c>
      <c r="M7" s="66" t="s">
        <v>136</v>
      </c>
      <c r="N7" s="68" t="s">
        <v>155</v>
      </c>
      <c r="O7" s="67" t="s">
        <v>136</v>
      </c>
      <c r="P7" s="61">
        <f t="shared" si="2"/>
        <v>8</v>
      </c>
      <c r="Q7" s="61" t="str">
        <f t="shared" ref="Q7:Q21" si="3">IFERROR(FLOOR(((1+11+1+1+18+1+2+4+(P7*8)+15+1+1+1+7+3)*1.2)*(1000/B7),1),"")</f>
        <v/>
      </c>
    </row>
    <row r="8" spans="1:19" x14ac:dyDescent="0.25">
      <c r="A8" s="30" t="s">
        <v>119</v>
      </c>
      <c r="B8" s="19">
        <v>0</v>
      </c>
      <c r="C8" s="19" t="s">
        <v>148</v>
      </c>
      <c r="D8" s="19">
        <f t="shared" ref="D8" si="4">IFERROR(IF(ISBLANK(G8),"",HEX2DEC(RIGHT(LEFT(G8,4),2))/4),"")</f>
        <v>3</v>
      </c>
      <c r="E8" s="19">
        <f t="shared" ref="E8" si="5">IFERROR(IF(ISBLANK(G8),"",HEX2DEC(RIGHT(LEFT(G8,8),4))),"")</f>
        <v>65522</v>
      </c>
      <c r="F8" s="19" t="str">
        <f>REPLACE(G8,3,6,"")</f>
        <v>0xFC</v>
      </c>
      <c r="G8" s="87" t="s">
        <v>224</v>
      </c>
      <c r="H8" s="66" t="s">
        <v>136</v>
      </c>
      <c r="I8" s="66" t="s">
        <v>136</v>
      </c>
      <c r="J8" s="66" t="s">
        <v>136</v>
      </c>
      <c r="K8" s="66" t="s">
        <v>136</v>
      </c>
      <c r="L8" s="68" t="s">
        <v>156</v>
      </c>
      <c r="M8" s="36" t="s">
        <v>151</v>
      </c>
      <c r="N8" s="19" t="s">
        <v>157</v>
      </c>
      <c r="O8" s="67" t="s">
        <v>136</v>
      </c>
      <c r="P8" s="61">
        <f t="shared" ref="P8" si="6">IF(ISBLANK(A8),0,8)</f>
        <v>8</v>
      </c>
      <c r="Q8" s="61" t="str">
        <f t="shared" ref="Q8" si="7">IFERROR(FLOOR(((1+11+1+1+18+1+2+4+(P8*8)+15+1+1+1+7+3)*1.2)*(1000/B8),1),"")</f>
        <v/>
      </c>
    </row>
    <row r="9" spans="1:19" x14ac:dyDescent="0.25">
      <c r="A9" s="30" t="s">
        <v>119</v>
      </c>
      <c r="B9" s="19">
        <v>0</v>
      </c>
      <c r="C9" s="19" t="s">
        <v>158</v>
      </c>
      <c r="D9" s="19">
        <f t="shared" ref="D9" si="8">IFERROR(IF(ISBLANK(G9),"",HEX2DEC(RIGHT(LEFT(G9,4),2))/4),"")</f>
        <v>6</v>
      </c>
      <c r="E9" s="19">
        <f t="shared" ref="E9" si="9">IFERROR(IF(ISBLANK(G9),"",HEX2DEC(RIGHT(LEFT(G9,8),4))),"")</f>
        <v>65226</v>
      </c>
      <c r="F9" s="19" t="str">
        <f>REPLACE(G9,3,6,"")</f>
        <v>0xFC</v>
      </c>
      <c r="G9" s="87" t="s">
        <v>225</v>
      </c>
      <c r="H9" s="19" t="s">
        <v>152</v>
      </c>
      <c r="I9" s="66" t="s">
        <v>136</v>
      </c>
      <c r="J9" s="19" t="s">
        <v>153</v>
      </c>
      <c r="K9" s="19" t="s">
        <v>147</v>
      </c>
      <c r="L9" s="19" t="s">
        <v>147</v>
      </c>
      <c r="M9" s="19" t="s">
        <v>154</v>
      </c>
      <c r="N9" s="66" t="s">
        <v>136</v>
      </c>
      <c r="O9" s="67" t="s">
        <v>136</v>
      </c>
      <c r="P9" s="61">
        <f t="shared" ref="P9" si="10">IF(ISBLANK(A9),0,8)</f>
        <v>8</v>
      </c>
      <c r="Q9" s="61" t="str">
        <f t="shared" ref="Q9" si="11">IFERROR(FLOOR(((1+11+1+1+18+1+2+4+(P9*8)+15+1+1+1+7+3)*1.2)*(1000/B9),1),"")</f>
        <v/>
      </c>
    </row>
    <row r="10" spans="1:19" x14ac:dyDescent="0.25">
      <c r="A10" s="30" t="s">
        <v>110</v>
      </c>
      <c r="B10" s="19">
        <v>20</v>
      </c>
      <c r="C10" s="19" t="s">
        <v>113</v>
      </c>
      <c r="D10" s="19">
        <f t="shared" si="0"/>
        <v>6</v>
      </c>
      <c r="E10" s="19">
        <f>IFERROR(IF(ISBLANK(G10),"",HEX2DEC(RIGHT(LEFT(G10,8),4))),"")</f>
        <v>0</v>
      </c>
      <c r="F10" s="19" t="str">
        <f t="shared" ref="F10:F21" si="12">REPLACE(G10,3,6,"")</f>
        <v>0x55</v>
      </c>
      <c r="G10" s="19" t="s">
        <v>111</v>
      </c>
      <c r="H10" s="19" t="s">
        <v>123</v>
      </c>
      <c r="I10" s="145" t="s">
        <v>124</v>
      </c>
      <c r="J10" s="146"/>
      <c r="K10" s="19" t="s">
        <v>125</v>
      </c>
      <c r="L10" s="66" t="s">
        <v>136</v>
      </c>
      <c r="M10" s="19" t="s">
        <v>127</v>
      </c>
      <c r="N10" s="19" t="s">
        <v>126</v>
      </c>
      <c r="O10" s="29" t="s">
        <v>128</v>
      </c>
      <c r="P10" s="61">
        <f t="shared" si="2"/>
        <v>8</v>
      </c>
      <c r="Q10" s="61">
        <f t="shared" si="3"/>
        <v>7860</v>
      </c>
    </row>
    <row r="11" spans="1:19" x14ac:dyDescent="0.25">
      <c r="A11" s="30" t="s">
        <v>110</v>
      </c>
      <c r="B11" s="19">
        <v>0</v>
      </c>
      <c r="C11" s="19" t="s">
        <v>114</v>
      </c>
      <c r="D11" s="19">
        <f t="shared" si="0"/>
        <v>6</v>
      </c>
      <c r="E11" s="19">
        <f t="shared" ref="E11:E21" si="13">IFERROR(IF(ISBLANK(G11),"",HEX2DEC(RIGHT(LEFT(G11,8),4))),"")</f>
        <v>65122</v>
      </c>
      <c r="F11" s="19" t="str">
        <f t="shared" si="12"/>
        <v>0x55</v>
      </c>
      <c r="G11" s="19" t="s">
        <v>112</v>
      </c>
      <c r="H11" s="66" t="s">
        <v>129</v>
      </c>
      <c r="I11" s="19" t="s">
        <v>130</v>
      </c>
      <c r="J11" s="66" t="s">
        <v>129</v>
      </c>
      <c r="K11" s="66" t="s">
        <v>129</v>
      </c>
      <c r="L11" s="66" t="s">
        <v>129</v>
      </c>
      <c r="M11" s="66" t="s">
        <v>129</v>
      </c>
      <c r="N11" s="66" t="s">
        <v>129</v>
      </c>
      <c r="O11" s="67" t="s">
        <v>129</v>
      </c>
      <c r="P11" s="61">
        <f t="shared" si="2"/>
        <v>8</v>
      </c>
      <c r="Q11" s="61" t="str">
        <f t="shared" si="3"/>
        <v/>
      </c>
    </row>
    <row r="12" spans="1:19" x14ac:dyDescent="0.25">
      <c r="A12" s="30" t="s">
        <v>106</v>
      </c>
      <c r="B12" s="19">
        <v>20</v>
      </c>
      <c r="C12" s="19" t="s">
        <v>115</v>
      </c>
      <c r="D12" s="19">
        <f t="shared" si="0"/>
        <v>3</v>
      </c>
      <c r="E12" s="19">
        <f t="shared" si="13"/>
        <v>61444</v>
      </c>
      <c r="F12" s="19" t="str">
        <f t="shared" si="12"/>
        <v>0x00</v>
      </c>
      <c r="G12" s="19" t="s">
        <v>107</v>
      </c>
      <c r="H12" s="19" t="s">
        <v>131</v>
      </c>
      <c r="I12" s="66" t="s">
        <v>132</v>
      </c>
      <c r="J12" s="19" t="s">
        <v>133</v>
      </c>
      <c r="K12" s="145" t="s">
        <v>135</v>
      </c>
      <c r="L12" s="146"/>
      <c r="M12" s="66" t="s">
        <v>132</v>
      </c>
      <c r="N12" s="19" t="s">
        <v>134</v>
      </c>
      <c r="O12" s="67" t="s">
        <v>136</v>
      </c>
      <c r="P12" s="61">
        <f t="shared" si="2"/>
        <v>8</v>
      </c>
      <c r="Q12" s="61">
        <f t="shared" si="3"/>
        <v>7860</v>
      </c>
    </row>
    <row r="13" spans="1:19" x14ac:dyDescent="0.25">
      <c r="A13" s="30" t="s">
        <v>106</v>
      </c>
      <c r="B13" s="19">
        <v>20</v>
      </c>
      <c r="C13" s="19" t="s">
        <v>189</v>
      </c>
      <c r="D13" s="19">
        <f t="shared" ref="D13" si="14">IFERROR(IF(ISBLANK(G13),"",HEX2DEC(RIGHT(LEFT(G13,4),2))/4),"")</f>
        <v>3</v>
      </c>
      <c r="E13" s="19">
        <v>61443</v>
      </c>
      <c r="F13" s="19" t="str">
        <f t="shared" ref="F13" si="15">REPLACE(G13,3,6,"")</f>
        <v>0x00</v>
      </c>
      <c r="G13" s="19" t="s">
        <v>190</v>
      </c>
      <c r="H13" s="66" t="s">
        <v>132</v>
      </c>
      <c r="I13" s="83" t="s">
        <v>191</v>
      </c>
      <c r="J13" s="68" t="s">
        <v>192</v>
      </c>
      <c r="K13" s="66" t="s">
        <v>136</v>
      </c>
      <c r="L13" s="68" t="s">
        <v>195</v>
      </c>
      <c r="M13" s="68" t="s">
        <v>193</v>
      </c>
      <c r="N13" s="68" t="s">
        <v>128</v>
      </c>
      <c r="O13" s="84" t="s">
        <v>194</v>
      </c>
      <c r="P13" s="61">
        <f t="shared" ref="P13" si="16">IF(ISBLANK(A13),0,8)</f>
        <v>8</v>
      </c>
      <c r="Q13" s="61">
        <f t="shared" ref="Q13" si="17">IFERROR(FLOOR(((1+11+1+1+18+1+2+4+(P13*8)+15+1+1+1+7+3)*1.2)*(1000/B13),1),"")</f>
        <v>7860</v>
      </c>
    </row>
    <row r="14" spans="1:19" x14ac:dyDescent="0.25">
      <c r="A14" s="30" t="s">
        <v>106</v>
      </c>
      <c r="B14" s="19">
        <v>100</v>
      </c>
      <c r="C14" s="19" t="s">
        <v>116</v>
      </c>
      <c r="D14" s="19">
        <f t="shared" si="0"/>
        <v>6</v>
      </c>
      <c r="E14" s="19">
        <f t="shared" si="13"/>
        <v>65266</v>
      </c>
      <c r="F14" s="19" t="str">
        <f t="shared" si="12"/>
        <v>0x00</v>
      </c>
      <c r="G14" s="19" t="s">
        <v>120</v>
      </c>
      <c r="H14" s="145" t="s">
        <v>137</v>
      </c>
      <c r="I14" s="146"/>
      <c r="J14" s="66" t="s">
        <v>132</v>
      </c>
      <c r="K14" s="66" t="s">
        <v>132</v>
      </c>
      <c r="L14" s="66" t="s">
        <v>132</v>
      </c>
      <c r="M14" s="66" t="s">
        <v>132</v>
      </c>
      <c r="N14" s="66" t="s">
        <v>132</v>
      </c>
      <c r="O14" s="67" t="s">
        <v>136</v>
      </c>
      <c r="P14" s="61">
        <f t="shared" si="2"/>
        <v>8</v>
      </c>
      <c r="Q14" s="61">
        <f t="shared" si="3"/>
        <v>1572</v>
      </c>
    </row>
    <row r="15" spans="1:19" x14ac:dyDescent="0.25">
      <c r="A15" s="30" t="s">
        <v>106</v>
      </c>
      <c r="B15" s="19">
        <v>500</v>
      </c>
      <c r="C15" s="19" t="s">
        <v>117</v>
      </c>
      <c r="D15" s="19">
        <f t="shared" si="0"/>
        <v>6</v>
      </c>
      <c r="E15" s="19">
        <f t="shared" si="13"/>
        <v>65263</v>
      </c>
      <c r="F15" s="19" t="str">
        <f t="shared" si="12"/>
        <v>0x00</v>
      </c>
      <c r="G15" s="19" t="s">
        <v>121</v>
      </c>
      <c r="H15" s="19" t="s">
        <v>140</v>
      </c>
      <c r="I15" s="66" t="s">
        <v>132</v>
      </c>
      <c r="J15" s="19" t="s">
        <v>138</v>
      </c>
      <c r="K15" s="19" t="s">
        <v>139</v>
      </c>
      <c r="L15" s="66" t="s">
        <v>132</v>
      </c>
      <c r="M15" s="66" t="s">
        <v>132</v>
      </c>
      <c r="N15" s="66" t="s">
        <v>132</v>
      </c>
      <c r="O15" s="67" t="s">
        <v>132</v>
      </c>
      <c r="P15" s="61">
        <f t="shared" si="2"/>
        <v>8</v>
      </c>
      <c r="Q15" s="61">
        <f t="shared" si="3"/>
        <v>314</v>
      </c>
    </row>
    <row r="16" spans="1:19" x14ac:dyDescent="0.25">
      <c r="A16" s="30" t="s">
        <v>106</v>
      </c>
      <c r="B16" s="19">
        <v>1000</v>
      </c>
      <c r="C16" s="19" t="s">
        <v>118</v>
      </c>
      <c r="D16" s="19">
        <f>IFERROR(IF(ISBLANK(G16),"",HEX2DEC(RIGHT(LEFT(G16,4),2))/4),"")</f>
        <v>6</v>
      </c>
      <c r="E16" s="19">
        <f>IFERROR(IF(ISBLANK(G16),"",HEX2DEC(RIGHT(LEFT(G16,8),4))),"")</f>
        <v>65262</v>
      </c>
      <c r="F16" s="19" t="str">
        <f t="shared" si="12"/>
        <v>0x00</v>
      </c>
      <c r="G16" s="19" t="s">
        <v>122</v>
      </c>
      <c r="H16" s="19" t="s">
        <v>141</v>
      </c>
      <c r="I16" s="19" t="s">
        <v>142</v>
      </c>
      <c r="J16" s="145" t="s">
        <v>172</v>
      </c>
      <c r="K16" s="146"/>
      <c r="L16" s="66" t="s">
        <v>132</v>
      </c>
      <c r="M16" s="66" t="s">
        <v>132</v>
      </c>
      <c r="N16" s="66" t="s">
        <v>132</v>
      </c>
      <c r="O16" s="67" t="s">
        <v>132</v>
      </c>
      <c r="P16" s="61">
        <f t="shared" si="2"/>
        <v>8</v>
      </c>
      <c r="Q16" s="61">
        <f t="shared" si="3"/>
        <v>157</v>
      </c>
    </row>
    <row r="17" spans="1:17" x14ac:dyDescent="0.25">
      <c r="A17" s="30" t="s">
        <v>106</v>
      </c>
      <c r="B17" s="19">
        <v>50</v>
      </c>
      <c r="C17" s="19" t="s">
        <v>160</v>
      </c>
      <c r="D17" s="19">
        <f t="shared" si="0"/>
        <v>6</v>
      </c>
      <c r="E17" s="19">
        <f>IFERROR(IF(ISBLANK(G17),"",HEX2DEC(RIGHT(LEFT(G17,8),4))),"")</f>
        <v>65333</v>
      </c>
      <c r="F17" s="19" t="str">
        <f t="shared" si="12"/>
        <v>0x00</v>
      </c>
      <c r="G17" s="19" t="s">
        <v>162</v>
      </c>
      <c r="H17" s="145" t="s">
        <v>164</v>
      </c>
      <c r="I17" s="146"/>
      <c r="J17" s="44" t="s">
        <v>165</v>
      </c>
      <c r="K17" s="44" t="s">
        <v>166</v>
      </c>
      <c r="L17" s="44" t="s">
        <v>167</v>
      </c>
      <c r="M17" s="66" t="s">
        <v>132</v>
      </c>
      <c r="N17" s="145" t="s">
        <v>168</v>
      </c>
      <c r="O17" s="157"/>
      <c r="P17" s="61">
        <f t="shared" si="2"/>
        <v>8</v>
      </c>
      <c r="Q17" s="61">
        <f t="shared" si="3"/>
        <v>3144</v>
      </c>
    </row>
    <row r="18" spans="1:17" x14ac:dyDescent="0.25">
      <c r="A18" s="30" t="s">
        <v>106</v>
      </c>
      <c r="B18" s="19">
        <v>500</v>
      </c>
      <c r="C18" s="19" t="s">
        <v>161</v>
      </c>
      <c r="D18" s="19">
        <f t="shared" si="0"/>
        <v>6</v>
      </c>
      <c r="E18" s="19">
        <f t="shared" si="13"/>
        <v>65270</v>
      </c>
      <c r="F18" s="19" t="str">
        <f t="shared" si="12"/>
        <v>0x00</v>
      </c>
      <c r="G18" s="19" t="s">
        <v>163</v>
      </c>
      <c r="H18" s="66" t="s">
        <v>132</v>
      </c>
      <c r="I18" s="44" t="s">
        <v>169</v>
      </c>
      <c r="J18" s="19" t="s">
        <v>170</v>
      </c>
      <c r="K18" s="66" t="s">
        <v>132</v>
      </c>
      <c r="L18" s="66" t="s">
        <v>132</v>
      </c>
      <c r="M18" s="66" t="s">
        <v>132</v>
      </c>
      <c r="N18" s="66" t="s">
        <v>132</v>
      </c>
      <c r="O18" s="67" t="s">
        <v>132</v>
      </c>
      <c r="P18" s="61">
        <f t="shared" si="2"/>
        <v>8</v>
      </c>
      <c r="Q18" s="61">
        <f t="shared" si="3"/>
        <v>314</v>
      </c>
    </row>
    <row r="19" spans="1:17" x14ac:dyDescent="0.25">
      <c r="A19" s="30"/>
      <c r="B19" s="19"/>
      <c r="C19" s="19"/>
      <c r="D19" s="19"/>
      <c r="E19" s="19"/>
      <c r="F19" s="19"/>
      <c r="G19" s="19"/>
      <c r="H19" s="44"/>
      <c r="I19" s="44"/>
      <c r="J19" s="44"/>
      <c r="K19" s="66"/>
      <c r="L19" s="44"/>
      <c r="M19" s="66"/>
      <c r="N19" s="66"/>
      <c r="O19" s="67"/>
      <c r="P19" s="61">
        <f t="shared" si="2"/>
        <v>0</v>
      </c>
      <c r="Q19" s="61" t="str">
        <f t="shared" si="3"/>
        <v/>
      </c>
    </row>
    <row r="20" spans="1:17" x14ac:dyDescent="0.25">
      <c r="A20" s="30"/>
      <c r="B20" s="19"/>
      <c r="C20" s="19"/>
      <c r="D20" s="19" t="str">
        <f t="shared" si="0"/>
        <v/>
      </c>
      <c r="E20" s="19" t="str">
        <f t="shared" si="13"/>
        <v/>
      </c>
      <c r="F20" s="19" t="str">
        <f t="shared" si="12"/>
        <v/>
      </c>
      <c r="G20" s="19"/>
      <c r="H20" s="44"/>
      <c r="I20" s="44"/>
      <c r="J20" s="44"/>
      <c r="K20" s="44"/>
      <c r="L20" s="44"/>
      <c r="M20" s="44"/>
      <c r="N20" s="44"/>
      <c r="O20" s="45"/>
      <c r="P20" s="61">
        <f t="shared" si="2"/>
        <v>0</v>
      </c>
      <c r="Q20" s="61" t="str">
        <f t="shared" si="3"/>
        <v/>
      </c>
    </row>
    <row r="21" spans="1:17" ht="15.75" thickBot="1" x14ac:dyDescent="0.3">
      <c r="A21" s="31"/>
      <c r="B21" s="32"/>
      <c r="C21" s="32"/>
      <c r="D21" s="32" t="str">
        <f t="shared" si="0"/>
        <v/>
      </c>
      <c r="E21" s="32" t="str">
        <f t="shared" si="13"/>
        <v/>
      </c>
      <c r="F21" s="32" t="str">
        <f t="shared" si="12"/>
        <v/>
      </c>
      <c r="G21" s="32"/>
      <c r="H21" s="64"/>
      <c r="I21" s="64"/>
      <c r="J21" s="64"/>
      <c r="K21" s="64"/>
      <c r="L21" s="64"/>
      <c r="M21" s="64"/>
      <c r="N21" s="64"/>
      <c r="O21" s="65"/>
      <c r="P21" s="61">
        <f t="shared" si="2"/>
        <v>0</v>
      </c>
      <c r="Q21" s="61" t="str">
        <f t="shared" si="3"/>
        <v/>
      </c>
    </row>
    <row r="22" spans="1:17" x14ac:dyDescent="0.25">
      <c r="A22" s="6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50"/>
      <c r="Q22" s="50" t="str">
        <f t="shared" ref="Q22" si="18">IFERROR(FLOOR(((1+11+1+1+1+4+(P22*8)+15+1+1+1+7+3)*1.2)*(1000/B22),1),"")</f>
        <v/>
      </c>
    </row>
    <row r="23" spans="1:17" x14ac:dyDescent="0.25">
      <c r="A23" s="59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</row>
  </sheetData>
  <mergeCells count="8">
    <mergeCell ref="H6:I6"/>
    <mergeCell ref="J6:K6"/>
    <mergeCell ref="H17:I17"/>
    <mergeCell ref="N17:O17"/>
    <mergeCell ref="I10:J10"/>
    <mergeCell ref="K12:L12"/>
    <mergeCell ref="H14:I14"/>
    <mergeCell ref="J16:K16"/>
  </mergeCell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"/>
  <sheetViews>
    <sheetView zoomScale="115" zoomScaleNormal="115" workbookViewId="0">
      <selection activeCell="E6" sqref="E6:F13"/>
    </sheetView>
  </sheetViews>
  <sheetFormatPr defaultRowHeight="15" x14ac:dyDescent="0.25"/>
  <cols>
    <col min="1" max="1" width="10.5703125" customWidth="1"/>
    <col min="2" max="2" width="8.28515625" customWidth="1"/>
    <col min="5" max="5" width="8.140625" customWidth="1"/>
    <col min="6" max="6" width="7.85546875" customWidth="1"/>
    <col min="7" max="7" width="10.5703125" customWidth="1"/>
    <col min="8" max="12" width="9.5703125" customWidth="1"/>
    <col min="13" max="13" width="9.85546875" customWidth="1"/>
    <col min="14" max="14" width="9.5703125" customWidth="1"/>
    <col min="15" max="15" width="9.140625" customWidth="1"/>
    <col min="16" max="16" width="9.7109375" customWidth="1"/>
    <col min="17" max="17" width="7.85546875" customWidth="1"/>
    <col min="18" max="18" width="9.140625" customWidth="1"/>
    <col min="19" max="19" width="11.5703125" customWidth="1"/>
  </cols>
  <sheetData>
    <row r="1" spans="1:20" x14ac:dyDescent="0.25">
      <c r="A1" s="15" t="s">
        <v>252</v>
      </c>
      <c r="B1" s="15"/>
      <c r="D1" s="16" t="s">
        <v>7</v>
      </c>
      <c r="E1" s="17">
        <f>Version!A1</f>
        <v>1.24</v>
      </c>
      <c r="F1" s="16" t="s">
        <v>8</v>
      </c>
      <c r="G1" s="18">
        <f>Version!B1</f>
        <v>42997</v>
      </c>
    </row>
    <row r="2" spans="1:20" x14ac:dyDescent="0.25">
      <c r="A2" s="15"/>
      <c r="F2" s="16"/>
      <c r="G2" s="15"/>
    </row>
    <row r="3" spans="1:20" x14ac:dyDescent="0.25">
      <c r="A3" s="15" t="s">
        <v>9</v>
      </c>
      <c r="B3" t="s">
        <v>27</v>
      </c>
      <c r="D3" s="48" t="s">
        <v>89</v>
      </c>
      <c r="E3">
        <f>SUM(Q6:Q13)/(E4*1000)*100</f>
        <v>36.108000000000004</v>
      </c>
      <c r="F3" t="s">
        <v>91</v>
      </c>
    </row>
    <row r="4" spans="1:20" ht="15.75" thickBot="1" x14ac:dyDescent="0.3">
      <c r="A4" s="47" t="s">
        <v>92</v>
      </c>
      <c r="B4" t="s">
        <v>93</v>
      </c>
      <c r="D4" s="16" t="s">
        <v>10</v>
      </c>
      <c r="E4">
        <v>1000</v>
      </c>
      <c r="F4" t="s">
        <v>90</v>
      </c>
      <c r="R4" s="58"/>
    </row>
    <row r="5" spans="1:20" x14ac:dyDescent="0.25">
      <c r="A5" s="93" t="s">
        <v>0</v>
      </c>
      <c r="B5" s="94" t="s">
        <v>50</v>
      </c>
      <c r="C5" s="94" t="s">
        <v>11</v>
      </c>
      <c r="D5" s="94" t="s">
        <v>12</v>
      </c>
      <c r="E5" s="94" t="s">
        <v>13</v>
      </c>
      <c r="F5" s="94" t="s">
        <v>14</v>
      </c>
      <c r="G5" s="94" t="s">
        <v>15</v>
      </c>
      <c r="H5" s="94" t="s">
        <v>16</v>
      </c>
      <c r="I5" s="94" t="s">
        <v>17</v>
      </c>
      <c r="J5" s="94" t="s">
        <v>18</v>
      </c>
      <c r="K5" s="94" t="s">
        <v>19</v>
      </c>
      <c r="L5" s="94" t="s">
        <v>20</v>
      </c>
      <c r="M5" s="94" t="s">
        <v>21</v>
      </c>
      <c r="N5" s="95" t="s">
        <v>22</v>
      </c>
      <c r="O5" s="46"/>
      <c r="P5" s="49" t="s">
        <v>95</v>
      </c>
      <c r="Q5" s="49" t="s">
        <v>94</v>
      </c>
    </row>
    <row r="6" spans="1:20" x14ac:dyDescent="0.25">
      <c r="A6" s="28" t="s">
        <v>237</v>
      </c>
      <c r="B6" s="92">
        <v>1</v>
      </c>
      <c r="C6" s="92">
        <v>10</v>
      </c>
      <c r="D6" s="92">
        <v>1</v>
      </c>
      <c r="E6" s="92" t="s">
        <v>33</v>
      </c>
      <c r="F6" s="92">
        <f>IF(E6="tx",C6+384+256*(D6-1),C6+512+256*(D6-1))</f>
        <v>394</v>
      </c>
      <c r="G6" s="150" t="s">
        <v>243</v>
      </c>
      <c r="H6" s="150"/>
      <c r="I6" s="150" t="s">
        <v>241</v>
      </c>
      <c r="J6" s="150"/>
      <c r="K6" s="150" t="s">
        <v>242</v>
      </c>
      <c r="L6" s="150"/>
      <c r="M6" s="92"/>
      <c r="N6" s="92"/>
      <c r="P6" s="50">
        <v>6</v>
      </c>
      <c r="Q6" s="50">
        <f t="shared" ref="Q6:Q13" si="0">IFERROR(FLOOR(((1+11+1+1+1+4+(P6*8)+15+1+1+1+7+3)*1.2)*(1000/B6),1),"")</f>
        <v>114000</v>
      </c>
      <c r="T6" t="str">
        <f>DEC2HEX(F6)</f>
        <v>18A</v>
      </c>
    </row>
    <row r="7" spans="1:20" x14ac:dyDescent="0.25">
      <c r="A7" s="28" t="s">
        <v>238</v>
      </c>
      <c r="B7" s="92">
        <v>1</v>
      </c>
      <c r="C7" s="92">
        <v>11</v>
      </c>
      <c r="D7" s="92">
        <v>1</v>
      </c>
      <c r="E7" s="92" t="s">
        <v>33</v>
      </c>
      <c r="F7" s="92">
        <f t="shared" ref="F7:F13" si="1">IF(E7="tx",C7+384+256*(D7-1),C7+512+256*(D7-1))</f>
        <v>395</v>
      </c>
      <c r="G7" s="150" t="s">
        <v>244</v>
      </c>
      <c r="H7" s="150"/>
      <c r="I7" s="150" t="s">
        <v>245</v>
      </c>
      <c r="J7" s="150"/>
      <c r="K7" s="150" t="s">
        <v>239</v>
      </c>
      <c r="L7" s="150"/>
      <c r="M7" s="92"/>
      <c r="N7" s="92"/>
      <c r="P7" s="50">
        <v>6</v>
      </c>
      <c r="Q7" s="50">
        <f t="shared" si="0"/>
        <v>114000</v>
      </c>
      <c r="T7" t="str">
        <f t="shared" ref="T7:T13" si="2">DEC2HEX(F7)</f>
        <v>18B</v>
      </c>
    </row>
    <row r="8" spans="1:20" x14ac:dyDescent="0.25">
      <c r="A8" s="28" t="s">
        <v>237</v>
      </c>
      <c r="B8" s="96">
        <v>20</v>
      </c>
      <c r="C8" s="92">
        <v>10</v>
      </c>
      <c r="D8" s="92">
        <v>1</v>
      </c>
      <c r="E8" s="92" t="s">
        <v>70</v>
      </c>
      <c r="F8" s="92">
        <f t="shared" si="1"/>
        <v>522</v>
      </c>
      <c r="G8" s="92" t="s">
        <v>246</v>
      </c>
      <c r="H8" s="92" t="s">
        <v>247</v>
      </c>
      <c r="I8" s="92" t="s">
        <v>248</v>
      </c>
      <c r="J8" s="92" t="s">
        <v>249</v>
      </c>
      <c r="K8" s="92"/>
      <c r="L8" s="92"/>
      <c r="M8" s="92"/>
      <c r="N8" s="92"/>
      <c r="P8" s="50">
        <f>IF(ISBLANK(N8),IF(ISBLANK(M8),IF(ISBLANK(L8),IF(ISBLANK(K8),IF(ISBLANK(J8),IF(ISBLANK(I8),IF(ISBLANK(H8),IF(ISBLANK(G8),0,1),2),3),4),5),6),7),8)</f>
        <v>4</v>
      </c>
      <c r="Q8" s="50">
        <f>IFERROR(FLOOR(((1+11+1+1+1+4+(P8*8)+15+1+1+1+7+3)*1.2)*(1000/B8),1),"")</f>
        <v>4740</v>
      </c>
      <c r="R8" s="97" t="s">
        <v>250</v>
      </c>
      <c r="T8" t="str">
        <f t="shared" si="2"/>
        <v>20A</v>
      </c>
    </row>
    <row r="9" spans="1:20" x14ac:dyDescent="0.25">
      <c r="A9" s="28" t="s">
        <v>238</v>
      </c>
      <c r="B9" s="96">
        <v>20</v>
      </c>
      <c r="C9" s="92">
        <v>11</v>
      </c>
      <c r="D9" s="92">
        <v>1</v>
      </c>
      <c r="E9" s="92" t="s">
        <v>70</v>
      </c>
      <c r="F9" s="92">
        <f t="shared" si="1"/>
        <v>523</v>
      </c>
      <c r="G9" s="92" t="s">
        <v>246</v>
      </c>
      <c r="H9" s="92" t="s">
        <v>247</v>
      </c>
      <c r="I9" s="92" t="s">
        <v>248</v>
      </c>
      <c r="J9" s="92" t="s">
        <v>249</v>
      </c>
      <c r="K9" s="92"/>
      <c r="L9" s="92"/>
      <c r="M9" s="92"/>
      <c r="N9" s="92"/>
      <c r="P9" s="50">
        <f>IF(ISBLANK(N9),IF(ISBLANK(M9),IF(ISBLANK(L9),IF(ISBLANK(K9),IF(ISBLANK(J9),IF(ISBLANK(I9),IF(ISBLANK(H9),IF(ISBLANK(G9),0,1),2),3),4),5),6),7),8)</f>
        <v>4</v>
      </c>
      <c r="Q9" s="50">
        <f>IFERROR(FLOOR(((1+11+1+1+1+4+(P9*8)+15+1+1+1+7+3)*1.2)*(1000/B9),1),"")</f>
        <v>4740</v>
      </c>
      <c r="R9" s="97" t="s">
        <v>250</v>
      </c>
      <c r="T9" t="str">
        <f t="shared" si="2"/>
        <v>20B</v>
      </c>
    </row>
    <row r="10" spans="1:20" x14ac:dyDescent="0.25">
      <c r="A10" s="28" t="s">
        <v>276</v>
      </c>
      <c r="B10" s="92">
        <v>2</v>
      </c>
      <c r="C10" s="92">
        <v>15</v>
      </c>
      <c r="D10" s="92">
        <v>1</v>
      </c>
      <c r="E10" s="92" t="s">
        <v>33</v>
      </c>
      <c r="F10" s="92">
        <f t="shared" si="1"/>
        <v>399</v>
      </c>
      <c r="G10" s="145" t="s">
        <v>280</v>
      </c>
      <c r="H10" s="146"/>
      <c r="I10" s="145" t="s">
        <v>278</v>
      </c>
      <c r="J10" s="146"/>
      <c r="K10" s="145" t="s">
        <v>279</v>
      </c>
      <c r="L10" s="146"/>
      <c r="M10" s="145" t="s">
        <v>277</v>
      </c>
      <c r="N10" s="146"/>
      <c r="P10" s="50">
        <f>IF(ISBLANK(N10),IF(ISBLANK(M10),IF(ISBLANK(L10),IF(ISBLANK(K10),IF(ISBLANK(J10),IF(ISBLANK(I10),IF(ISBLANK(H10),IF(ISBLANK(G10),0,1),2),3),4),5),6),7),8)</f>
        <v>7</v>
      </c>
      <c r="Q10" s="50">
        <f>IFERROR(FLOOR(((1+11+1+1+1+4+(P10*8)+15+1+1+1+7+3)*1.2)*(1000/B10),1),"")</f>
        <v>61800</v>
      </c>
      <c r="T10" t="str">
        <f t="shared" si="2"/>
        <v>18F</v>
      </c>
    </row>
    <row r="11" spans="1:20" ht="14.25" customHeight="1" x14ac:dyDescent="0.25">
      <c r="A11" s="92" t="s">
        <v>276</v>
      </c>
      <c r="B11" s="92">
        <v>2</v>
      </c>
      <c r="C11" s="92">
        <v>15</v>
      </c>
      <c r="D11" s="92">
        <v>2</v>
      </c>
      <c r="E11" s="92" t="s">
        <v>33</v>
      </c>
      <c r="F11" s="92">
        <f t="shared" si="1"/>
        <v>655</v>
      </c>
      <c r="G11" s="145" t="s">
        <v>281</v>
      </c>
      <c r="H11" s="146"/>
      <c r="I11" s="145" t="s">
        <v>282</v>
      </c>
      <c r="J11" s="146"/>
      <c r="K11" s="145" t="s">
        <v>283</v>
      </c>
      <c r="L11" s="146"/>
      <c r="M11" s="145" t="s">
        <v>284</v>
      </c>
      <c r="N11" s="146"/>
      <c r="P11" s="50">
        <f t="shared" ref="P11:P13" si="3">IF(ISBLANK(N11),IF(ISBLANK(M11),IF(ISBLANK(L11),IF(ISBLANK(K11),IF(ISBLANK(J11),IF(ISBLANK(I11),IF(ISBLANK(H11),IF(ISBLANK(G11),0,1),2),3),4),5),6),7),8)</f>
        <v>7</v>
      </c>
      <c r="Q11" s="50">
        <f t="shared" si="0"/>
        <v>61800</v>
      </c>
      <c r="T11" t="str">
        <f t="shared" si="2"/>
        <v>28F</v>
      </c>
    </row>
    <row r="12" spans="1:20" x14ac:dyDescent="0.25">
      <c r="A12" s="92"/>
      <c r="B12" s="92"/>
      <c r="C12" s="92">
        <v>15</v>
      </c>
      <c r="D12" s="92">
        <v>1</v>
      </c>
      <c r="E12" s="92" t="s">
        <v>33</v>
      </c>
      <c r="F12" s="92">
        <f t="shared" si="1"/>
        <v>399</v>
      </c>
      <c r="G12" s="68"/>
      <c r="H12" s="92"/>
      <c r="I12" s="92"/>
      <c r="J12" s="92"/>
      <c r="K12" s="92"/>
      <c r="L12" s="92"/>
      <c r="M12" s="92"/>
      <c r="N12" s="92"/>
      <c r="P12" s="50">
        <f t="shared" si="3"/>
        <v>0</v>
      </c>
      <c r="Q12" s="50" t="str">
        <f t="shared" si="0"/>
        <v/>
      </c>
      <c r="T12" t="str">
        <f t="shared" si="2"/>
        <v>18F</v>
      </c>
    </row>
    <row r="13" spans="1:20" x14ac:dyDescent="0.25">
      <c r="A13" s="92"/>
      <c r="B13" s="92"/>
      <c r="C13" s="92"/>
      <c r="D13" s="92"/>
      <c r="E13" s="92"/>
      <c r="F13" s="92">
        <f t="shared" si="1"/>
        <v>256</v>
      </c>
      <c r="G13" s="92"/>
      <c r="H13" s="92"/>
      <c r="I13" s="92"/>
      <c r="J13" s="92"/>
      <c r="K13" s="92"/>
      <c r="L13" s="92"/>
      <c r="M13" s="92"/>
      <c r="N13" s="92"/>
      <c r="P13" s="50">
        <f t="shared" si="3"/>
        <v>0</v>
      </c>
      <c r="Q13" s="50" t="str">
        <f t="shared" si="0"/>
        <v/>
      </c>
      <c r="T13" t="str">
        <f t="shared" si="2"/>
        <v>100</v>
      </c>
    </row>
    <row r="14" spans="1:20" s="98" customFormat="1" x14ac:dyDescent="0.25"/>
    <row r="15" spans="1:20" s="98" customFormat="1" x14ac:dyDescent="0.25"/>
    <row r="16" spans="1:20" s="98" customFormat="1" x14ac:dyDescent="0.25"/>
    <row r="17" spans="9:10" s="98" customFormat="1" x14ac:dyDescent="0.25">
      <c r="I17" s="98">
        <v>500</v>
      </c>
      <c r="J17" s="98">
        <f>((I17*0.3358/1000)-4)/16</f>
        <v>-0.23950625</v>
      </c>
    </row>
    <row r="18" spans="9:10" s="98" customFormat="1" x14ac:dyDescent="0.25"/>
    <row r="19" spans="9:10" s="98" customFormat="1" x14ac:dyDescent="0.25"/>
    <row r="20" spans="9:10" s="98" customFormat="1" x14ac:dyDescent="0.25"/>
    <row r="21" spans="9:10" s="98" customFormat="1" x14ac:dyDescent="0.25"/>
    <row r="22" spans="9:10" s="98" customFormat="1" x14ac:dyDescent="0.25"/>
    <row r="23" spans="9:10" s="98" customFormat="1" x14ac:dyDescent="0.25"/>
  </sheetData>
  <mergeCells count="14">
    <mergeCell ref="K7:L7"/>
    <mergeCell ref="G7:H7"/>
    <mergeCell ref="I6:J6"/>
    <mergeCell ref="G6:H6"/>
    <mergeCell ref="I7:J7"/>
    <mergeCell ref="K6:L6"/>
    <mergeCell ref="G10:H10"/>
    <mergeCell ref="I10:J10"/>
    <mergeCell ref="K10:L10"/>
    <mergeCell ref="M10:N10"/>
    <mergeCell ref="G11:H11"/>
    <mergeCell ref="I11:J11"/>
    <mergeCell ref="K11:L11"/>
    <mergeCell ref="M11:N11"/>
  </mergeCells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7"/>
  <sheetViews>
    <sheetView zoomScale="130" zoomScaleNormal="130" workbookViewId="0">
      <selection activeCell="C16" sqref="C16"/>
    </sheetView>
  </sheetViews>
  <sheetFormatPr defaultRowHeight="15" x14ac:dyDescent="0.25"/>
  <cols>
    <col min="8" max="8" width="11.7109375" customWidth="1"/>
    <col min="9" max="9" width="12.28515625" customWidth="1"/>
    <col min="10" max="10" width="12.42578125" customWidth="1"/>
    <col min="11" max="11" width="12.28515625" customWidth="1"/>
    <col min="12" max="12" width="12" customWidth="1"/>
    <col min="13" max="13" width="11.85546875" customWidth="1"/>
    <col min="14" max="14" width="12.140625" customWidth="1"/>
    <col min="15" max="15" width="12.28515625" customWidth="1"/>
  </cols>
  <sheetData>
    <row r="1" spans="1:21" x14ac:dyDescent="0.25">
      <c r="A1" s="15" t="s">
        <v>252</v>
      </c>
      <c r="B1" s="15"/>
      <c r="D1" s="16" t="s">
        <v>7</v>
      </c>
      <c r="E1" s="17">
        <f>Version!A1</f>
        <v>1.24</v>
      </c>
      <c r="F1" s="16" t="s">
        <v>8</v>
      </c>
      <c r="G1" s="16"/>
      <c r="H1" s="18">
        <f>Version!B1</f>
        <v>42997</v>
      </c>
    </row>
    <row r="2" spans="1:21" x14ac:dyDescent="0.25">
      <c r="A2" s="15"/>
      <c r="F2" s="16"/>
      <c r="G2" s="16"/>
      <c r="H2" s="15"/>
    </row>
    <row r="3" spans="1:21" x14ac:dyDescent="0.25">
      <c r="A3" s="15" t="s">
        <v>9</v>
      </c>
      <c r="B3" t="s">
        <v>27</v>
      </c>
      <c r="D3" s="48" t="s">
        <v>89</v>
      </c>
      <c r="E3">
        <f>SUM(R6:R13)/(E4*1000)*100</f>
        <v>10.1358</v>
      </c>
      <c r="F3" t="s">
        <v>91</v>
      </c>
    </row>
    <row r="4" spans="1:21" ht="15.75" thickBot="1" x14ac:dyDescent="0.3">
      <c r="A4" s="47" t="s">
        <v>92</v>
      </c>
      <c r="B4" t="s">
        <v>93</v>
      </c>
      <c r="D4" s="16" t="s">
        <v>10</v>
      </c>
      <c r="E4">
        <v>500</v>
      </c>
      <c r="F4" t="s">
        <v>90</v>
      </c>
      <c r="S4" s="58"/>
    </row>
    <row r="5" spans="1:21" x14ac:dyDescent="0.25">
      <c r="A5" s="93" t="s">
        <v>0</v>
      </c>
      <c r="B5" s="94" t="s">
        <v>50</v>
      </c>
      <c r="C5" s="94" t="s">
        <v>11</v>
      </c>
      <c r="D5" s="94" t="s">
        <v>12</v>
      </c>
      <c r="E5" s="94" t="s">
        <v>13</v>
      </c>
      <c r="F5" s="94" t="s">
        <v>14</v>
      </c>
      <c r="G5" s="94" t="s">
        <v>304</v>
      </c>
      <c r="H5" s="94" t="s">
        <v>15</v>
      </c>
      <c r="I5" s="94" t="s">
        <v>16</v>
      </c>
      <c r="J5" s="94" t="s">
        <v>17</v>
      </c>
      <c r="K5" s="94" t="s">
        <v>18</v>
      </c>
      <c r="L5" s="94" t="s">
        <v>19</v>
      </c>
      <c r="M5" s="94" t="s">
        <v>20</v>
      </c>
      <c r="N5" s="94" t="s">
        <v>21</v>
      </c>
      <c r="O5" s="95" t="s">
        <v>22</v>
      </c>
      <c r="P5" s="46"/>
      <c r="Q5" s="49" t="s">
        <v>95</v>
      </c>
      <c r="R5" s="49" t="s">
        <v>94</v>
      </c>
    </row>
    <row r="6" spans="1:21" x14ac:dyDescent="0.25">
      <c r="A6" s="123" t="s">
        <v>288</v>
      </c>
      <c r="B6" s="123">
        <v>9</v>
      </c>
      <c r="C6" s="123"/>
      <c r="D6" s="123"/>
      <c r="E6" s="123" t="s">
        <v>33</v>
      </c>
      <c r="F6" s="123">
        <v>4</v>
      </c>
      <c r="G6" s="124" t="str">
        <f>DEC2HEX(F6)</f>
        <v>4</v>
      </c>
      <c r="H6" s="158" t="s">
        <v>298</v>
      </c>
      <c r="I6" s="159"/>
      <c r="J6" s="158" t="s">
        <v>299</v>
      </c>
      <c r="K6" s="159"/>
      <c r="L6" s="158" t="s">
        <v>300</v>
      </c>
      <c r="M6" s="159"/>
      <c r="N6" s="158" t="s">
        <v>301</v>
      </c>
      <c r="O6" s="159"/>
      <c r="Q6" s="50">
        <v>8</v>
      </c>
      <c r="R6" s="50">
        <f t="shared" ref="R6:R13" si="0">IFERROR(FLOOR(((1+11+1+1+1+4+(Q6*8)+15+1+1+1+7+3)*1.2)*(1000/B6),1),"")</f>
        <v>14800</v>
      </c>
      <c r="U6" t="str">
        <f>DEC2HEX(F6)</f>
        <v>4</v>
      </c>
    </row>
    <row r="7" spans="1:21" x14ac:dyDescent="0.25">
      <c r="A7" s="123" t="s">
        <v>288</v>
      </c>
      <c r="B7" s="123">
        <v>9</v>
      </c>
      <c r="C7" s="123">
        <v>10</v>
      </c>
      <c r="D7" s="123">
        <v>1</v>
      </c>
      <c r="E7" s="123" t="s">
        <v>33</v>
      </c>
      <c r="F7" s="123">
        <f>IF(E7="tx",C7+384+256*(D7-1),C7+512+256*(D7-1))</f>
        <v>394</v>
      </c>
      <c r="G7" s="124" t="str">
        <f t="shared" ref="G7:G14" si="1">DEC2HEX(F7)</f>
        <v>18A</v>
      </c>
      <c r="H7" s="153" t="s">
        <v>302</v>
      </c>
      <c r="I7" s="154"/>
      <c r="J7" s="153" t="s">
        <v>303</v>
      </c>
      <c r="K7" s="154"/>
      <c r="L7" s="153" t="s">
        <v>305</v>
      </c>
      <c r="M7" s="154"/>
      <c r="N7" s="153" t="s">
        <v>306</v>
      </c>
      <c r="O7" s="154"/>
      <c r="Q7" s="50">
        <v>6</v>
      </c>
      <c r="R7" s="50">
        <f t="shared" si="0"/>
        <v>12666</v>
      </c>
      <c r="U7" t="str">
        <f t="shared" ref="U7:U13" si="2">DEC2HEX(F7)</f>
        <v>18A</v>
      </c>
    </row>
    <row r="8" spans="1:21" x14ac:dyDescent="0.25">
      <c r="A8" s="123" t="s">
        <v>288</v>
      </c>
      <c r="B8" s="123">
        <v>9</v>
      </c>
      <c r="C8" s="123">
        <v>10</v>
      </c>
      <c r="D8" s="123"/>
      <c r="E8" s="123" t="s">
        <v>70</v>
      </c>
      <c r="F8" s="123">
        <f>IF(E8="tx",C8+384+256*(D8-1),C8+512+256*(D8-1))</f>
        <v>266</v>
      </c>
      <c r="G8" s="124" t="str">
        <f t="shared" si="1"/>
        <v>10A</v>
      </c>
      <c r="H8" s="153" t="s">
        <v>259</v>
      </c>
      <c r="I8" s="154"/>
      <c r="J8" s="153" t="s">
        <v>258</v>
      </c>
      <c r="K8" s="154"/>
      <c r="L8" s="153" t="s">
        <v>340</v>
      </c>
      <c r="M8" s="154"/>
      <c r="N8" s="153" t="s">
        <v>341</v>
      </c>
      <c r="O8" s="154"/>
      <c r="Q8" s="50">
        <f>IF(ISBLANK(O8),IF(ISBLANK(N8),IF(ISBLANK(M8),IF(ISBLANK(L8),IF(ISBLANK(K8),IF(ISBLANK(J8),IF(ISBLANK(I8),IF(ISBLANK(H8),0,1),2),3),4),5),6),7),8)</f>
        <v>7</v>
      </c>
      <c r="R8" s="50">
        <f t="shared" si="0"/>
        <v>13733</v>
      </c>
      <c r="S8" s="97" t="s">
        <v>250</v>
      </c>
      <c r="U8" t="str">
        <f t="shared" si="2"/>
        <v>10A</v>
      </c>
    </row>
    <row r="9" spans="1:21" x14ac:dyDescent="0.25">
      <c r="A9" s="123" t="s">
        <v>288</v>
      </c>
      <c r="B9" s="123"/>
      <c r="C9" s="123"/>
      <c r="D9" s="123"/>
      <c r="E9" s="123" t="s">
        <v>70</v>
      </c>
      <c r="F9" s="123">
        <f>IF(E9="tx",C9+384+256*(D9-1),C9+512+256*(D9-1))</f>
        <v>256</v>
      </c>
      <c r="G9" s="124" t="str">
        <f t="shared" si="1"/>
        <v>100</v>
      </c>
      <c r="H9" s="68"/>
      <c r="I9" s="123"/>
      <c r="J9" s="123"/>
      <c r="K9" s="123"/>
      <c r="L9" s="123"/>
      <c r="M9" s="123"/>
      <c r="N9" s="123"/>
      <c r="O9" s="123"/>
      <c r="Q9" s="50">
        <f>IF(ISBLANK(O9),IF(ISBLANK(N9),IF(ISBLANK(M9),IF(ISBLANK(L9),IF(ISBLANK(K9),IF(ISBLANK(J9),IF(ISBLANK(I9),IF(ISBLANK(H9),0,1),2),3),4),5),6),7),8)</f>
        <v>0</v>
      </c>
      <c r="R9" s="50" t="str">
        <f t="shared" si="0"/>
        <v/>
      </c>
      <c r="S9" s="97" t="s">
        <v>250</v>
      </c>
      <c r="U9" t="str">
        <f t="shared" si="2"/>
        <v>100</v>
      </c>
    </row>
    <row r="10" spans="1:21" x14ac:dyDescent="0.25">
      <c r="A10" s="123" t="s">
        <v>295</v>
      </c>
      <c r="B10" s="123">
        <v>10</v>
      </c>
      <c r="C10" s="123"/>
      <c r="D10" s="123"/>
      <c r="E10" s="123" t="s">
        <v>33</v>
      </c>
      <c r="F10" s="123">
        <v>3</v>
      </c>
      <c r="G10" s="124" t="str">
        <f t="shared" si="1"/>
        <v>3</v>
      </c>
      <c r="H10" s="158" t="s">
        <v>296</v>
      </c>
      <c r="I10" s="159"/>
      <c r="J10" s="158" t="s">
        <v>297</v>
      </c>
      <c r="K10" s="159"/>
      <c r="L10" s="123"/>
      <c r="M10" s="123"/>
      <c r="N10" s="123"/>
      <c r="O10" s="123"/>
      <c r="Q10" s="50">
        <v>4</v>
      </c>
      <c r="R10" s="50">
        <f t="shared" si="0"/>
        <v>9480</v>
      </c>
      <c r="U10" t="str">
        <f t="shared" si="2"/>
        <v>3</v>
      </c>
    </row>
    <row r="11" spans="1:21" x14ac:dyDescent="0.25">
      <c r="A11" s="123" t="s">
        <v>295</v>
      </c>
      <c r="B11" s="123" t="s">
        <v>307</v>
      </c>
      <c r="C11" s="123">
        <v>20</v>
      </c>
      <c r="D11" s="123">
        <v>1</v>
      </c>
      <c r="E11" s="123" t="s">
        <v>33</v>
      </c>
      <c r="F11" s="123">
        <f>IF(E11="tx",C11+384+256*(D11-1),C11+512+256*(D11-1))</f>
        <v>404</v>
      </c>
      <c r="G11" s="124" t="str">
        <f t="shared" si="1"/>
        <v>194</v>
      </c>
      <c r="H11" s="68" t="s">
        <v>316</v>
      </c>
      <c r="I11" s="68" t="s">
        <v>317</v>
      </c>
      <c r="J11" s="68" t="s">
        <v>318</v>
      </c>
      <c r="K11" s="68" t="s">
        <v>319</v>
      </c>
      <c r="L11" s="68" t="s">
        <v>320</v>
      </c>
      <c r="M11" s="68" t="s">
        <v>321</v>
      </c>
      <c r="N11" s="68" t="s">
        <v>322</v>
      </c>
      <c r="O11" s="68" t="s">
        <v>323</v>
      </c>
      <c r="Q11" s="50">
        <f t="shared" ref="Q11:Q13" si="3">IF(ISBLANK(O11),IF(ISBLANK(N11),IF(ISBLANK(M11),IF(ISBLANK(L11),IF(ISBLANK(K11),IF(ISBLANK(J11),IF(ISBLANK(I11),IF(ISBLANK(H11),0,1),2),3),4),5),6),7),8)</f>
        <v>8</v>
      </c>
      <c r="R11" s="50" t="str">
        <f t="shared" si="0"/>
        <v/>
      </c>
      <c r="U11" t="str">
        <f t="shared" si="2"/>
        <v>194</v>
      </c>
    </row>
    <row r="12" spans="1:21" x14ac:dyDescent="0.25">
      <c r="A12" s="123" t="s">
        <v>295</v>
      </c>
      <c r="B12" s="123" t="s">
        <v>307</v>
      </c>
      <c r="C12" s="123">
        <v>20</v>
      </c>
      <c r="D12" s="123">
        <v>2</v>
      </c>
      <c r="E12" s="123" t="s">
        <v>33</v>
      </c>
      <c r="F12" s="123">
        <f>IF(E12="tx",C12+384+256*(D12-1),C12+512+256*(D12-1))</f>
        <v>660</v>
      </c>
      <c r="G12" s="124" t="str">
        <f t="shared" si="1"/>
        <v>294</v>
      </c>
      <c r="H12" s="68" t="s">
        <v>308</v>
      </c>
      <c r="I12" s="68" t="s">
        <v>309</v>
      </c>
      <c r="J12" s="68" t="s">
        <v>310</v>
      </c>
      <c r="K12" s="68" t="s">
        <v>311</v>
      </c>
      <c r="L12" s="68" t="s">
        <v>312</v>
      </c>
      <c r="M12" s="68" t="s">
        <v>313</v>
      </c>
      <c r="N12" s="68" t="s">
        <v>314</v>
      </c>
      <c r="O12" s="68" t="s">
        <v>315</v>
      </c>
      <c r="Q12" s="50">
        <f t="shared" si="3"/>
        <v>8</v>
      </c>
      <c r="R12" s="50" t="str">
        <f t="shared" si="0"/>
        <v/>
      </c>
      <c r="U12" t="str">
        <f t="shared" si="2"/>
        <v>294</v>
      </c>
    </row>
    <row r="13" spans="1:21" x14ac:dyDescent="0.25">
      <c r="A13" s="123" t="s">
        <v>295</v>
      </c>
      <c r="B13" s="123" t="s">
        <v>307</v>
      </c>
      <c r="C13" s="123">
        <v>20</v>
      </c>
      <c r="D13" s="123">
        <v>3</v>
      </c>
      <c r="E13" s="123" t="s">
        <v>33</v>
      </c>
      <c r="F13" s="123">
        <f>IF(E13="tx",C13+384+256*(D13-1),C13+512+256*(D13-1))</f>
        <v>916</v>
      </c>
      <c r="G13" s="124" t="str">
        <f t="shared" si="1"/>
        <v>394</v>
      </c>
      <c r="H13" s="68" t="s">
        <v>324</v>
      </c>
      <c r="I13" s="68" t="s">
        <v>333</v>
      </c>
      <c r="J13" s="68" t="s">
        <v>334</v>
      </c>
      <c r="K13" s="68" t="s">
        <v>335</v>
      </c>
      <c r="L13" s="68" t="s">
        <v>336</v>
      </c>
      <c r="M13" s="68" t="s">
        <v>337</v>
      </c>
      <c r="N13" s="68" t="s">
        <v>338</v>
      </c>
      <c r="O13" s="68" t="s">
        <v>339</v>
      </c>
      <c r="Q13" s="50">
        <f t="shared" si="3"/>
        <v>8</v>
      </c>
      <c r="R13" s="50" t="str">
        <f t="shared" si="0"/>
        <v/>
      </c>
      <c r="U13" t="str">
        <f t="shared" si="2"/>
        <v>394</v>
      </c>
    </row>
    <row r="14" spans="1:21" x14ac:dyDescent="0.25">
      <c r="A14" s="123" t="s">
        <v>295</v>
      </c>
      <c r="B14" s="123" t="s">
        <v>307</v>
      </c>
      <c r="C14" s="123">
        <v>20</v>
      </c>
      <c r="D14" s="123">
        <v>4</v>
      </c>
      <c r="E14" s="123" t="s">
        <v>33</v>
      </c>
      <c r="F14" s="123">
        <f>IF(E14="tx",C14+384+256*(D14-1),C14+512+256*(D14-1))</f>
        <v>1172</v>
      </c>
      <c r="G14" s="124" t="str">
        <f t="shared" si="1"/>
        <v>494</v>
      </c>
      <c r="H14" s="68" t="s">
        <v>325</v>
      </c>
      <c r="I14" s="68" t="s">
        <v>326</v>
      </c>
      <c r="J14" s="68" t="s">
        <v>327</v>
      </c>
      <c r="K14" s="68" t="s">
        <v>328</v>
      </c>
      <c r="L14" s="68" t="s">
        <v>329</v>
      </c>
      <c r="M14" s="68" t="s">
        <v>330</v>
      </c>
      <c r="N14" s="68" t="s">
        <v>331</v>
      </c>
      <c r="O14" s="68" t="s">
        <v>332</v>
      </c>
    </row>
    <row r="16" spans="1:21" x14ac:dyDescent="0.25">
      <c r="A16" s="127" t="s">
        <v>342</v>
      </c>
    </row>
    <row r="17" spans="1:1" x14ac:dyDescent="0.25">
      <c r="A17" s="127" t="s">
        <v>343</v>
      </c>
    </row>
  </sheetData>
  <mergeCells count="14">
    <mergeCell ref="N6:O6"/>
    <mergeCell ref="L7:M7"/>
    <mergeCell ref="N7:O7"/>
    <mergeCell ref="H8:I8"/>
    <mergeCell ref="J8:K8"/>
    <mergeCell ref="L8:M8"/>
    <mergeCell ref="N8:O8"/>
    <mergeCell ref="H10:I10"/>
    <mergeCell ref="J10:K10"/>
    <mergeCell ref="H6:I6"/>
    <mergeCell ref="J6:K6"/>
    <mergeCell ref="L6:M6"/>
    <mergeCell ref="H7:I7"/>
    <mergeCell ref="J7:K7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</vt:lpstr>
      <vt:lpstr>Devices</vt:lpstr>
      <vt:lpstr>CAN1</vt:lpstr>
      <vt:lpstr>CAN2</vt:lpstr>
      <vt:lpstr>CAN digi</vt:lpstr>
      <vt:lpstr>Implement CAN</vt:lpstr>
      <vt:lpstr>Sheet2</vt:lpstr>
    </vt:vector>
  </TitlesOfParts>
  <Company>Tampere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Backas</dc:creator>
  <cp:lastModifiedBy>Ahopelto Miika</cp:lastModifiedBy>
  <cp:lastPrinted>2012-09-04T09:27:52Z</cp:lastPrinted>
  <dcterms:created xsi:type="dcterms:W3CDTF">2009-06-01T10:00:50Z</dcterms:created>
  <dcterms:modified xsi:type="dcterms:W3CDTF">2017-10-16T05:58:58Z</dcterms:modified>
</cp:coreProperties>
</file>