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\Desktop\"/>
    </mc:Choice>
  </mc:AlternateContent>
  <xr:revisionPtr revIDLastSave="0" documentId="13_ncr:1_{335737F4-341F-4728-8C13-343DA30DFA6F}" xr6:coauthVersionLast="43" xr6:coauthVersionMax="43" xr10:uidLastSave="{00000000-0000-0000-0000-000000000000}"/>
  <bookViews>
    <workbookView xWindow="-120" yWindow="-120" windowWidth="29040" windowHeight="15840" xr2:uid="{EFEECB0C-F00B-4D65-BDF9-8E1B1485E596}"/>
  </bookViews>
  <sheets>
    <sheet name="오성_손익" sheetId="13" r:id="rId1"/>
    <sheet name="오성_재고" sheetId="14" r:id="rId2"/>
    <sheet name="내유동_손익" sheetId="12" r:id="rId3"/>
    <sheet name="내유동_재고" sheetId="9" r:id="rId4"/>
    <sheet name="새안양_손익" sheetId="7" r:id="rId5"/>
    <sheet name="새안양_재고" sheetId="8" r:id="rId6"/>
    <sheet name="온산_손익" sheetId="2" r:id="rId7"/>
    <sheet name="온산_재고" sheetId="6" r:id="rId8"/>
    <sheet name="11" sheetId="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1" i="14" l="1"/>
  <c r="F121" i="14"/>
  <c r="H120" i="14"/>
  <c r="H119" i="14"/>
  <c r="F118" i="14"/>
  <c r="H117" i="14"/>
  <c r="H116" i="14"/>
  <c r="H115" i="14"/>
  <c r="H114" i="14"/>
  <c r="H113" i="14"/>
  <c r="H112" i="14"/>
  <c r="H111" i="14"/>
  <c r="H110" i="14"/>
  <c r="H118" i="14" s="1"/>
  <c r="F109" i="14"/>
  <c r="H108" i="14"/>
  <c r="H107" i="14"/>
  <c r="H106" i="14"/>
  <c r="H105" i="14"/>
  <c r="H104" i="14"/>
  <c r="H103" i="14"/>
  <c r="H102" i="14"/>
  <c r="H109" i="14" s="1"/>
  <c r="F101" i="14"/>
  <c r="F122" i="14" s="1"/>
  <c r="H100" i="14"/>
  <c r="H101" i="14" s="1"/>
  <c r="H99" i="14"/>
  <c r="F90" i="14"/>
  <c r="F85" i="14"/>
  <c r="F84" i="14"/>
  <c r="H83" i="14"/>
  <c r="H82" i="14"/>
  <c r="H84" i="14" s="1"/>
  <c r="F81" i="14"/>
  <c r="H80" i="14"/>
  <c r="H79" i="14"/>
  <c r="H78" i="14"/>
  <c r="H77" i="14"/>
  <c r="H76" i="14"/>
  <c r="H75" i="14"/>
  <c r="H74" i="14"/>
  <c r="H73" i="14"/>
  <c r="H72" i="14"/>
  <c r="H71" i="14"/>
  <c r="H70" i="14"/>
  <c r="H81" i="14" s="1"/>
  <c r="F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69" i="14" s="1"/>
  <c r="F54" i="14"/>
  <c r="H53" i="14"/>
  <c r="H52" i="14"/>
  <c r="H54" i="14" s="1"/>
  <c r="F49" i="14"/>
  <c r="F50" i="14" s="1"/>
  <c r="F94" i="14" s="1"/>
  <c r="H48" i="14"/>
  <c r="F47" i="14"/>
  <c r="F93" i="14" s="1"/>
  <c r="H46" i="14"/>
  <c r="H45" i="14"/>
  <c r="H44" i="14"/>
  <c r="H43" i="14"/>
  <c r="H42" i="14"/>
  <c r="H47" i="14" s="1"/>
  <c r="F41" i="14"/>
  <c r="F92" i="14" s="1"/>
  <c r="H40" i="14"/>
  <c r="H39" i="14"/>
  <c r="H38" i="14"/>
  <c r="H41" i="14" s="1"/>
  <c r="H37" i="14"/>
  <c r="H36" i="14"/>
  <c r="F35" i="14"/>
  <c r="G34" i="14"/>
  <c r="F34" i="14"/>
  <c r="H34" i="14" s="1"/>
  <c r="H33" i="14"/>
  <c r="H28" i="14"/>
  <c r="D28" i="14"/>
  <c r="J27" i="14"/>
  <c r="F27" i="14"/>
  <c r="J26" i="14"/>
  <c r="F26" i="14"/>
  <c r="J25" i="14"/>
  <c r="F25" i="14"/>
  <c r="J24" i="14"/>
  <c r="F24" i="14"/>
  <c r="J23" i="14"/>
  <c r="F23" i="14"/>
  <c r="J22" i="14"/>
  <c r="F22" i="14"/>
  <c r="J21" i="14"/>
  <c r="F21" i="14"/>
  <c r="J20" i="14"/>
  <c r="F20" i="14"/>
  <c r="J19" i="14"/>
  <c r="F19" i="14"/>
  <c r="J18" i="14"/>
  <c r="J28" i="14" s="1"/>
  <c r="F18" i="14"/>
  <c r="F28" i="14" s="1"/>
  <c r="H16" i="14"/>
  <c r="D16" i="14"/>
  <c r="B11" i="14" s="1"/>
  <c r="B13" i="14"/>
  <c r="D12" i="14"/>
  <c r="B12" i="14"/>
  <c r="J11" i="14"/>
  <c r="F11" i="14"/>
  <c r="J10" i="14"/>
  <c r="F10" i="14"/>
  <c r="H9" i="14"/>
  <c r="H12" i="14" s="1"/>
  <c r="F9" i="14"/>
  <c r="F12" i="14" s="1"/>
  <c r="H7" i="14"/>
  <c r="D7" i="14"/>
  <c r="B10" i="14" s="1"/>
  <c r="B14" i="14" s="1"/>
  <c r="B7" i="14"/>
  <c r="B6" i="14"/>
  <c r="B18" i="14" l="1"/>
  <c r="H87" i="14"/>
  <c r="G87" i="14" s="1"/>
  <c r="H92" i="14"/>
  <c r="G92" i="14" s="1"/>
  <c r="H93" i="14"/>
  <c r="G93" i="14" s="1"/>
  <c r="H85" i="14"/>
  <c r="H122" i="14"/>
  <c r="H86" i="14"/>
  <c r="B17" i="14"/>
  <c r="H88" i="14"/>
  <c r="G88" i="14" s="1"/>
  <c r="B19" i="14"/>
  <c r="F51" i="14"/>
  <c r="H35" i="14"/>
  <c r="H50" i="14"/>
  <c r="F91" i="14"/>
  <c r="F95" i="14" s="1"/>
  <c r="J9" i="14"/>
  <c r="J12" i="14" s="1"/>
  <c r="H49" i="14"/>
  <c r="G86" i="14" l="1"/>
  <c r="H94" i="14"/>
  <c r="G94" i="14" s="1"/>
  <c r="H91" i="14"/>
  <c r="H51" i="14"/>
  <c r="H89" i="14"/>
  <c r="G89" i="14" s="1"/>
  <c r="B20" i="14"/>
  <c r="B16" i="14"/>
  <c r="B22" i="14" s="1"/>
  <c r="B23" i="14" s="1"/>
  <c r="H95" i="14" l="1"/>
  <c r="G95" i="14" s="1"/>
  <c r="G91" i="14"/>
  <c r="H90" i="14"/>
  <c r="V39" i="13" l="1"/>
  <c r="U39" i="13"/>
  <c r="M39" i="13"/>
  <c r="H39" i="13"/>
  <c r="C39" i="13"/>
  <c r="W36" i="13"/>
  <c r="S36" i="13"/>
  <c r="O36" i="13"/>
  <c r="J36" i="13"/>
  <c r="R36" i="13" s="1"/>
  <c r="T36" i="13" s="1"/>
  <c r="X36" i="13" s="1"/>
  <c r="W35" i="13"/>
  <c r="S35" i="13"/>
  <c r="O35" i="13"/>
  <c r="R35" i="13" s="1"/>
  <c r="T35" i="13" s="1"/>
  <c r="X35" i="13" s="1"/>
  <c r="J35" i="13"/>
  <c r="W34" i="13"/>
  <c r="S34" i="13"/>
  <c r="R34" i="13"/>
  <c r="T34" i="13" s="1"/>
  <c r="X34" i="13" s="1"/>
  <c r="O34" i="13"/>
  <c r="J34" i="13"/>
  <c r="E34" i="13"/>
  <c r="W33" i="13"/>
  <c r="S33" i="13"/>
  <c r="O33" i="13"/>
  <c r="J33" i="13"/>
  <c r="E33" i="13"/>
  <c r="R33" i="13" s="1"/>
  <c r="T33" i="13" s="1"/>
  <c r="X33" i="13" s="1"/>
  <c r="W32" i="13"/>
  <c r="S32" i="13"/>
  <c r="O32" i="13"/>
  <c r="J32" i="13"/>
  <c r="G32" i="13"/>
  <c r="D32" i="13"/>
  <c r="E32" i="13" s="1"/>
  <c r="R32" i="13" s="1"/>
  <c r="T32" i="13" s="1"/>
  <c r="X32" i="13" s="1"/>
  <c r="W31" i="13"/>
  <c r="O31" i="13"/>
  <c r="L31" i="13"/>
  <c r="S31" i="13" s="1"/>
  <c r="J31" i="13"/>
  <c r="E31" i="13"/>
  <c r="R31" i="13" s="1"/>
  <c r="W30" i="13"/>
  <c r="S30" i="13"/>
  <c r="O30" i="13"/>
  <c r="J30" i="13"/>
  <c r="E30" i="13"/>
  <c r="R30" i="13" s="1"/>
  <c r="T30" i="13" s="1"/>
  <c r="X30" i="13" s="1"/>
  <c r="W29" i="13"/>
  <c r="S29" i="13"/>
  <c r="R29" i="13"/>
  <c r="T29" i="13" s="1"/>
  <c r="X29" i="13" s="1"/>
  <c r="O29" i="13"/>
  <c r="J29" i="13"/>
  <c r="E29" i="13"/>
  <c r="W28" i="13"/>
  <c r="S28" i="13"/>
  <c r="O28" i="13"/>
  <c r="J28" i="13"/>
  <c r="R28" i="13" s="1"/>
  <c r="T28" i="13" s="1"/>
  <c r="X28" i="13" s="1"/>
  <c r="E28" i="13"/>
  <c r="W27" i="13"/>
  <c r="S27" i="13"/>
  <c r="O27" i="13"/>
  <c r="J27" i="13"/>
  <c r="E27" i="13"/>
  <c r="R27" i="13" s="1"/>
  <c r="T27" i="13" s="1"/>
  <c r="X27" i="13" s="1"/>
  <c r="W26" i="13"/>
  <c r="S26" i="13"/>
  <c r="O26" i="13"/>
  <c r="J26" i="13"/>
  <c r="E26" i="13"/>
  <c r="R26" i="13" s="1"/>
  <c r="T26" i="13" s="1"/>
  <c r="X26" i="13" s="1"/>
  <c r="W25" i="13"/>
  <c r="S25" i="13"/>
  <c r="O25" i="13"/>
  <c r="J25" i="13"/>
  <c r="R25" i="13" s="1"/>
  <c r="T25" i="13" s="1"/>
  <c r="X25" i="13" s="1"/>
  <c r="E25" i="13"/>
  <c r="W24" i="13"/>
  <c r="S24" i="13"/>
  <c r="O24" i="13"/>
  <c r="J24" i="13"/>
  <c r="R24" i="13" s="1"/>
  <c r="T24" i="13" s="1"/>
  <c r="X24" i="13" s="1"/>
  <c r="E24" i="13"/>
  <c r="W23" i="13"/>
  <c r="S23" i="13"/>
  <c r="O23" i="13"/>
  <c r="J23" i="13"/>
  <c r="E23" i="13"/>
  <c r="W22" i="13"/>
  <c r="S22" i="13"/>
  <c r="O22" i="13"/>
  <c r="J22" i="13"/>
  <c r="E22" i="13"/>
  <c r="R22" i="13" s="1"/>
  <c r="T22" i="13" s="1"/>
  <c r="X22" i="13" s="1"/>
  <c r="W21" i="13"/>
  <c r="R21" i="13"/>
  <c r="T21" i="13" s="1"/>
  <c r="X21" i="13" s="1"/>
  <c r="O21" i="13"/>
  <c r="L21" i="13"/>
  <c r="S21" i="13" s="1"/>
  <c r="J21" i="13"/>
  <c r="G21" i="13"/>
  <c r="E21" i="13"/>
  <c r="W20" i="13"/>
  <c r="S20" i="13"/>
  <c r="O20" i="13"/>
  <c r="L20" i="13"/>
  <c r="J20" i="13"/>
  <c r="E20" i="13"/>
  <c r="R20" i="13" s="1"/>
  <c r="T20" i="13" s="1"/>
  <c r="X20" i="13" s="1"/>
  <c r="W19" i="13"/>
  <c r="S19" i="13"/>
  <c r="O19" i="13"/>
  <c r="J19" i="13"/>
  <c r="E19" i="13"/>
  <c r="R19" i="13" s="1"/>
  <c r="T19" i="13" s="1"/>
  <c r="X19" i="13" s="1"/>
  <c r="W18" i="13"/>
  <c r="S18" i="13"/>
  <c r="O18" i="13"/>
  <c r="J18" i="13"/>
  <c r="R18" i="13" s="1"/>
  <c r="T18" i="13" s="1"/>
  <c r="X18" i="13" s="1"/>
  <c r="E18" i="13"/>
  <c r="W17" i="13"/>
  <c r="S17" i="13"/>
  <c r="O17" i="13"/>
  <c r="J17" i="13"/>
  <c r="R17" i="13" s="1"/>
  <c r="T17" i="13" s="1"/>
  <c r="X17" i="13" s="1"/>
  <c r="E17" i="13"/>
  <c r="W16" i="13"/>
  <c r="O16" i="13"/>
  <c r="L16" i="13"/>
  <c r="S16" i="13" s="1"/>
  <c r="J16" i="13"/>
  <c r="E16" i="13"/>
  <c r="R16" i="13" s="1"/>
  <c r="T16" i="13" s="1"/>
  <c r="X16" i="13" s="1"/>
  <c r="W15" i="13"/>
  <c r="O15" i="13"/>
  <c r="J15" i="13"/>
  <c r="G15" i="13"/>
  <c r="S15" i="13" s="1"/>
  <c r="T15" i="13" s="1"/>
  <c r="X15" i="13" s="1"/>
  <c r="E15" i="13"/>
  <c r="R15" i="13" s="1"/>
  <c r="W14" i="13"/>
  <c r="T14" i="13"/>
  <c r="X14" i="13" s="1"/>
  <c r="O14" i="13"/>
  <c r="L14" i="13"/>
  <c r="S14" i="13" s="1"/>
  <c r="J14" i="13"/>
  <c r="E14" i="13"/>
  <c r="R14" i="13" s="1"/>
  <c r="W13" i="13"/>
  <c r="S13" i="13"/>
  <c r="O13" i="13"/>
  <c r="J13" i="13"/>
  <c r="E13" i="13"/>
  <c r="W12" i="13"/>
  <c r="S12" i="13"/>
  <c r="O12" i="13"/>
  <c r="J12" i="13"/>
  <c r="E12" i="13"/>
  <c r="R12" i="13" s="1"/>
  <c r="T12" i="13" s="1"/>
  <c r="X12" i="13" s="1"/>
  <c r="W11" i="13"/>
  <c r="R11" i="13"/>
  <c r="T11" i="13" s="1"/>
  <c r="X11" i="13" s="1"/>
  <c r="O11" i="13"/>
  <c r="L11" i="13"/>
  <c r="S11" i="13" s="1"/>
  <c r="J11" i="13"/>
  <c r="E11" i="13"/>
  <c r="W10" i="13"/>
  <c r="S10" i="13"/>
  <c r="R10" i="13"/>
  <c r="T10" i="13" s="1"/>
  <c r="X10" i="13" s="1"/>
  <c r="O10" i="13"/>
  <c r="J10" i="13"/>
  <c r="E10" i="13"/>
  <c r="W9" i="13"/>
  <c r="O9" i="13"/>
  <c r="J9" i="13"/>
  <c r="R9" i="13" s="1"/>
  <c r="T9" i="13" s="1"/>
  <c r="X9" i="13" s="1"/>
  <c r="G9" i="13"/>
  <c r="S9" i="13" s="1"/>
  <c r="E9" i="13"/>
  <c r="W8" i="13"/>
  <c r="S8" i="13"/>
  <c r="P8" i="13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O8" i="13"/>
  <c r="J8" i="13"/>
  <c r="R8" i="13" s="1"/>
  <c r="T8" i="13" s="1"/>
  <c r="X8" i="13" s="1"/>
  <c r="E8" i="13"/>
  <c r="W7" i="13"/>
  <c r="S7" i="13"/>
  <c r="P7" i="13"/>
  <c r="O7" i="13"/>
  <c r="J7" i="13"/>
  <c r="E7" i="13"/>
  <c r="R7" i="13" s="1"/>
  <c r="T7" i="13" s="1"/>
  <c r="X7" i="13" s="1"/>
  <c r="W6" i="13"/>
  <c r="W39" i="13" s="1"/>
  <c r="P6" i="13"/>
  <c r="O6" i="13"/>
  <c r="L6" i="13"/>
  <c r="S6" i="13" s="1"/>
  <c r="S39" i="13" s="1"/>
  <c r="K6" i="13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J6" i="13"/>
  <c r="F6" i="13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E6" i="13"/>
  <c r="M3" i="13"/>
  <c r="H3" i="13"/>
  <c r="C3" i="13"/>
  <c r="G32" i="12"/>
  <c r="F33" i="12"/>
  <c r="F32" i="12"/>
  <c r="P32" i="12"/>
  <c r="D32" i="12"/>
  <c r="M3" i="12"/>
  <c r="P8" i="12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7" i="12"/>
  <c r="P6" i="12"/>
  <c r="L31" i="12"/>
  <c r="K31" i="12"/>
  <c r="K29" i="12"/>
  <c r="K28" i="12"/>
  <c r="K27" i="12"/>
  <c r="K25" i="12"/>
  <c r="K23" i="12"/>
  <c r="K22" i="12"/>
  <c r="L21" i="12"/>
  <c r="K21" i="12"/>
  <c r="L20" i="12"/>
  <c r="K18" i="12"/>
  <c r="L16" i="12"/>
  <c r="K16" i="12"/>
  <c r="L14" i="12"/>
  <c r="K14" i="12"/>
  <c r="K12" i="12"/>
  <c r="L11" i="12"/>
  <c r="K11" i="12"/>
  <c r="K9" i="12"/>
  <c r="K8" i="12"/>
  <c r="L6" i="12"/>
  <c r="K6" i="12"/>
  <c r="H3" i="12"/>
  <c r="C3" i="12"/>
  <c r="F28" i="12"/>
  <c r="F27" i="12"/>
  <c r="F25" i="12"/>
  <c r="F23" i="12"/>
  <c r="F22" i="12"/>
  <c r="G21" i="12"/>
  <c r="F21" i="12"/>
  <c r="J39" i="13" l="1"/>
  <c r="R13" i="13"/>
  <c r="T13" i="13" s="1"/>
  <c r="X13" i="13" s="1"/>
  <c r="R23" i="13"/>
  <c r="T23" i="13" s="1"/>
  <c r="X23" i="13" s="1"/>
  <c r="T31" i="13"/>
  <c r="X31" i="13" s="1"/>
  <c r="O39" i="13"/>
  <c r="R6" i="13"/>
  <c r="E39" i="13"/>
  <c r="G15" i="12"/>
  <c r="F15" i="12"/>
  <c r="F16" i="12" s="1"/>
  <c r="F13" i="12"/>
  <c r="F12" i="12"/>
  <c r="F11" i="12"/>
  <c r="G9" i="12"/>
  <c r="S9" i="12" s="1"/>
  <c r="F9" i="12"/>
  <c r="F8" i="12"/>
  <c r="F7" i="12"/>
  <c r="F6" i="12"/>
  <c r="F51" i="9"/>
  <c r="S28" i="12"/>
  <c r="S25" i="12"/>
  <c r="O24" i="12"/>
  <c r="O20" i="12"/>
  <c r="S17" i="12"/>
  <c r="O16" i="12"/>
  <c r="O12" i="12"/>
  <c r="S8" i="12"/>
  <c r="S29" i="12"/>
  <c r="J25" i="12"/>
  <c r="J24" i="12"/>
  <c r="J21" i="12"/>
  <c r="J20" i="12"/>
  <c r="J16" i="12"/>
  <c r="S13" i="12"/>
  <c r="H39" i="12"/>
  <c r="E30" i="12"/>
  <c r="S26" i="12"/>
  <c r="S22" i="12"/>
  <c r="E20" i="12"/>
  <c r="S14" i="12"/>
  <c r="E12" i="12"/>
  <c r="E10" i="12"/>
  <c r="E13" i="12"/>
  <c r="E17" i="12"/>
  <c r="E21" i="12"/>
  <c r="E25" i="12"/>
  <c r="E24" i="12"/>
  <c r="V39" i="12"/>
  <c r="U39" i="12"/>
  <c r="C39" i="12"/>
  <c r="W36" i="12"/>
  <c r="S36" i="12"/>
  <c r="O36" i="12"/>
  <c r="J36" i="12"/>
  <c r="R36" i="12" s="1"/>
  <c r="T36" i="12" s="1"/>
  <c r="X36" i="12" s="1"/>
  <c r="W35" i="12"/>
  <c r="S35" i="12"/>
  <c r="O35" i="12"/>
  <c r="J35" i="12"/>
  <c r="R35" i="12" s="1"/>
  <c r="T35" i="12" s="1"/>
  <c r="X35" i="12" s="1"/>
  <c r="W34" i="12"/>
  <c r="S34" i="12"/>
  <c r="R34" i="12"/>
  <c r="T34" i="12" s="1"/>
  <c r="X34" i="12" s="1"/>
  <c r="O34" i="12"/>
  <c r="J34" i="12"/>
  <c r="E34" i="12"/>
  <c r="W33" i="12"/>
  <c r="S33" i="12"/>
  <c r="O33" i="12"/>
  <c r="J33" i="12"/>
  <c r="E33" i="12"/>
  <c r="R33" i="12" s="1"/>
  <c r="T33" i="12" s="1"/>
  <c r="X33" i="12" s="1"/>
  <c r="W32" i="12"/>
  <c r="S32" i="12"/>
  <c r="O32" i="12"/>
  <c r="J32" i="12"/>
  <c r="E32" i="12"/>
  <c r="W31" i="12"/>
  <c r="S31" i="12"/>
  <c r="O31" i="12"/>
  <c r="J31" i="12"/>
  <c r="E31" i="12"/>
  <c r="W30" i="12"/>
  <c r="S30" i="12"/>
  <c r="O30" i="12"/>
  <c r="J30" i="12"/>
  <c r="W29" i="12"/>
  <c r="O29" i="12"/>
  <c r="J29" i="12"/>
  <c r="E29" i="12"/>
  <c r="W28" i="12"/>
  <c r="J28" i="12"/>
  <c r="W27" i="12"/>
  <c r="S27" i="12"/>
  <c r="O27" i="12"/>
  <c r="J27" i="12"/>
  <c r="E27" i="12"/>
  <c r="W26" i="12"/>
  <c r="O26" i="12"/>
  <c r="J26" i="12"/>
  <c r="E26" i="12"/>
  <c r="W25" i="12"/>
  <c r="O25" i="12"/>
  <c r="W24" i="12"/>
  <c r="W23" i="12"/>
  <c r="S23" i="12"/>
  <c r="O23" i="12"/>
  <c r="J23" i="12"/>
  <c r="E23" i="12"/>
  <c r="W22" i="12"/>
  <c r="O22" i="12"/>
  <c r="J22" i="12"/>
  <c r="E22" i="12"/>
  <c r="W21" i="12"/>
  <c r="O21" i="12"/>
  <c r="W20" i="12"/>
  <c r="W19" i="12"/>
  <c r="S19" i="12"/>
  <c r="O19" i="12"/>
  <c r="J19" i="12"/>
  <c r="E19" i="12"/>
  <c r="W18" i="12"/>
  <c r="O18" i="12"/>
  <c r="J18" i="12"/>
  <c r="E18" i="12"/>
  <c r="W17" i="12"/>
  <c r="J17" i="12"/>
  <c r="W16" i="12"/>
  <c r="E16" i="12"/>
  <c r="W15" i="12"/>
  <c r="S15" i="12"/>
  <c r="O15" i="12"/>
  <c r="J15" i="12"/>
  <c r="E15" i="12"/>
  <c r="W14" i="12"/>
  <c r="O14" i="12"/>
  <c r="J14" i="12"/>
  <c r="E14" i="12"/>
  <c r="W13" i="12"/>
  <c r="O13" i="12"/>
  <c r="J13" i="12"/>
  <c r="W12" i="12"/>
  <c r="J12" i="12"/>
  <c r="W11" i="12"/>
  <c r="S11" i="12"/>
  <c r="O11" i="12"/>
  <c r="J11" i="12"/>
  <c r="E11" i="12"/>
  <c r="W10" i="12"/>
  <c r="O10" i="12"/>
  <c r="J10" i="12"/>
  <c r="W9" i="12"/>
  <c r="O9" i="12"/>
  <c r="J9" i="12"/>
  <c r="E9" i="12"/>
  <c r="W8" i="12"/>
  <c r="O8" i="12"/>
  <c r="W7" i="12"/>
  <c r="S7" i="12"/>
  <c r="O7" i="12"/>
  <c r="J7" i="12"/>
  <c r="E7" i="12"/>
  <c r="W6" i="12"/>
  <c r="O6" i="12"/>
  <c r="K7" i="12"/>
  <c r="J6" i="12"/>
  <c r="E6" i="12"/>
  <c r="F143" i="9"/>
  <c r="H142" i="9"/>
  <c r="F141" i="9"/>
  <c r="H141" i="9" s="1"/>
  <c r="H143" i="9" s="1"/>
  <c r="F139" i="9"/>
  <c r="H139" i="9" s="1"/>
  <c r="H138" i="9"/>
  <c r="H137" i="9"/>
  <c r="H136" i="9"/>
  <c r="H135" i="9"/>
  <c r="H134" i="9"/>
  <c r="H133" i="9"/>
  <c r="H132" i="9"/>
  <c r="F131" i="9"/>
  <c r="F140" i="9" s="1"/>
  <c r="H129" i="9"/>
  <c r="H128" i="9"/>
  <c r="H127" i="9"/>
  <c r="H126" i="9"/>
  <c r="H125" i="9"/>
  <c r="H124" i="9"/>
  <c r="F123" i="9"/>
  <c r="H123" i="9" s="1"/>
  <c r="H130" i="9" s="1"/>
  <c r="H122" i="9"/>
  <c r="F122" i="9"/>
  <c r="H121" i="9"/>
  <c r="H120" i="9"/>
  <c r="F111" i="9"/>
  <c r="F105" i="9"/>
  <c r="H104" i="9"/>
  <c r="H103" i="9"/>
  <c r="H105" i="9" s="1"/>
  <c r="F102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102" i="9" s="1"/>
  <c r="F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84" i="9" s="1"/>
  <c r="F69" i="9"/>
  <c r="F112" i="9" s="1"/>
  <c r="H68" i="9"/>
  <c r="H67" i="9"/>
  <c r="H69" i="9" s="1"/>
  <c r="H106" i="9" s="1"/>
  <c r="H64" i="9"/>
  <c r="F63" i="9"/>
  <c r="F65" i="9" s="1"/>
  <c r="F115" i="9" s="1"/>
  <c r="H61" i="9"/>
  <c r="H60" i="9"/>
  <c r="F59" i="9"/>
  <c r="H59" i="9" s="1"/>
  <c r="F58" i="9"/>
  <c r="H58" i="9" s="1"/>
  <c r="F57" i="9"/>
  <c r="H57" i="9" s="1"/>
  <c r="F56" i="9"/>
  <c r="H56" i="9" s="1"/>
  <c r="F55" i="9"/>
  <c r="H55" i="9" s="1"/>
  <c r="F54" i="9"/>
  <c r="H54" i="9" s="1"/>
  <c r="F53" i="9"/>
  <c r="H53" i="9" s="1"/>
  <c r="F52" i="9"/>
  <c r="F62" i="9" s="1"/>
  <c r="F114" i="9" s="1"/>
  <c r="H50" i="9"/>
  <c r="H49" i="9"/>
  <c r="F49" i="9"/>
  <c r="F48" i="9"/>
  <c r="H48" i="9" s="1"/>
  <c r="H47" i="9"/>
  <c r="F47" i="9"/>
  <c r="F46" i="9"/>
  <c r="H46" i="9" s="1"/>
  <c r="H45" i="9"/>
  <c r="F45" i="9"/>
  <c r="F44" i="9"/>
  <c r="H42" i="9"/>
  <c r="F41" i="9"/>
  <c r="H41" i="9" s="1"/>
  <c r="H43" i="9" s="1"/>
  <c r="H36" i="9"/>
  <c r="D36" i="9"/>
  <c r="J35" i="9"/>
  <c r="F35" i="9"/>
  <c r="J34" i="9"/>
  <c r="F34" i="9"/>
  <c r="J31" i="9"/>
  <c r="J30" i="9"/>
  <c r="J29" i="9"/>
  <c r="F29" i="9"/>
  <c r="J28" i="9"/>
  <c r="F28" i="9"/>
  <c r="J27" i="9"/>
  <c r="F27" i="9"/>
  <c r="J26" i="9"/>
  <c r="F26" i="9"/>
  <c r="J25" i="9"/>
  <c r="F25" i="9"/>
  <c r="J24" i="9"/>
  <c r="F24" i="9"/>
  <c r="J23" i="9"/>
  <c r="F23" i="9"/>
  <c r="J22" i="9"/>
  <c r="F22" i="9"/>
  <c r="J21" i="9"/>
  <c r="F21" i="9"/>
  <c r="J20" i="9"/>
  <c r="F20" i="9"/>
  <c r="J19" i="9"/>
  <c r="F19" i="9"/>
  <c r="J18" i="9"/>
  <c r="J36" i="9" s="1"/>
  <c r="F18" i="9"/>
  <c r="F36" i="9" s="1"/>
  <c r="H16" i="9"/>
  <c r="B12" i="9" s="1"/>
  <c r="D16" i="9"/>
  <c r="B13" i="9"/>
  <c r="H12" i="9"/>
  <c r="D12" i="9"/>
  <c r="J11" i="9"/>
  <c r="F11" i="9"/>
  <c r="B11" i="9"/>
  <c r="J10" i="9"/>
  <c r="F10" i="9"/>
  <c r="J9" i="9"/>
  <c r="J12" i="9" s="1"/>
  <c r="F9" i="9"/>
  <c r="F12" i="9" s="1"/>
  <c r="H7" i="9"/>
  <c r="D7" i="9"/>
  <c r="B10" i="9" s="1"/>
  <c r="B14" i="9" s="1"/>
  <c r="B7" i="9"/>
  <c r="B6" i="9"/>
  <c r="A1" i="9"/>
  <c r="R39" i="13" l="1"/>
  <c r="T6" i="13"/>
  <c r="R32" i="12"/>
  <c r="T32" i="12" s="1"/>
  <c r="X32" i="12" s="1"/>
  <c r="F10" i="12"/>
  <c r="F14" i="12" s="1"/>
  <c r="F17" i="12" s="1"/>
  <c r="F18" i="12" s="1"/>
  <c r="F19" i="12" s="1"/>
  <c r="F20" i="12" s="1"/>
  <c r="F24" i="12" s="1"/>
  <c r="F26" i="12" s="1"/>
  <c r="F29" i="12" s="1"/>
  <c r="F30" i="12" s="1"/>
  <c r="F31" i="12" s="1"/>
  <c r="F34" i="12" s="1"/>
  <c r="F35" i="12" s="1"/>
  <c r="F36" i="12" s="1"/>
  <c r="W39" i="12"/>
  <c r="O28" i="12"/>
  <c r="M39" i="12"/>
  <c r="S16" i="12"/>
  <c r="T16" i="12" s="1"/>
  <c r="X16" i="12" s="1"/>
  <c r="O17" i="12"/>
  <c r="O39" i="12" s="1"/>
  <c r="S18" i="12"/>
  <c r="J8" i="12"/>
  <c r="S24" i="12"/>
  <c r="S21" i="12"/>
  <c r="J39" i="12"/>
  <c r="R16" i="12"/>
  <c r="R7" i="12"/>
  <c r="T7" i="12" s="1"/>
  <c r="X7" i="12" s="1"/>
  <c r="R9" i="12"/>
  <c r="T9" i="12" s="1"/>
  <c r="X9" i="12" s="1"/>
  <c r="R14" i="12"/>
  <c r="T14" i="12" s="1"/>
  <c r="X14" i="12" s="1"/>
  <c r="R15" i="12"/>
  <c r="T15" i="12" s="1"/>
  <c r="X15" i="12" s="1"/>
  <c r="R31" i="12"/>
  <c r="T31" i="12" s="1"/>
  <c r="X31" i="12" s="1"/>
  <c r="R25" i="12"/>
  <c r="T25" i="12" s="1"/>
  <c r="X25" i="12" s="1"/>
  <c r="R18" i="12"/>
  <c r="R21" i="12"/>
  <c r="R10" i="12"/>
  <c r="R20" i="12"/>
  <c r="R30" i="12"/>
  <c r="T30" i="12" s="1"/>
  <c r="X30" i="12" s="1"/>
  <c r="R11" i="12"/>
  <c r="T11" i="12" s="1"/>
  <c r="X11" i="12" s="1"/>
  <c r="R19" i="12"/>
  <c r="T19" i="12" s="1"/>
  <c r="X19" i="12" s="1"/>
  <c r="R22" i="12"/>
  <c r="T22" i="12" s="1"/>
  <c r="X22" i="12" s="1"/>
  <c r="R23" i="12"/>
  <c r="T23" i="12" s="1"/>
  <c r="X23" i="12" s="1"/>
  <c r="R12" i="12"/>
  <c r="R26" i="12"/>
  <c r="T26" i="12" s="1"/>
  <c r="X26" i="12" s="1"/>
  <c r="R27" i="12"/>
  <c r="T27" i="12" s="1"/>
  <c r="X27" i="12" s="1"/>
  <c r="R29" i="12"/>
  <c r="T29" i="12" s="1"/>
  <c r="X29" i="12" s="1"/>
  <c r="R24" i="12"/>
  <c r="R13" i="12"/>
  <c r="T13" i="12" s="1"/>
  <c r="X13" i="12" s="1"/>
  <c r="S10" i="12"/>
  <c r="E8" i="12"/>
  <c r="E28" i="12"/>
  <c r="R28" i="12" s="1"/>
  <c r="T28" i="12" s="1"/>
  <c r="X28" i="12" s="1"/>
  <c r="S20" i="12"/>
  <c r="S6" i="12"/>
  <c r="S12" i="12"/>
  <c r="R6" i="12"/>
  <c r="R8" i="12"/>
  <c r="T8" i="12" s="1"/>
  <c r="X8" i="12" s="1"/>
  <c r="E39" i="12"/>
  <c r="H110" i="9"/>
  <c r="G110" i="9" s="1"/>
  <c r="B20" i="9"/>
  <c r="H109" i="9"/>
  <c r="G109" i="9" s="1"/>
  <c r="B19" i="9"/>
  <c r="H107" i="9"/>
  <c r="B16" i="9"/>
  <c r="B22" i="9" s="1"/>
  <c r="B23" i="9" s="1"/>
  <c r="B17" i="9"/>
  <c r="F113" i="9"/>
  <c r="F116" i="9" s="1"/>
  <c r="F66" i="9"/>
  <c r="B18" i="9"/>
  <c r="H108" i="9"/>
  <c r="G108" i="9" s="1"/>
  <c r="H112" i="9"/>
  <c r="H52" i="9"/>
  <c r="H62" i="9" s="1"/>
  <c r="H63" i="9"/>
  <c r="H65" i="9" s="1"/>
  <c r="H115" i="9" s="1"/>
  <c r="G115" i="9" s="1"/>
  <c r="H131" i="9"/>
  <c r="H140" i="9" s="1"/>
  <c r="H144" i="9" s="1"/>
  <c r="H44" i="9"/>
  <c r="H51" i="9" s="1"/>
  <c r="H113" i="9" s="1"/>
  <c r="G113" i="9" s="1"/>
  <c r="F130" i="9"/>
  <c r="F144" i="9" s="1"/>
  <c r="F106" i="9"/>
  <c r="V39" i="7"/>
  <c r="W26" i="7"/>
  <c r="W27" i="7"/>
  <c r="W28" i="7"/>
  <c r="W29" i="7"/>
  <c r="W30" i="7"/>
  <c r="W31" i="7"/>
  <c r="W32" i="7"/>
  <c r="W33" i="7"/>
  <c r="W34" i="7"/>
  <c r="W35" i="7"/>
  <c r="W36" i="7"/>
  <c r="W25" i="7"/>
  <c r="W15" i="7"/>
  <c r="W16" i="7"/>
  <c r="W17" i="7"/>
  <c r="W18" i="7"/>
  <c r="W19" i="7"/>
  <c r="W20" i="7"/>
  <c r="W21" i="7"/>
  <c r="W22" i="7"/>
  <c r="W23" i="7"/>
  <c r="W14" i="7"/>
  <c r="W13" i="7"/>
  <c r="W11" i="7"/>
  <c r="W12" i="7"/>
  <c r="W7" i="7"/>
  <c r="W8" i="7"/>
  <c r="W9" i="7"/>
  <c r="W10" i="7"/>
  <c r="W24" i="7"/>
  <c r="L18" i="7"/>
  <c r="K30" i="7"/>
  <c r="K29" i="7"/>
  <c r="K27" i="7"/>
  <c r="K25" i="7"/>
  <c r="K26" i="7" s="1"/>
  <c r="K24" i="7"/>
  <c r="K23" i="7"/>
  <c r="K20" i="7"/>
  <c r="K21" i="7" s="1"/>
  <c r="K22" i="7" s="1"/>
  <c r="K19" i="7"/>
  <c r="K18" i="7"/>
  <c r="L12" i="7"/>
  <c r="L10" i="7"/>
  <c r="K14" i="7"/>
  <c r="K15" i="7" s="1"/>
  <c r="K16" i="7" s="1"/>
  <c r="K17" i="7" s="1"/>
  <c r="K13" i="7"/>
  <c r="K12" i="7"/>
  <c r="K11" i="7"/>
  <c r="K10" i="7"/>
  <c r="K8" i="7"/>
  <c r="K9" i="7" s="1"/>
  <c r="K7" i="7"/>
  <c r="K6" i="7"/>
  <c r="G21" i="7"/>
  <c r="G16" i="7"/>
  <c r="S16" i="7" s="1"/>
  <c r="G11" i="7"/>
  <c r="G6" i="7"/>
  <c r="S28" i="7"/>
  <c r="S24" i="7"/>
  <c r="S20" i="7"/>
  <c r="S12" i="7"/>
  <c r="S8" i="7"/>
  <c r="J24" i="7"/>
  <c r="J20" i="7"/>
  <c r="J16" i="7"/>
  <c r="J8" i="7"/>
  <c r="D31" i="7"/>
  <c r="E31" i="7" s="1"/>
  <c r="D30" i="7"/>
  <c r="E30" i="7" s="1"/>
  <c r="D29" i="7"/>
  <c r="D28" i="7"/>
  <c r="D27" i="7"/>
  <c r="E27" i="7" s="1"/>
  <c r="D26" i="7"/>
  <c r="E26" i="7" s="1"/>
  <c r="D25" i="7"/>
  <c r="D24" i="7"/>
  <c r="D23" i="7"/>
  <c r="E23" i="7" s="1"/>
  <c r="D22" i="7"/>
  <c r="E22" i="7" s="1"/>
  <c r="D21" i="7"/>
  <c r="D20" i="7"/>
  <c r="D19" i="7"/>
  <c r="E19" i="7" s="1"/>
  <c r="D18" i="7"/>
  <c r="E18" i="7" s="1"/>
  <c r="R18" i="7" s="1"/>
  <c r="D17" i="7"/>
  <c r="D16" i="7"/>
  <c r="D15" i="7"/>
  <c r="E15" i="7" s="1"/>
  <c r="D14" i="7"/>
  <c r="E14" i="7" s="1"/>
  <c r="D13" i="7"/>
  <c r="D12" i="7"/>
  <c r="D11" i="7"/>
  <c r="E11" i="7" s="1"/>
  <c r="D10" i="7"/>
  <c r="E10" i="7" s="1"/>
  <c r="D9" i="7"/>
  <c r="D8" i="7"/>
  <c r="D7" i="7"/>
  <c r="E7" i="7" s="1"/>
  <c r="D6" i="7"/>
  <c r="E6" i="7" s="1"/>
  <c r="F118" i="8"/>
  <c r="H117" i="8"/>
  <c r="H116" i="8"/>
  <c r="H118" i="8" s="1"/>
  <c r="F114" i="8"/>
  <c r="H114" i="8" s="1"/>
  <c r="F113" i="8"/>
  <c r="H113" i="8" s="1"/>
  <c r="F112" i="8"/>
  <c r="H112" i="8" s="1"/>
  <c r="F111" i="8"/>
  <c r="H111" i="8" s="1"/>
  <c r="F110" i="8"/>
  <c r="H110" i="8" s="1"/>
  <c r="H115" i="8" s="1"/>
  <c r="F109" i="8"/>
  <c r="H108" i="8"/>
  <c r="H107" i="8"/>
  <c r="H106" i="8"/>
  <c r="H105" i="8"/>
  <c r="H109" i="8" s="1"/>
  <c r="H104" i="8"/>
  <c r="F104" i="8"/>
  <c r="H103" i="8"/>
  <c r="H102" i="8"/>
  <c r="F93" i="8"/>
  <c r="F87" i="8"/>
  <c r="H86" i="8"/>
  <c r="H85" i="8"/>
  <c r="H87" i="8" s="1"/>
  <c r="F84" i="8"/>
  <c r="H80" i="8"/>
  <c r="H79" i="8"/>
  <c r="H78" i="8"/>
  <c r="H77" i="8"/>
  <c r="H76" i="8"/>
  <c r="H75" i="8"/>
  <c r="H74" i="8"/>
  <c r="H73" i="8"/>
  <c r="H72" i="8"/>
  <c r="H84" i="8" s="1"/>
  <c r="F71" i="8"/>
  <c r="H70" i="8"/>
  <c r="H69" i="8"/>
  <c r="H68" i="8"/>
  <c r="H67" i="8"/>
  <c r="H66" i="8"/>
  <c r="G66" i="8"/>
  <c r="G65" i="8"/>
  <c r="H65" i="8" s="1"/>
  <c r="H64" i="8"/>
  <c r="G64" i="8"/>
  <c r="G63" i="8"/>
  <c r="H63" i="8" s="1"/>
  <c r="H62" i="8"/>
  <c r="G62" i="8"/>
  <c r="G61" i="8"/>
  <c r="H61" i="8" s="1"/>
  <c r="H60" i="8"/>
  <c r="H59" i="8"/>
  <c r="H58" i="8"/>
  <c r="H57" i="8"/>
  <c r="H56" i="8"/>
  <c r="F56" i="8"/>
  <c r="F94" i="8" s="1"/>
  <c r="H55" i="8"/>
  <c r="H54" i="8"/>
  <c r="F52" i="8"/>
  <c r="F97" i="8" s="1"/>
  <c r="H51" i="8"/>
  <c r="H50" i="8"/>
  <c r="H52" i="8" s="1"/>
  <c r="H48" i="8"/>
  <c r="G47" i="8"/>
  <c r="F47" i="8"/>
  <c r="H47" i="8" s="1"/>
  <c r="G46" i="8"/>
  <c r="F46" i="8"/>
  <c r="G45" i="8"/>
  <c r="F45" i="8"/>
  <c r="F49" i="8" s="1"/>
  <c r="H43" i="8"/>
  <c r="H42" i="8"/>
  <c r="G41" i="8"/>
  <c r="F41" i="8"/>
  <c r="H41" i="8" s="1"/>
  <c r="G40" i="8"/>
  <c r="F40" i="8"/>
  <c r="H38" i="8"/>
  <c r="F37" i="8"/>
  <c r="H37" i="8" s="1"/>
  <c r="H39" i="8" s="1"/>
  <c r="H32" i="8"/>
  <c r="D32" i="8"/>
  <c r="J31" i="8"/>
  <c r="F31" i="8"/>
  <c r="J30" i="8"/>
  <c r="F30" i="8"/>
  <c r="J29" i="8"/>
  <c r="F29" i="8"/>
  <c r="J28" i="8"/>
  <c r="F28" i="8"/>
  <c r="F27" i="8"/>
  <c r="J26" i="8"/>
  <c r="F26" i="8"/>
  <c r="J25" i="8"/>
  <c r="F25" i="8"/>
  <c r="J24" i="8"/>
  <c r="F24" i="8"/>
  <c r="J23" i="8"/>
  <c r="F23" i="8"/>
  <c r="J22" i="8"/>
  <c r="F22" i="8"/>
  <c r="J21" i="8"/>
  <c r="F21" i="8"/>
  <c r="J20" i="8"/>
  <c r="E20" i="8"/>
  <c r="F20" i="8" s="1"/>
  <c r="J19" i="8"/>
  <c r="F19" i="8"/>
  <c r="J18" i="8"/>
  <c r="J32" i="8" s="1"/>
  <c r="F18" i="8"/>
  <c r="F32" i="8" s="1"/>
  <c r="H16" i="8"/>
  <c r="D16" i="8"/>
  <c r="H12" i="8"/>
  <c r="D12" i="8"/>
  <c r="B12" i="8"/>
  <c r="J11" i="8"/>
  <c r="F11" i="8"/>
  <c r="B11" i="8"/>
  <c r="J10" i="8"/>
  <c r="F10" i="8"/>
  <c r="J9" i="8"/>
  <c r="J12" i="8" s="1"/>
  <c r="F9" i="8"/>
  <c r="F12" i="8" s="1"/>
  <c r="H7" i="8"/>
  <c r="B13" i="8" s="1"/>
  <c r="D7" i="8"/>
  <c r="B10" i="8" s="1"/>
  <c r="B6" i="8"/>
  <c r="U39" i="7"/>
  <c r="M39" i="7"/>
  <c r="H39" i="7"/>
  <c r="C39" i="7"/>
  <c r="S36" i="7"/>
  <c r="O36" i="7"/>
  <c r="J36" i="7"/>
  <c r="R36" i="7" s="1"/>
  <c r="S35" i="7"/>
  <c r="O35" i="7"/>
  <c r="J35" i="7"/>
  <c r="R35" i="7" s="1"/>
  <c r="S34" i="7"/>
  <c r="O34" i="7"/>
  <c r="J34" i="7"/>
  <c r="E34" i="7"/>
  <c r="R34" i="7" s="1"/>
  <c r="S33" i="7"/>
  <c r="O33" i="7"/>
  <c r="J33" i="7"/>
  <c r="E33" i="7"/>
  <c r="R33" i="7" s="1"/>
  <c r="S32" i="7"/>
  <c r="O32" i="7"/>
  <c r="J32" i="7"/>
  <c r="E32" i="7"/>
  <c r="R32" i="7" s="1"/>
  <c r="S31" i="7"/>
  <c r="O31" i="7"/>
  <c r="J31" i="7"/>
  <c r="S30" i="7"/>
  <c r="O30" i="7"/>
  <c r="J30" i="7"/>
  <c r="S29" i="7"/>
  <c r="O29" i="7"/>
  <c r="J29" i="7"/>
  <c r="E29" i="7"/>
  <c r="O28" i="7"/>
  <c r="J28" i="7"/>
  <c r="S27" i="7"/>
  <c r="O27" i="7"/>
  <c r="J27" i="7"/>
  <c r="S26" i="7"/>
  <c r="O26" i="7"/>
  <c r="J26" i="7"/>
  <c r="S25" i="7"/>
  <c r="O25" i="7"/>
  <c r="J25" i="7"/>
  <c r="E25" i="7"/>
  <c r="O24" i="7"/>
  <c r="S23" i="7"/>
  <c r="O23" i="7"/>
  <c r="J23" i="7"/>
  <c r="S22" i="7"/>
  <c r="O22" i="7"/>
  <c r="J22" i="7"/>
  <c r="S21" i="7"/>
  <c r="O21" i="7"/>
  <c r="J21" i="7"/>
  <c r="E21" i="7"/>
  <c r="O20" i="7"/>
  <c r="S19" i="7"/>
  <c r="O19" i="7"/>
  <c r="J19" i="7"/>
  <c r="S18" i="7"/>
  <c r="O18" i="7"/>
  <c r="J18" i="7"/>
  <c r="S17" i="7"/>
  <c r="O17" i="7"/>
  <c r="J17" i="7"/>
  <c r="E17" i="7"/>
  <c r="O16" i="7"/>
  <c r="S15" i="7"/>
  <c r="O15" i="7"/>
  <c r="J15" i="7"/>
  <c r="S14" i="7"/>
  <c r="O14" i="7"/>
  <c r="J14" i="7"/>
  <c r="S13" i="7"/>
  <c r="O13" i="7"/>
  <c r="J13" i="7"/>
  <c r="E13" i="7"/>
  <c r="O12" i="7"/>
  <c r="J12" i="7"/>
  <c r="S11" i="7"/>
  <c r="O11" i="7"/>
  <c r="J11" i="7"/>
  <c r="S10" i="7"/>
  <c r="O10" i="7"/>
  <c r="J10" i="7"/>
  <c r="S9" i="7"/>
  <c r="O9" i="7"/>
  <c r="J9" i="7"/>
  <c r="E9" i="7"/>
  <c r="O8" i="7"/>
  <c r="S7" i="7"/>
  <c r="O7" i="7"/>
  <c r="J7" i="7"/>
  <c r="W6" i="7"/>
  <c r="S6" i="7"/>
  <c r="O6" i="7"/>
  <c r="J6" i="7"/>
  <c r="O9" i="2"/>
  <c r="O13" i="2"/>
  <c r="O16" i="2"/>
  <c r="O17" i="2"/>
  <c r="O20" i="2"/>
  <c r="S21" i="2"/>
  <c r="O25" i="2"/>
  <c r="O29" i="2"/>
  <c r="O32" i="2"/>
  <c r="O33" i="2"/>
  <c r="O36" i="2"/>
  <c r="F120" i="6"/>
  <c r="H119" i="6"/>
  <c r="H118" i="6"/>
  <c r="H120" i="6" s="1"/>
  <c r="F117" i="6"/>
  <c r="H116" i="6"/>
  <c r="H115" i="6"/>
  <c r="H114" i="6"/>
  <c r="H113" i="6"/>
  <c r="H117" i="6" s="1"/>
  <c r="F112" i="6"/>
  <c r="H111" i="6"/>
  <c r="H110" i="6"/>
  <c r="H109" i="6"/>
  <c r="H108" i="6"/>
  <c r="H112" i="6" s="1"/>
  <c r="F107" i="6"/>
  <c r="F121" i="6" s="1"/>
  <c r="H106" i="6"/>
  <c r="H105" i="6"/>
  <c r="H107" i="6" s="1"/>
  <c r="F93" i="6"/>
  <c r="D16" i="6" s="1"/>
  <c r="B11" i="6" s="1"/>
  <c r="F91" i="6"/>
  <c r="F90" i="6"/>
  <c r="H89" i="6"/>
  <c r="H88" i="6"/>
  <c r="H90" i="6" s="1"/>
  <c r="F87" i="6"/>
  <c r="B87" i="6"/>
  <c r="H86" i="6"/>
  <c r="H85" i="6"/>
  <c r="H84" i="6"/>
  <c r="H83" i="6"/>
  <c r="H82" i="6"/>
  <c r="H81" i="6"/>
  <c r="K80" i="6"/>
  <c r="H80" i="6"/>
  <c r="H79" i="6"/>
  <c r="K78" i="6"/>
  <c r="H78" i="6"/>
  <c r="H77" i="6"/>
  <c r="K76" i="6"/>
  <c r="H76" i="6"/>
  <c r="H75" i="6"/>
  <c r="H74" i="6"/>
  <c r="H73" i="6"/>
  <c r="H72" i="6"/>
  <c r="H71" i="6"/>
  <c r="H87" i="6" s="1"/>
  <c r="F70" i="6"/>
  <c r="B88" i="6" s="1"/>
  <c r="B89" i="6" s="1"/>
  <c r="H69" i="6"/>
  <c r="H68" i="6"/>
  <c r="H67" i="6"/>
  <c r="H66" i="6"/>
  <c r="H65" i="6"/>
  <c r="H64" i="6"/>
  <c r="H70" i="6" s="1"/>
  <c r="H91" i="6" s="1"/>
  <c r="F63" i="6"/>
  <c r="H62" i="6"/>
  <c r="H61" i="6"/>
  <c r="H63" i="6" s="1"/>
  <c r="F59" i="6"/>
  <c r="H58" i="6"/>
  <c r="H57" i="6"/>
  <c r="H59" i="6" s="1"/>
  <c r="F56" i="6"/>
  <c r="F99" i="6" s="1"/>
  <c r="H55" i="6"/>
  <c r="H54" i="6"/>
  <c r="J53" i="6"/>
  <c r="H53" i="6"/>
  <c r="H52" i="6"/>
  <c r="H51" i="6"/>
  <c r="H50" i="6"/>
  <c r="H49" i="6"/>
  <c r="H48" i="6"/>
  <c r="H47" i="6"/>
  <c r="H46" i="6"/>
  <c r="H45" i="6"/>
  <c r="H56" i="6" s="1"/>
  <c r="F44" i="6"/>
  <c r="F98" i="6" s="1"/>
  <c r="H43" i="6"/>
  <c r="H42" i="6"/>
  <c r="H41" i="6"/>
  <c r="H40" i="6"/>
  <c r="H39" i="6"/>
  <c r="H38" i="6"/>
  <c r="H37" i="6"/>
  <c r="H36" i="6"/>
  <c r="H44" i="6" s="1"/>
  <c r="H34" i="6"/>
  <c r="F33" i="6"/>
  <c r="H33" i="6" s="1"/>
  <c r="H35" i="6" s="1"/>
  <c r="H28" i="6"/>
  <c r="F94" i="6" s="1"/>
  <c r="H16" i="6" s="1"/>
  <c r="B12" i="6" s="1"/>
  <c r="D28" i="6"/>
  <c r="L19" i="6" s="1"/>
  <c r="J27" i="6"/>
  <c r="F27" i="6"/>
  <c r="J26" i="6"/>
  <c r="F26" i="6"/>
  <c r="J25" i="6"/>
  <c r="F25" i="6"/>
  <c r="J24" i="6"/>
  <c r="F24" i="6"/>
  <c r="J23" i="6"/>
  <c r="F23" i="6"/>
  <c r="J22" i="6"/>
  <c r="F22" i="6"/>
  <c r="J21" i="6"/>
  <c r="F21" i="6"/>
  <c r="J20" i="6"/>
  <c r="J28" i="6" s="1"/>
  <c r="F20" i="6"/>
  <c r="M19" i="6"/>
  <c r="J19" i="6"/>
  <c r="F19" i="6"/>
  <c r="J18" i="6"/>
  <c r="F18" i="6"/>
  <c r="F28" i="6" s="1"/>
  <c r="H12" i="6"/>
  <c r="F95" i="6" s="1"/>
  <c r="H7" i="6" s="1"/>
  <c r="B13" i="6" s="1"/>
  <c r="D12" i="6"/>
  <c r="J11" i="6"/>
  <c r="F11" i="6"/>
  <c r="F12" i="6" s="1"/>
  <c r="J10" i="6"/>
  <c r="F10" i="6"/>
  <c r="J9" i="6"/>
  <c r="J12" i="6" s="1"/>
  <c r="F9" i="6"/>
  <c r="D7" i="6"/>
  <c r="B10" i="6" s="1"/>
  <c r="B14" i="6" s="1"/>
  <c r="B7" i="6"/>
  <c r="B6" i="6"/>
  <c r="W31" i="2"/>
  <c r="W30" i="2"/>
  <c r="W29" i="2"/>
  <c r="O21" i="2"/>
  <c r="O7" i="2"/>
  <c r="O8" i="2"/>
  <c r="O10" i="2"/>
  <c r="O11" i="2"/>
  <c r="O12" i="2"/>
  <c r="O14" i="2"/>
  <c r="O15" i="2"/>
  <c r="O18" i="2"/>
  <c r="O19" i="2"/>
  <c r="O22" i="2"/>
  <c r="O23" i="2"/>
  <c r="O24" i="2"/>
  <c r="O26" i="2"/>
  <c r="O27" i="2"/>
  <c r="O28" i="2"/>
  <c r="O30" i="2"/>
  <c r="O31" i="2"/>
  <c r="O34" i="2"/>
  <c r="O35" i="2"/>
  <c r="J35" i="2"/>
  <c r="J36" i="2"/>
  <c r="J32" i="2"/>
  <c r="J33" i="2"/>
  <c r="J34" i="2"/>
  <c r="S35" i="2"/>
  <c r="J31" i="2"/>
  <c r="S25" i="2"/>
  <c r="K29" i="2"/>
  <c r="J30" i="2"/>
  <c r="D32" i="2"/>
  <c r="D33" i="2"/>
  <c r="D34" i="2"/>
  <c r="S31" i="2"/>
  <c r="S30" i="2"/>
  <c r="F29" i="2"/>
  <c r="F30" i="2" s="1"/>
  <c r="S28" i="2"/>
  <c r="S27" i="2"/>
  <c r="S26" i="2"/>
  <c r="S24" i="2"/>
  <c r="S23" i="2"/>
  <c r="S22" i="2"/>
  <c r="S20" i="2"/>
  <c r="S19" i="2"/>
  <c r="S18" i="2"/>
  <c r="S16" i="2"/>
  <c r="S15" i="2"/>
  <c r="S14" i="2"/>
  <c r="S12" i="2"/>
  <c r="S11" i="2"/>
  <c r="S10" i="2"/>
  <c r="S8" i="2"/>
  <c r="S7" i="2"/>
  <c r="T39" i="13" l="1"/>
  <c r="X6" i="13"/>
  <c r="X39" i="13" s="1"/>
  <c r="K10" i="12"/>
  <c r="K13" i="12" s="1"/>
  <c r="K15" i="12" s="1"/>
  <c r="K17" i="12" s="1"/>
  <c r="K19" i="12" s="1"/>
  <c r="K20" i="12" s="1"/>
  <c r="K24" i="12" s="1"/>
  <c r="K26" i="12" s="1"/>
  <c r="T18" i="12"/>
  <c r="X18" i="12" s="1"/>
  <c r="F96" i="8"/>
  <c r="T24" i="12"/>
  <c r="X24" i="12" s="1"/>
  <c r="R17" i="12"/>
  <c r="T17" i="12" s="1"/>
  <c r="X17" i="12" s="1"/>
  <c r="T21" i="12"/>
  <c r="X21" i="12" s="1"/>
  <c r="T12" i="12"/>
  <c r="X12" i="12" s="1"/>
  <c r="S39" i="12"/>
  <c r="T10" i="12"/>
  <c r="X10" i="12" s="1"/>
  <c r="T20" i="12"/>
  <c r="X20" i="12" s="1"/>
  <c r="T6" i="12"/>
  <c r="R39" i="12"/>
  <c r="G112" i="9"/>
  <c r="H116" i="9"/>
  <c r="G116" i="9" s="1"/>
  <c r="H114" i="9"/>
  <c r="G114" i="9" s="1"/>
  <c r="H66" i="9"/>
  <c r="H111" i="9"/>
  <c r="G107" i="9"/>
  <c r="H3" i="7"/>
  <c r="F35" i="6"/>
  <c r="F97" i="6" s="1"/>
  <c r="H40" i="8"/>
  <c r="H44" i="8" s="1"/>
  <c r="H46" i="8"/>
  <c r="W39" i="7"/>
  <c r="K28" i="7"/>
  <c r="K31" i="7" s="1"/>
  <c r="K32" i="7" s="1"/>
  <c r="K33" i="7" s="1"/>
  <c r="K34" i="7" s="1"/>
  <c r="K35" i="7" s="1"/>
  <c r="K36" i="7" s="1"/>
  <c r="S39" i="7"/>
  <c r="T18" i="7"/>
  <c r="X18" i="7" s="1"/>
  <c r="E8" i="7"/>
  <c r="E12" i="7"/>
  <c r="R12" i="7" s="1"/>
  <c r="T12" i="7" s="1"/>
  <c r="X12" i="7" s="1"/>
  <c r="E16" i="7"/>
  <c r="R16" i="7" s="1"/>
  <c r="T16" i="7" s="1"/>
  <c r="X16" i="7" s="1"/>
  <c r="E20" i="7"/>
  <c r="E24" i="7"/>
  <c r="E28" i="7"/>
  <c r="R28" i="7" s="1"/>
  <c r="T28" i="7" s="1"/>
  <c r="X28" i="7" s="1"/>
  <c r="T32" i="7"/>
  <c r="X32" i="7" s="1"/>
  <c r="T33" i="7"/>
  <c r="X33" i="7" s="1"/>
  <c r="T34" i="7"/>
  <c r="X34" i="7" s="1"/>
  <c r="T35" i="7"/>
  <c r="X35" i="7" s="1"/>
  <c r="T36" i="7"/>
  <c r="X36" i="7" s="1"/>
  <c r="R7" i="7"/>
  <c r="T7" i="7" s="1"/>
  <c r="X7" i="7" s="1"/>
  <c r="O39" i="7"/>
  <c r="R13" i="7"/>
  <c r="T13" i="7" s="1"/>
  <c r="X13" i="7" s="1"/>
  <c r="R29" i="7"/>
  <c r="T29" i="7" s="1"/>
  <c r="X29" i="7" s="1"/>
  <c r="R23" i="7"/>
  <c r="T23" i="7" s="1"/>
  <c r="X23" i="7" s="1"/>
  <c r="J39" i="7"/>
  <c r="R9" i="7"/>
  <c r="T9" i="7" s="1"/>
  <c r="X9" i="7" s="1"/>
  <c r="R14" i="7"/>
  <c r="T14" i="7" s="1"/>
  <c r="X14" i="7" s="1"/>
  <c r="R19" i="7"/>
  <c r="T19" i="7" s="1"/>
  <c r="X19" i="7" s="1"/>
  <c r="R25" i="7"/>
  <c r="T25" i="7" s="1"/>
  <c r="X25" i="7" s="1"/>
  <c r="R31" i="7"/>
  <c r="T31" i="7" s="1"/>
  <c r="X31" i="7" s="1"/>
  <c r="R10" i="7"/>
  <c r="T10" i="7" s="1"/>
  <c r="X10" i="7" s="1"/>
  <c r="R15" i="7"/>
  <c r="T15" i="7" s="1"/>
  <c r="X15" i="7" s="1"/>
  <c r="R21" i="7"/>
  <c r="T21" i="7" s="1"/>
  <c r="X21" i="7" s="1"/>
  <c r="R26" i="7"/>
  <c r="T26" i="7" s="1"/>
  <c r="X26" i="7" s="1"/>
  <c r="R8" i="7"/>
  <c r="T8" i="7" s="1"/>
  <c r="X8" i="7" s="1"/>
  <c r="R20" i="7"/>
  <c r="T20" i="7" s="1"/>
  <c r="X20" i="7" s="1"/>
  <c r="R24" i="7"/>
  <c r="T24" i="7" s="1"/>
  <c r="X24" i="7" s="1"/>
  <c r="R6" i="7"/>
  <c r="T6" i="7" s="1"/>
  <c r="R11" i="7"/>
  <c r="T11" i="7" s="1"/>
  <c r="X11" i="7" s="1"/>
  <c r="R17" i="7"/>
  <c r="T17" i="7" s="1"/>
  <c r="X17" i="7" s="1"/>
  <c r="R22" i="7"/>
  <c r="T22" i="7" s="1"/>
  <c r="X22" i="7" s="1"/>
  <c r="R27" i="7"/>
  <c r="T27" i="7" s="1"/>
  <c r="X27" i="7" s="1"/>
  <c r="R30" i="7"/>
  <c r="T30" i="7" s="1"/>
  <c r="X30" i="7" s="1"/>
  <c r="B16" i="8"/>
  <c r="B17" i="8"/>
  <c r="H89" i="8"/>
  <c r="B18" i="8"/>
  <c r="H90" i="8"/>
  <c r="G90" i="8" s="1"/>
  <c r="B22" i="8"/>
  <c r="H92" i="8"/>
  <c r="G92" i="8" s="1"/>
  <c r="B20" i="8"/>
  <c r="B19" i="8"/>
  <c r="H91" i="8"/>
  <c r="G91" i="8" s="1"/>
  <c r="H94" i="8"/>
  <c r="B14" i="8"/>
  <c r="H119" i="8"/>
  <c r="H71" i="8"/>
  <c r="H88" i="8" s="1"/>
  <c r="F44" i="8"/>
  <c r="C3" i="7" s="1"/>
  <c r="F6" i="7" s="1"/>
  <c r="F7" i="7" s="1"/>
  <c r="F8" i="7" s="1"/>
  <c r="F9" i="7" s="1"/>
  <c r="F10" i="7" s="1"/>
  <c r="F11" i="7" s="1"/>
  <c r="F12" i="7" s="1"/>
  <c r="F13" i="7" s="1"/>
  <c r="F14" i="7" s="1"/>
  <c r="H45" i="8"/>
  <c r="F115" i="8"/>
  <c r="F119" i="8" s="1"/>
  <c r="B7" i="8"/>
  <c r="F88" i="8"/>
  <c r="S13" i="2"/>
  <c r="S17" i="2"/>
  <c r="R35" i="2"/>
  <c r="T35" i="2" s="1"/>
  <c r="X35" i="2" s="1"/>
  <c r="R36" i="2"/>
  <c r="S9" i="2"/>
  <c r="K30" i="2"/>
  <c r="K31" i="2" s="1"/>
  <c r="K32" i="2" s="1"/>
  <c r="K33" i="2" s="1"/>
  <c r="K34" i="2" s="1"/>
  <c r="K35" i="2" s="1"/>
  <c r="K36" i="2" s="1"/>
  <c r="H92" i="6"/>
  <c r="B17" i="6"/>
  <c r="B16" i="6"/>
  <c r="H93" i="6"/>
  <c r="G93" i="6" s="1"/>
  <c r="B18" i="6"/>
  <c r="H100" i="6"/>
  <c r="H60" i="6"/>
  <c r="H97" i="6"/>
  <c r="H121" i="6"/>
  <c r="B22" i="6"/>
  <c r="B23" i="6" s="1"/>
  <c r="B20" i="6"/>
  <c r="H95" i="6"/>
  <c r="G95" i="6" s="1"/>
  <c r="B19" i="6"/>
  <c r="H94" i="6"/>
  <c r="G94" i="6" s="1"/>
  <c r="F100" i="6"/>
  <c r="F101" i="6" s="1"/>
  <c r="N19" i="6"/>
  <c r="F96" i="6"/>
  <c r="F60" i="6"/>
  <c r="F31" i="2"/>
  <c r="F32" i="2" s="1"/>
  <c r="F33" i="2" s="1"/>
  <c r="F34" i="2" s="1"/>
  <c r="F35" i="2" s="1"/>
  <c r="F36" i="2" s="1"/>
  <c r="S36" i="2"/>
  <c r="S29" i="2"/>
  <c r="J29" i="2"/>
  <c r="K30" i="12" l="1"/>
  <c r="K32" i="12" s="1"/>
  <c r="K33" i="12" s="1"/>
  <c r="K34" i="12" s="1"/>
  <c r="K35" i="12" s="1"/>
  <c r="K36" i="12" s="1"/>
  <c r="T39" i="12"/>
  <c r="X6" i="12"/>
  <c r="X39" i="12" s="1"/>
  <c r="F15" i="7"/>
  <c r="F16" i="7" s="1"/>
  <c r="F17" i="7" s="1"/>
  <c r="F18" i="7" s="1"/>
  <c r="F19" i="7" s="1"/>
  <c r="F20" i="7" s="1"/>
  <c r="F21" i="7" s="1"/>
  <c r="F22" i="7" s="1"/>
  <c r="H49" i="8"/>
  <c r="H96" i="8" s="1"/>
  <c r="G96" i="8" s="1"/>
  <c r="E39" i="7"/>
  <c r="R39" i="7"/>
  <c r="G94" i="8"/>
  <c r="H95" i="8"/>
  <c r="B23" i="8"/>
  <c r="G89" i="8"/>
  <c r="H93" i="8"/>
  <c r="H97" i="8"/>
  <c r="G97" i="8" s="1"/>
  <c r="F53" i="8"/>
  <c r="F95" i="8"/>
  <c r="F98" i="8" s="1"/>
  <c r="T39" i="7"/>
  <c r="X6" i="7"/>
  <c r="X39" i="7" s="1"/>
  <c r="T36" i="2"/>
  <c r="X36" i="2" s="1"/>
  <c r="G97" i="6"/>
  <c r="G100" i="6"/>
  <c r="H98" i="6"/>
  <c r="G98" i="6" s="1"/>
  <c r="H99" i="6"/>
  <c r="G99" i="6" s="1"/>
  <c r="H96" i="6"/>
  <c r="G92" i="6"/>
  <c r="H53" i="8" l="1"/>
  <c r="F23" i="7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G95" i="8"/>
  <c r="H98" i="8"/>
  <c r="G98" i="8" s="1"/>
  <c r="H101" i="6"/>
  <c r="G101" i="6" s="1"/>
  <c r="F34" i="7" l="1"/>
  <c r="F35" i="7" s="1"/>
  <c r="F36" i="7" s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S6" i="2"/>
  <c r="O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6" i="2"/>
  <c r="H39" i="2"/>
  <c r="E7" i="2"/>
  <c r="R7" i="2" s="1"/>
  <c r="T7" i="2" s="1"/>
  <c r="X7" i="2" s="1"/>
  <c r="E8" i="2"/>
  <c r="R8" i="2" s="1"/>
  <c r="T8" i="2" s="1"/>
  <c r="X8" i="2" s="1"/>
  <c r="E9" i="2"/>
  <c r="R9" i="2" s="1"/>
  <c r="T9" i="2" s="1"/>
  <c r="X9" i="2" s="1"/>
  <c r="E10" i="2"/>
  <c r="R10" i="2" s="1"/>
  <c r="T10" i="2" s="1"/>
  <c r="X10" i="2" s="1"/>
  <c r="E11" i="2"/>
  <c r="R11" i="2" s="1"/>
  <c r="T11" i="2" s="1"/>
  <c r="X11" i="2" s="1"/>
  <c r="E12" i="2"/>
  <c r="R12" i="2" s="1"/>
  <c r="T12" i="2" s="1"/>
  <c r="X12" i="2" s="1"/>
  <c r="E13" i="2"/>
  <c r="R13" i="2" s="1"/>
  <c r="T13" i="2" s="1"/>
  <c r="X13" i="2" s="1"/>
  <c r="E14" i="2"/>
  <c r="R14" i="2" s="1"/>
  <c r="T14" i="2" s="1"/>
  <c r="X14" i="2" s="1"/>
  <c r="E15" i="2"/>
  <c r="R15" i="2" s="1"/>
  <c r="T15" i="2" s="1"/>
  <c r="X15" i="2" s="1"/>
  <c r="E16" i="2"/>
  <c r="R16" i="2" s="1"/>
  <c r="T16" i="2" s="1"/>
  <c r="X16" i="2" s="1"/>
  <c r="E17" i="2"/>
  <c r="E18" i="2"/>
  <c r="R18" i="2" s="1"/>
  <c r="T18" i="2" s="1"/>
  <c r="X18" i="2" s="1"/>
  <c r="E19" i="2"/>
  <c r="R19" i="2" s="1"/>
  <c r="T19" i="2" s="1"/>
  <c r="X19" i="2" s="1"/>
  <c r="E20" i="2"/>
  <c r="R20" i="2" s="1"/>
  <c r="T20" i="2" s="1"/>
  <c r="X20" i="2" s="1"/>
  <c r="E21" i="2"/>
  <c r="R21" i="2" s="1"/>
  <c r="T21" i="2" s="1"/>
  <c r="X21" i="2" s="1"/>
  <c r="E22" i="2"/>
  <c r="R22" i="2" s="1"/>
  <c r="T22" i="2" s="1"/>
  <c r="X22" i="2" s="1"/>
  <c r="E23" i="2"/>
  <c r="R23" i="2" s="1"/>
  <c r="T23" i="2" s="1"/>
  <c r="X23" i="2" s="1"/>
  <c r="E24" i="2"/>
  <c r="R24" i="2" s="1"/>
  <c r="T24" i="2" s="1"/>
  <c r="X24" i="2" s="1"/>
  <c r="E25" i="2"/>
  <c r="R25" i="2" s="1"/>
  <c r="T25" i="2" s="1"/>
  <c r="X25" i="2" s="1"/>
  <c r="E26" i="2"/>
  <c r="R26" i="2" s="1"/>
  <c r="T26" i="2" s="1"/>
  <c r="X26" i="2" s="1"/>
  <c r="E27" i="2"/>
  <c r="R27" i="2" s="1"/>
  <c r="T27" i="2" s="1"/>
  <c r="X27" i="2" s="1"/>
  <c r="E28" i="2"/>
  <c r="R28" i="2" s="1"/>
  <c r="T28" i="2" s="1"/>
  <c r="X28" i="2" s="1"/>
  <c r="E6" i="2"/>
  <c r="E34" i="2"/>
  <c r="X34" i="2" s="1"/>
  <c r="E33" i="2"/>
  <c r="X33" i="2" s="1"/>
  <c r="E32" i="2"/>
  <c r="X32" i="2" s="1"/>
  <c r="E31" i="2"/>
  <c r="R31" i="2" s="1"/>
  <c r="T31" i="2" s="1"/>
  <c r="X31" i="2" s="1"/>
  <c r="E30" i="2"/>
  <c r="R30" i="2" s="1"/>
  <c r="T30" i="2" s="1"/>
  <c r="X30" i="2" s="1"/>
  <c r="E29" i="2"/>
  <c r="R29" i="2" s="1"/>
  <c r="T29" i="2" s="1"/>
  <c r="X29" i="2" s="1"/>
  <c r="R17" i="2" l="1"/>
  <c r="T17" i="2" s="1"/>
  <c r="X17" i="2" s="1"/>
  <c r="O39" i="2"/>
  <c r="R6" i="2"/>
  <c r="J39" i="2"/>
  <c r="V39" i="2"/>
  <c r="U39" i="2"/>
  <c r="K8" i="1"/>
  <c r="W39" i="2"/>
  <c r="S17" i="1"/>
  <c r="I48" i="1"/>
  <c r="H48" i="1"/>
  <c r="G48" i="1"/>
  <c r="R47" i="1"/>
  <c r="T47" i="1" s="1"/>
  <c r="J47" i="1"/>
  <c r="F47" i="1"/>
  <c r="R46" i="1"/>
  <c r="T46" i="1" s="1"/>
  <c r="J46" i="1"/>
  <c r="F46" i="1"/>
  <c r="R45" i="1"/>
  <c r="T45" i="1" s="1"/>
  <c r="J45" i="1"/>
  <c r="F45" i="1"/>
  <c r="R44" i="1"/>
  <c r="T44" i="1" s="1"/>
  <c r="J44" i="1"/>
  <c r="F44" i="1"/>
  <c r="R43" i="1"/>
  <c r="T43" i="1" s="1"/>
  <c r="J43" i="1"/>
  <c r="F43" i="1"/>
  <c r="R42" i="1"/>
  <c r="T42" i="1" s="1"/>
  <c r="J42" i="1"/>
  <c r="F42" i="1"/>
  <c r="R41" i="1"/>
  <c r="T41" i="1" s="1"/>
  <c r="J41" i="1"/>
  <c r="F41" i="1"/>
  <c r="R40" i="1"/>
  <c r="T40" i="1" s="1"/>
  <c r="J40" i="1"/>
  <c r="F40" i="1"/>
  <c r="R39" i="1"/>
  <c r="T39" i="1" s="1"/>
  <c r="J39" i="1"/>
  <c r="F39" i="1"/>
  <c r="R38" i="1"/>
  <c r="T38" i="1" s="1"/>
  <c r="J38" i="1"/>
  <c r="F38" i="1"/>
  <c r="R37" i="1"/>
  <c r="T37" i="1" s="1"/>
  <c r="J37" i="1"/>
  <c r="F37" i="1"/>
  <c r="R36" i="1"/>
  <c r="T36" i="1" s="1"/>
  <c r="J36" i="1"/>
  <c r="F36" i="1"/>
  <c r="R35" i="1"/>
  <c r="T35" i="1" s="1"/>
  <c r="J35" i="1"/>
  <c r="F35" i="1"/>
  <c r="R34" i="1"/>
  <c r="T34" i="1" s="1"/>
  <c r="J34" i="1"/>
  <c r="F34" i="1"/>
  <c r="R33" i="1"/>
  <c r="T33" i="1" s="1"/>
  <c r="J33" i="1"/>
  <c r="F33" i="1"/>
  <c r="R32" i="1"/>
  <c r="T32" i="1" s="1"/>
  <c r="J32" i="1"/>
  <c r="F32" i="1"/>
  <c r="R31" i="1"/>
  <c r="T31" i="1" s="1"/>
  <c r="J31" i="1"/>
  <c r="F31" i="1"/>
  <c r="R30" i="1"/>
  <c r="T30" i="1" s="1"/>
  <c r="J30" i="1"/>
  <c r="F30" i="1"/>
  <c r="R29" i="1"/>
  <c r="T29" i="1" s="1"/>
  <c r="J29" i="1"/>
  <c r="F29" i="1"/>
  <c r="R28" i="1"/>
  <c r="T28" i="1" s="1"/>
  <c r="J28" i="1"/>
  <c r="F28" i="1"/>
  <c r="U27" i="1"/>
  <c r="L27" i="1"/>
  <c r="K27" i="1"/>
  <c r="R27" i="1" s="1"/>
  <c r="T27" i="1" s="1"/>
  <c r="S27" i="1" s="1"/>
  <c r="J27" i="1"/>
  <c r="F27" i="1"/>
  <c r="U26" i="1"/>
  <c r="T26" i="1"/>
  <c r="S26" i="1"/>
  <c r="R26" i="1"/>
  <c r="J26" i="1"/>
  <c r="F26" i="1"/>
  <c r="U25" i="1"/>
  <c r="R25" i="1"/>
  <c r="T25" i="1" s="1"/>
  <c r="S25" i="1" s="1"/>
  <c r="J25" i="1"/>
  <c r="F25" i="1"/>
  <c r="U24" i="1"/>
  <c r="T24" i="1"/>
  <c r="S24" i="1"/>
  <c r="R24" i="1"/>
  <c r="J24" i="1"/>
  <c r="F24" i="1"/>
  <c r="U23" i="1"/>
  <c r="R23" i="1"/>
  <c r="T23" i="1" s="1"/>
  <c r="S23" i="1" s="1"/>
  <c r="J23" i="1"/>
  <c r="F23" i="1"/>
  <c r="U22" i="1"/>
  <c r="T22" i="1"/>
  <c r="S22" i="1" s="1"/>
  <c r="R22" i="1"/>
  <c r="J22" i="1"/>
  <c r="F22" i="1"/>
  <c r="U21" i="1"/>
  <c r="R21" i="1"/>
  <c r="T21" i="1" s="1"/>
  <c r="S21" i="1" s="1"/>
  <c r="J21" i="1"/>
  <c r="F21" i="1"/>
  <c r="U20" i="1"/>
  <c r="T20" i="1"/>
  <c r="S20" i="1" s="1"/>
  <c r="R20" i="1"/>
  <c r="J20" i="1"/>
  <c r="F20" i="1"/>
  <c r="U19" i="1"/>
  <c r="R19" i="1"/>
  <c r="T19" i="1" s="1"/>
  <c r="S19" i="1" s="1"/>
  <c r="J19" i="1"/>
  <c r="F19" i="1"/>
  <c r="U18" i="1"/>
  <c r="T18" i="1"/>
  <c r="S18" i="1" s="1"/>
  <c r="R18" i="1"/>
  <c r="J18" i="1"/>
  <c r="F18" i="1"/>
  <c r="U17" i="1"/>
  <c r="U48" i="1" s="1"/>
  <c r="J8" i="1" s="1"/>
  <c r="R17" i="1"/>
  <c r="T17" i="1" s="1"/>
  <c r="J17" i="1"/>
  <c r="J48" i="1" s="1"/>
  <c r="I9" i="1" s="1"/>
  <c r="I10" i="1" s="1"/>
  <c r="F17" i="1"/>
  <c r="J11" i="1"/>
  <c r="E10" i="1"/>
  <c r="C10" i="1"/>
  <c r="C9" i="1"/>
  <c r="I8" i="1"/>
  <c r="E8" i="1"/>
  <c r="C8" i="1"/>
  <c r="C7" i="1"/>
  <c r="C6" i="1"/>
  <c r="T6" i="2" l="1"/>
  <c r="X6" i="2" s="1"/>
  <c r="R39" i="2"/>
  <c r="X39" i="2"/>
  <c r="T39" i="2"/>
  <c r="T48" i="1"/>
  <c r="J9" i="1" s="1"/>
  <c r="M39" i="2" l="1"/>
  <c r="S39" i="2"/>
  <c r="J10" i="1"/>
  <c r="K9" i="1"/>
  <c r="K10" i="1" s="1"/>
  <c r="E39" i="2" l="1"/>
  <c r="C39" i="2"/>
</calcChain>
</file>

<file path=xl/sharedStrings.xml><?xml version="1.0" encoding="utf-8"?>
<sst xmlns="http://schemas.openxmlformats.org/spreadsheetml/2006/main" count="905" uniqueCount="181">
  <si>
    <t>주유소 손익관리 (온산공단주유소)</t>
    <phoneticPr fontId="4" type="noConversion"/>
  </si>
  <si>
    <t>&lt;월 목표&gt;</t>
    <phoneticPr fontId="4" type="noConversion"/>
  </si>
  <si>
    <t>탱크용량(ℓ)</t>
  </si>
  <si>
    <t>유종</t>
  </si>
  <si>
    <t>판매량</t>
  </si>
  <si>
    <t>손익 관리</t>
  </si>
  <si>
    <t>온산공단</t>
    <phoneticPr fontId="4" type="noConversion"/>
  </si>
  <si>
    <t>고급G</t>
  </si>
  <si>
    <t>G</t>
  </si>
  <si>
    <t>K</t>
  </si>
  <si>
    <t>D</t>
  </si>
  <si>
    <t>월평균</t>
  </si>
  <si>
    <t>일평균</t>
  </si>
  <si>
    <t>고급휘발유</t>
  </si>
  <si>
    <t xml:space="preserve">단위당 매출이익 </t>
  </si>
  <si>
    <t>일반 휘발유</t>
  </si>
  <si>
    <t>단위당 관리비</t>
  </si>
  <si>
    <t>영업일수</t>
    <phoneticPr fontId="4" type="noConversion"/>
  </si>
  <si>
    <t>구분</t>
    <phoneticPr fontId="4" type="noConversion"/>
  </si>
  <si>
    <t>판매량</t>
    <phoneticPr fontId="4" type="noConversion"/>
  </si>
  <si>
    <t>매출이익</t>
    <phoneticPr fontId="4" type="noConversion"/>
  </si>
  <si>
    <t>복합마진</t>
    <phoneticPr fontId="4" type="noConversion"/>
  </si>
  <si>
    <t>경유</t>
  </si>
  <si>
    <t>단위당 영업이익</t>
  </si>
  <si>
    <t>목표</t>
    <phoneticPr fontId="4" type="noConversion"/>
  </si>
  <si>
    <t>등유</t>
  </si>
  <si>
    <t>유외수익단가</t>
    <phoneticPr fontId="4" type="noConversion"/>
  </si>
  <si>
    <t>월 실적누계</t>
    <phoneticPr fontId="4" type="noConversion"/>
  </si>
  <si>
    <t>주유소 합계</t>
  </si>
  <si>
    <t>BEP 마진</t>
  </si>
  <si>
    <t>차이</t>
    <phoneticPr fontId="4" type="noConversion"/>
  </si>
  <si>
    <t>월 유외수익 목표</t>
    <phoneticPr fontId="4" type="noConversion"/>
  </si>
  <si>
    <t>유외수익</t>
    <phoneticPr fontId="4" type="noConversion"/>
  </si>
  <si>
    <t>누계 목표</t>
    <phoneticPr fontId="4" type="noConversion"/>
  </si>
  <si>
    <t>누계 실적</t>
    <phoneticPr fontId="4" type="noConversion"/>
  </si>
  <si>
    <t>1. 온산공단 판매현황 및 손익</t>
    <phoneticPr fontId="4" type="noConversion"/>
  </si>
  <si>
    <t>전월 판매량</t>
    <phoneticPr fontId="4" type="noConversion"/>
  </si>
  <si>
    <t>휘발유</t>
    <phoneticPr fontId="4" type="noConversion"/>
  </si>
  <si>
    <t>경유</t>
    <phoneticPr fontId="4" type="noConversion"/>
  </si>
  <si>
    <t>부가세포함</t>
    <phoneticPr fontId="4" type="noConversion"/>
  </si>
  <si>
    <t>일자</t>
    <phoneticPr fontId="4" type="noConversion"/>
  </si>
  <si>
    <t>요일</t>
    <phoneticPr fontId="4" type="noConversion"/>
  </si>
  <si>
    <t>현재재고</t>
    <phoneticPr fontId="4" type="noConversion"/>
  </si>
  <si>
    <t>일일판매량</t>
    <phoneticPr fontId="4" type="noConversion"/>
  </si>
  <si>
    <t>사입가격</t>
    <phoneticPr fontId="4" type="noConversion"/>
  </si>
  <si>
    <t>판매가격</t>
    <phoneticPr fontId="4" type="noConversion"/>
  </si>
  <si>
    <t>매출액</t>
    <phoneticPr fontId="4" type="noConversion"/>
  </si>
  <si>
    <t>매출원가</t>
    <phoneticPr fontId="4" type="noConversion"/>
  </si>
  <si>
    <t>매출이익
(유류)</t>
    <phoneticPr fontId="4" type="noConversion"/>
  </si>
  <si>
    <t>매출이익목표
(유류+유외)</t>
    <phoneticPr fontId="4" type="noConversion"/>
  </si>
  <si>
    <t>등유</t>
    <phoneticPr fontId="4" type="noConversion"/>
  </si>
  <si>
    <t>총합</t>
    <phoneticPr fontId="4" type="noConversion"/>
  </si>
  <si>
    <t>금</t>
    <phoneticPr fontId="4" type="noConversion"/>
  </si>
  <si>
    <t>토</t>
  </si>
  <si>
    <t>일</t>
  </si>
  <si>
    <t>월</t>
  </si>
  <si>
    <t>화</t>
  </si>
  <si>
    <t>수</t>
  </si>
  <si>
    <t>목</t>
  </si>
  <si>
    <t>금</t>
  </si>
  <si>
    <t>수</t>
    <phoneticPr fontId="4" type="noConversion"/>
  </si>
  <si>
    <t>목</t>
    <phoneticPr fontId="4" type="noConversion"/>
  </si>
  <si>
    <t>토</t>
    <phoneticPr fontId="4" type="noConversion"/>
  </si>
  <si>
    <t>일</t>
    <phoneticPr fontId="4" type="noConversion"/>
  </si>
  <si>
    <t>재고</t>
    <phoneticPr fontId="4" type="noConversion"/>
  </si>
  <si>
    <t>매입가</t>
    <phoneticPr fontId="4" type="noConversion"/>
  </si>
  <si>
    <t>판매가</t>
    <phoneticPr fontId="4" type="noConversion"/>
  </si>
  <si>
    <t>유외품</t>
    <phoneticPr fontId="4" type="noConversion"/>
  </si>
  <si>
    <t>세차</t>
    <phoneticPr fontId="4" type="noConversion"/>
  </si>
  <si>
    <t>이월재고</t>
    <phoneticPr fontId="4" type="noConversion"/>
  </si>
  <si>
    <t>&lt;19년 5월 재고수불 현황&gt; - 19년 5월말 현재</t>
    <phoneticPr fontId="7" type="noConversion"/>
  </si>
  <si>
    <t>&lt;부가세포함&gt;</t>
    <phoneticPr fontId="7" type="noConversion"/>
  </si>
  <si>
    <t>단위:리터,원</t>
    <phoneticPr fontId="7" type="noConversion"/>
  </si>
  <si>
    <t>구 분</t>
    <phoneticPr fontId="13" type="noConversion"/>
  </si>
  <si>
    <t>유 종</t>
    <phoneticPr fontId="13" type="noConversion"/>
  </si>
  <si>
    <t>수 량</t>
    <phoneticPr fontId="7" type="noConversion"/>
  </si>
  <si>
    <t>사입단가</t>
    <phoneticPr fontId="13" type="noConversion"/>
  </si>
  <si>
    <t>금 액</t>
    <phoneticPr fontId="7" type="noConversion"/>
  </si>
  <si>
    <t>이월재고</t>
    <phoneticPr fontId="7" type="noConversion"/>
  </si>
  <si>
    <t>고급휘발유</t>
    <phoneticPr fontId="7" type="noConversion"/>
  </si>
  <si>
    <t>소 계</t>
    <phoneticPr fontId="7" type="noConversion"/>
  </si>
  <si>
    <t>휘발유</t>
    <phoneticPr fontId="7" type="noConversion"/>
  </si>
  <si>
    <t>경유</t>
    <phoneticPr fontId="7" type="noConversion"/>
  </si>
  <si>
    <t>등유</t>
    <phoneticPr fontId="7" type="noConversion"/>
  </si>
  <si>
    <t>계</t>
    <phoneticPr fontId="7" type="noConversion"/>
  </si>
  <si>
    <t>매출이익
(유외품)</t>
    <phoneticPr fontId="4" type="noConversion"/>
  </si>
  <si>
    <t>매출액
(유류)</t>
    <phoneticPr fontId="4" type="noConversion"/>
  </si>
  <si>
    <t>매입일</t>
    <phoneticPr fontId="7" type="noConversion"/>
  </si>
  <si>
    <t>당월매입</t>
    <phoneticPr fontId="7" type="noConversion"/>
  </si>
  <si>
    <t xml:space="preserve"> </t>
    <phoneticPr fontId="7" type="noConversion"/>
  </si>
  <si>
    <t>ostt</t>
    <phoneticPr fontId="7" type="noConversion"/>
  </si>
  <si>
    <t>당월판매</t>
    <phoneticPr fontId="7" type="noConversion"/>
  </si>
  <si>
    <t>당월재고</t>
    <phoneticPr fontId="7" type="noConversion"/>
  </si>
  <si>
    <t>당월재고내역</t>
    <phoneticPr fontId="7" type="noConversion"/>
  </si>
  <si>
    <t>매출원가
(유류)</t>
    <phoneticPr fontId="4" type="noConversion"/>
  </si>
  <si>
    <t>판매총액</t>
    <phoneticPr fontId="4" type="noConversion"/>
  </si>
  <si>
    <t>월 판매량(L)</t>
    <phoneticPr fontId="4" type="noConversion"/>
  </si>
  <si>
    <t>월 판매총액</t>
    <phoneticPr fontId="4" type="noConversion"/>
  </si>
  <si>
    <t>유외품매출액</t>
    <phoneticPr fontId="4" type="noConversion"/>
  </si>
  <si>
    <t>월 총 판매액</t>
    <phoneticPr fontId="4" type="noConversion"/>
  </si>
  <si>
    <t>휘발유</t>
  </si>
  <si>
    <t>휘발유</t>
    <phoneticPr fontId="4" type="noConversion"/>
  </si>
  <si>
    <t>경유</t>
    <phoneticPr fontId="4" type="noConversion"/>
  </si>
  <si>
    <t>매출총이익
(유류+유외품+세차)</t>
    <phoneticPr fontId="4" type="noConversion"/>
  </si>
  <si>
    <t>등유</t>
    <phoneticPr fontId="4" type="noConversion"/>
  </si>
  <si>
    <t>세차매출액</t>
    <phoneticPr fontId="4" type="noConversion"/>
  </si>
  <si>
    <t>유류 매출원가</t>
    <phoneticPr fontId="4" type="noConversion"/>
  </si>
  <si>
    <t>유류 매출이익</t>
    <phoneticPr fontId="4" type="noConversion"/>
  </si>
  <si>
    <t>온산공단</t>
    <phoneticPr fontId="13" type="noConversion"/>
  </si>
  <si>
    <r>
      <t>&lt;19</t>
    </r>
    <r>
      <rPr>
        <b/>
        <sz val="10"/>
        <color indexed="8"/>
        <rFont val="돋움"/>
        <family val="3"/>
        <charset val="129"/>
      </rPr>
      <t>년 5월말기준&gt;</t>
    </r>
    <phoneticPr fontId="13" type="noConversion"/>
  </si>
  <si>
    <t>&lt;19년6월10일현재&gt;</t>
    <phoneticPr fontId="7" type="noConversion"/>
  </si>
  <si>
    <t>&lt;매출원가 산출&gt;-선입선출</t>
    <phoneticPr fontId="7" type="noConversion"/>
  </si>
  <si>
    <t>&lt;부가세제외&gt;</t>
    <phoneticPr fontId="7" type="noConversion"/>
  </si>
  <si>
    <t xml:space="preserve"> </t>
    <phoneticPr fontId="13" type="noConversion"/>
  </si>
  <si>
    <t>총매출액</t>
    <phoneticPr fontId="13" type="noConversion"/>
  </si>
  <si>
    <t xml:space="preserve">고급휘발유판매 </t>
    <phoneticPr fontId="13" type="noConversion"/>
  </si>
  <si>
    <t xml:space="preserve">등유판매 </t>
    <phoneticPr fontId="13" type="noConversion"/>
  </si>
  <si>
    <t>1일매출</t>
    <phoneticPr fontId="13" type="noConversion"/>
  </si>
  <si>
    <t>판매수량</t>
    <phoneticPr fontId="7" type="noConversion"/>
  </si>
  <si>
    <t>사입가격</t>
    <phoneticPr fontId="13" type="noConversion"/>
  </si>
  <si>
    <t>금 액</t>
    <phoneticPr fontId="13" type="noConversion"/>
  </si>
  <si>
    <t>판매수량(L)</t>
    <phoneticPr fontId="13" type="noConversion"/>
  </si>
  <si>
    <t>휘발유</t>
    <phoneticPr fontId="13" type="noConversion"/>
  </si>
  <si>
    <t>경유</t>
    <phoneticPr fontId="13" type="noConversion"/>
  </si>
  <si>
    <t>등유</t>
    <phoneticPr fontId="13" type="noConversion"/>
  </si>
  <si>
    <t>월판매 계</t>
    <phoneticPr fontId="13" type="noConversion"/>
  </si>
  <si>
    <t>휘발유판매</t>
    <phoneticPr fontId="13" type="noConversion"/>
  </si>
  <si>
    <t>경유판매</t>
    <phoneticPr fontId="13" type="noConversion"/>
  </si>
  <si>
    <t>매출원가</t>
    <phoneticPr fontId="13" type="noConversion"/>
  </si>
  <si>
    <t>G</t>
    <phoneticPr fontId="7" type="noConversion"/>
  </si>
  <si>
    <t>D</t>
    <phoneticPr fontId="7" type="noConversion"/>
  </si>
  <si>
    <t>K</t>
    <phoneticPr fontId="7" type="noConversion"/>
  </si>
  <si>
    <t>매출이익</t>
    <phoneticPr fontId="13" type="noConversion"/>
  </si>
  <si>
    <t>이익/리터</t>
    <phoneticPr fontId="13" type="noConversion"/>
  </si>
  <si>
    <t>약정량</t>
    <phoneticPr fontId="7" type="noConversion"/>
  </si>
  <si>
    <t>&lt;구도일주유소 새안양 손익현황-19년1-12월&gt;</t>
    <phoneticPr fontId="7" type="noConversion"/>
  </si>
  <si>
    <t>&lt;19년 5월말기준&gt;</t>
    <phoneticPr fontId="7" type="noConversion"/>
  </si>
  <si>
    <t>&lt;19년5월26일현재&gt;</t>
    <phoneticPr fontId="7" type="noConversion"/>
  </si>
  <si>
    <t>19. 5월</t>
    <phoneticPr fontId="7" type="noConversion"/>
  </si>
  <si>
    <t>&lt;매출원가 산출&gt;-선입선출</t>
  </si>
  <si>
    <t>&lt;부가세제외&gt;</t>
  </si>
  <si>
    <t xml:space="preserve"> </t>
  </si>
  <si>
    <t>&lt;부가세포함&gt;</t>
  </si>
  <si>
    <t>총매출액</t>
  </si>
  <si>
    <t xml:space="preserve">고급휘발유판매 </t>
  </si>
  <si>
    <t xml:space="preserve">등유판매 </t>
  </si>
  <si>
    <t>1일매출</t>
  </si>
  <si>
    <t>판매수량</t>
  </si>
  <si>
    <t>사입가격</t>
  </si>
  <si>
    <t>금 액</t>
  </si>
  <si>
    <t>판매수량(L)</t>
  </si>
  <si>
    <t>월판매 계</t>
  </si>
  <si>
    <t>휘발유판매</t>
  </si>
  <si>
    <t>경유판매</t>
  </si>
  <si>
    <t>매출원가</t>
  </si>
  <si>
    <t>매출이익</t>
  </si>
  <si>
    <t>이익/리터</t>
  </si>
  <si>
    <t>단위:리터,원</t>
  </si>
  <si>
    <t>구 분</t>
  </si>
  <si>
    <t>유 종</t>
  </si>
  <si>
    <t>수 량</t>
  </si>
  <si>
    <t>사입단가</t>
  </si>
  <si>
    <t>이월재고</t>
  </si>
  <si>
    <t>소 계</t>
  </si>
  <si>
    <t>계</t>
  </si>
  <si>
    <t>매입일</t>
  </si>
  <si>
    <t>당월매입</t>
  </si>
  <si>
    <t>당월판매</t>
  </si>
  <si>
    <t>당월재고</t>
  </si>
  <si>
    <t>당월재고내역</t>
  </si>
  <si>
    <t>주유소 손익관리 (새안양주유소)</t>
    <phoneticPr fontId="4" type="noConversion"/>
  </si>
  <si>
    <t>&lt;19년5월23일현재&gt;</t>
    <phoneticPr fontId="7" type="noConversion"/>
  </si>
  <si>
    <t>-</t>
    <phoneticPr fontId="7" type="noConversion"/>
  </si>
  <si>
    <t>주유소 손익관리 (내유동주유소)</t>
    <phoneticPr fontId="4" type="noConversion"/>
  </si>
  <si>
    <t>세차누계액 일보 이상</t>
    <phoneticPr fontId="4" type="noConversion"/>
  </si>
  <si>
    <t>오성주유소</t>
    <phoneticPr fontId="13" type="noConversion"/>
  </si>
  <si>
    <t>&lt;19년 4월말기준&gt;</t>
    <phoneticPr fontId="13" type="noConversion"/>
  </si>
  <si>
    <t>&lt;19년5월10일현재&gt;</t>
    <phoneticPr fontId="7" type="noConversion"/>
  </si>
  <si>
    <t>&lt;19년 4월 재고수불 현황&gt; - 19년 4월말 현재</t>
    <phoneticPr fontId="7" type="noConversion"/>
  </si>
  <si>
    <t>*사입단가는 익월10일 확정시  빨간색-&gt;검은색으로 변경</t>
    <phoneticPr fontId="7" type="noConversion"/>
  </si>
  <si>
    <t>주유소 손익관리 (오성주유소)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</si>
</sst>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#,##0_ ;[Red]\-#,##0\ "/>
    <numFmt numFmtId="178" formatCode="#,##0_);[Red]\(#,##0\)"/>
    <numFmt numFmtId="179" formatCode="m&quot;월&quot;\ d&quot;일&quot;;@"/>
    <numFmt numFmtId="180" formatCode="#,##0.00_ "/>
    <numFmt numFmtId="181" formatCode="0.00_);[Red]\(0.00\)"/>
    <numFmt numFmtId="182" formatCode="_-* #,##0.00_-;\-* #,##0.00_-;_-* &quot;-&quot;_-;_-@_-"/>
    <numFmt numFmtId="183" formatCode="_-* #,##0_-;\-* #,##0_-;_-* &quot;-&quot;??_-;_-@_-"/>
    <numFmt numFmtId="184" formatCode="mm&quot;월&quot;\ dd&quot;일&quot;"/>
    <numFmt numFmtId="185" formatCode="_-* #,##0.0_-;\-* #,##0.0_-;_-* &quot;-&quot;?_-;_-@_-"/>
    <numFmt numFmtId="186" formatCode="_-* #,##0_-;\-* #,##0_-;_-* \-_-;_-@_-"/>
    <numFmt numFmtId="187" formatCode="_-* #,##0.00_-;\-* #,##0.00_-;_-* \-_-;_-@_-"/>
    <numFmt numFmtId="188" formatCode="_-* #,##0.0_-;\-* #,##0.0_-;_-* \-?_-;_-@_-"/>
    <numFmt numFmtId="189" formatCode="0.000_);[Red]\(0.000\)"/>
    <numFmt numFmtId="190" formatCode="#,##0.000_ "/>
    <numFmt numFmtId="191" formatCode="_-* #,##0.00_-;\-* #,##0.00_-;_-* \-??_-;_-@_-"/>
    <numFmt numFmtId="192" formatCode="mm&quot;월 &quot;dd&quot;일&quot;"/>
    <numFmt numFmtId="193" formatCode="#,##0.0_ "/>
    <numFmt numFmtId="194" formatCode="_-\₩* #,##0_-;&quot;-₩&quot;* #,##0_-;_-\₩* \-_-;_-@_-"/>
    <numFmt numFmtId="196" formatCode="#,##0.00_);[Red]\(#,##0.00\)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0"/>
      <color indexed="8"/>
      <name val="돋움"/>
      <family val="3"/>
      <charset val="129"/>
    </font>
    <font>
      <sz val="10"/>
      <color indexed="10"/>
      <name val="돋움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rgb="FFFF000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1"/>
      <name val="돋움"/>
      <family val="3"/>
      <charset val="129"/>
    </font>
    <font>
      <sz val="11"/>
      <color indexed="8"/>
      <name val="돋움"/>
      <family val="3"/>
      <charset val="129"/>
    </font>
    <font>
      <sz val="10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sz val="11"/>
      <color theme="1"/>
      <name val="돋움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22"/>
      </patternFill>
    </fill>
    <fill>
      <patternFill patternType="solid">
        <fgColor theme="8" tint="0.79998168889431442"/>
        <bgColor indexed="2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/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 style="thin">
        <color indexed="64"/>
      </bottom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0" borderId="0"/>
    <xf numFmtId="9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86" fontId="8" fillId="0" borderId="0" applyFill="0" applyBorder="0" applyAlignment="0" applyProtection="0"/>
    <xf numFmtId="194" fontId="8" fillId="0" borderId="0" applyFill="0" applyBorder="0" applyAlignment="0" applyProtection="0"/>
  </cellStyleXfs>
  <cellXfs count="690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41" fontId="0" fillId="0" borderId="1" xfId="1" applyFont="1" applyBorder="1" applyAlignment="1">
      <alignment vertical="center"/>
    </xf>
    <xf numFmtId="41" fontId="0" fillId="0" borderId="1" xfId="1" applyFont="1" applyFill="1" applyBorder="1" applyAlignment="1">
      <alignment horizontal="center" vertical="center"/>
    </xf>
    <xf numFmtId="177" fontId="0" fillId="0" borderId="1" xfId="1" applyNumberFormat="1" applyFont="1" applyBorder="1" applyAlignment="1">
      <alignment horizontal="right" vertical="center"/>
    </xf>
    <xf numFmtId="177" fontId="0" fillId="2" borderId="1" xfId="1" applyNumberFormat="1" applyFont="1" applyFill="1" applyBorder="1" applyAlignment="1">
      <alignment horizontal="right" vertical="center"/>
    </xf>
    <xf numFmtId="3" fontId="0" fillId="0" borderId="0" xfId="0" applyNumberFormat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0" fontId="0" fillId="0" borderId="1" xfId="0" applyBorder="1" applyAlignment="1">
      <alignment vertical="center" shrinkToFit="1"/>
    </xf>
    <xf numFmtId="177" fontId="0" fillId="0" borderId="1" xfId="1" applyNumberFormat="1" applyFont="1" applyBorder="1" applyAlignment="1">
      <alignment horizontal="left" vertical="center"/>
    </xf>
    <xf numFmtId="0" fontId="0" fillId="0" borderId="0" xfId="0" applyBorder="1" applyAlignment="1">
      <alignment vertical="center" shrinkToFit="1"/>
    </xf>
    <xf numFmtId="176" fontId="0" fillId="0" borderId="0" xfId="0" applyNumberFormat="1" applyBorder="1">
      <alignment vertical="center"/>
    </xf>
    <xf numFmtId="0" fontId="5" fillId="0" borderId="0" xfId="0" applyFont="1">
      <alignment vertical="center"/>
    </xf>
    <xf numFmtId="0" fontId="0" fillId="3" borderId="1" xfId="0" applyFill="1" applyBorder="1">
      <alignment vertical="center"/>
    </xf>
    <xf numFmtId="178" fontId="0" fillId="3" borderId="1" xfId="0" applyNumberFormat="1" applyFill="1" applyBorder="1">
      <alignment vertical="center"/>
    </xf>
    <xf numFmtId="41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right" vertical="center"/>
    </xf>
    <xf numFmtId="41" fontId="6" fillId="0" borderId="1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79" fontId="0" fillId="0" borderId="1" xfId="1" applyNumberFormat="1" applyFont="1" applyBorder="1" applyAlignment="1">
      <alignment horizontal="center" vertical="center"/>
    </xf>
    <xf numFmtId="41" fontId="0" fillId="4" borderId="1" xfId="1" applyFont="1" applyFill="1" applyBorder="1">
      <alignment vertical="center"/>
    </xf>
    <xf numFmtId="176" fontId="0" fillId="0" borderId="1" xfId="1" applyNumberFormat="1" applyFont="1" applyBorder="1">
      <alignment vertical="center"/>
    </xf>
    <xf numFmtId="178" fontId="0" fillId="0" borderId="1" xfId="1" applyNumberFormat="1" applyFont="1" applyBorder="1">
      <alignment vertical="center"/>
    </xf>
    <xf numFmtId="180" fontId="0" fillId="0" borderId="0" xfId="1" applyNumberFormat="1" applyFont="1">
      <alignment vertical="center"/>
    </xf>
    <xf numFmtId="41" fontId="0" fillId="0" borderId="1" xfId="0" applyNumberFormat="1" applyBorder="1">
      <alignment vertical="center"/>
    </xf>
    <xf numFmtId="176" fontId="0" fillId="0" borderId="4" xfId="0" applyNumberFormat="1" applyBorder="1" applyAlignment="1">
      <alignment vertical="center"/>
    </xf>
    <xf numFmtId="0" fontId="0" fillId="0" borderId="0" xfId="0" applyFill="1" applyBorder="1">
      <alignment vertical="center"/>
    </xf>
    <xf numFmtId="178" fontId="0" fillId="0" borderId="0" xfId="0" applyNumberFormat="1" applyFill="1" applyBorder="1">
      <alignment vertical="center"/>
    </xf>
    <xf numFmtId="41" fontId="0" fillId="0" borderId="4" xfId="1" applyFont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1" fontId="0" fillId="0" borderId="0" xfId="1" applyFont="1" applyFill="1" applyBorder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1" fontId="10" fillId="7" borderId="2" xfId="1" applyFont="1" applyFill="1" applyBorder="1" applyAlignment="1"/>
    <xf numFmtId="181" fontId="10" fillId="7" borderId="2" xfId="1" applyNumberFormat="1" applyFont="1" applyFill="1" applyBorder="1" applyAlignment="1"/>
    <xf numFmtId="41" fontId="11" fillId="7" borderId="14" xfId="1" applyFont="1" applyFill="1" applyBorder="1" applyAlignment="1">
      <alignment vertical="center"/>
    </xf>
    <xf numFmtId="41" fontId="11" fillId="0" borderId="1" xfId="1" applyFont="1" applyBorder="1" applyAlignment="1">
      <alignment vertical="center"/>
    </xf>
    <xf numFmtId="181" fontId="10" fillId="7" borderId="2" xfId="1" applyNumberFormat="1" applyFont="1" applyFill="1" applyBorder="1" applyAlignment="1">
      <alignment vertical="center"/>
    </xf>
    <xf numFmtId="41" fontId="11" fillId="7" borderId="10" xfId="1" applyFont="1" applyFill="1" applyBorder="1" applyAlignment="1">
      <alignment vertical="center"/>
    </xf>
    <xf numFmtId="181" fontId="10" fillId="7" borderId="16" xfId="1" applyNumberFormat="1" applyFont="1" applyFill="1" applyBorder="1" applyAlignment="1">
      <alignment vertical="center"/>
    </xf>
    <xf numFmtId="41" fontId="11" fillId="7" borderId="16" xfId="1" applyFont="1" applyFill="1" applyBorder="1" applyAlignment="1">
      <alignment vertical="center"/>
    </xf>
    <xf numFmtId="41" fontId="11" fillId="7" borderId="17" xfId="1" applyFont="1" applyFill="1" applyBorder="1" applyAlignment="1">
      <alignment vertical="center"/>
    </xf>
    <xf numFmtId="181" fontId="10" fillId="7" borderId="17" xfId="1" applyNumberFormat="1" applyFont="1" applyFill="1" applyBorder="1" applyAlignment="1">
      <alignment vertical="center"/>
    </xf>
    <xf numFmtId="41" fontId="10" fillId="7" borderId="14" xfId="1" applyFont="1" applyFill="1" applyBorder="1" applyAlignment="1"/>
    <xf numFmtId="181" fontId="10" fillId="7" borderId="14" xfId="1" applyNumberFormat="1" applyFont="1" applyFill="1" applyBorder="1" applyAlignment="1"/>
    <xf numFmtId="41" fontId="10" fillId="0" borderId="1" xfId="1" applyFont="1" applyBorder="1" applyAlignment="1"/>
    <xf numFmtId="181" fontId="10" fillId="0" borderId="1" xfId="1" applyNumberFormat="1" applyFont="1" applyBorder="1" applyAlignment="1"/>
    <xf numFmtId="41" fontId="10" fillId="7" borderId="16" xfId="1" applyFont="1" applyFill="1" applyBorder="1" applyAlignment="1"/>
    <xf numFmtId="181" fontId="10" fillId="7" borderId="16" xfId="1" applyNumberFormat="1" applyFont="1" applyFill="1" applyBorder="1" applyAlignment="1"/>
    <xf numFmtId="41" fontId="10" fillId="0" borderId="2" xfId="1" applyFont="1" applyBorder="1" applyAlignment="1"/>
    <xf numFmtId="181" fontId="10" fillId="0" borderId="2" xfId="1" applyNumberFormat="1" applyFont="1" applyBorder="1" applyAlignment="1"/>
    <xf numFmtId="41" fontId="10" fillId="0" borderId="14" xfId="1" applyFont="1" applyBorder="1" applyAlignment="1"/>
    <xf numFmtId="181" fontId="10" fillId="0" borderId="14" xfId="1" applyNumberFormat="1" applyFont="1" applyBorder="1" applyAlignment="1"/>
    <xf numFmtId="0" fontId="10" fillId="0" borderId="2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41" fontId="10" fillId="0" borderId="19" xfId="1" applyFont="1" applyBorder="1" applyAlignment="1"/>
    <xf numFmtId="181" fontId="10" fillId="0" borderId="19" xfId="1" applyNumberFormat="1" applyFont="1" applyBorder="1" applyAlignment="1"/>
    <xf numFmtId="182" fontId="0" fillId="4" borderId="1" xfId="1" applyNumberFormat="1" applyFont="1" applyFill="1" applyBorder="1">
      <alignment vertical="center"/>
    </xf>
    <xf numFmtId="181" fontId="14" fillId="0" borderId="16" xfId="1" applyNumberFormat="1" applyFont="1" applyFill="1" applyBorder="1" applyAlignment="1">
      <alignment vertical="center"/>
    </xf>
    <xf numFmtId="181" fontId="14" fillId="0" borderId="2" xfId="1" applyNumberFormat="1" applyFont="1" applyFill="1" applyBorder="1" applyAlignment="1">
      <alignment vertical="center"/>
    </xf>
    <xf numFmtId="41" fontId="16" fillId="6" borderId="1" xfId="1" applyFont="1" applyFill="1" applyBorder="1">
      <alignment vertical="center"/>
    </xf>
    <xf numFmtId="0" fontId="0" fillId="0" borderId="1" xfId="0" applyBorder="1">
      <alignment vertical="center"/>
    </xf>
    <xf numFmtId="41" fontId="17" fillId="4" borderId="1" xfId="1" applyFont="1" applyFill="1" applyBorder="1">
      <alignment vertical="center"/>
    </xf>
    <xf numFmtId="41" fontId="18" fillId="4" borderId="1" xfId="1" applyFont="1" applyFill="1" applyBorder="1">
      <alignment vertical="center"/>
    </xf>
    <xf numFmtId="41" fontId="11" fillId="0" borderId="1" xfId="1" applyFont="1" applyBorder="1" applyAlignment="1">
      <alignment horizontal="center" vertical="center"/>
    </xf>
    <xf numFmtId="0" fontId="10" fillId="0" borderId="0" xfId="0" applyFont="1" applyAlignment="1"/>
    <xf numFmtId="0" fontId="0" fillId="0" borderId="0" xfId="0" applyAlignment="1"/>
    <xf numFmtId="41" fontId="10" fillId="0" borderId="0" xfId="0" applyNumberFormat="1" applyFont="1" applyAlignment="1"/>
    <xf numFmtId="0" fontId="10" fillId="0" borderId="21" xfId="0" applyFont="1" applyBorder="1" applyAlignment="1">
      <alignment horizontal="center"/>
    </xf>
    <xf numFmtId="41" fontId="11" fillId="0" borderId="2" xfId="1" applyFont="1" applyBorder="1" applyAlignment="1">
      <alignment horizontal="center" vertical="center"/>
    </xf>
    <xf numFmtId="184" fontId="10" fillId="7" borderId="22" xfId="0" applyNumberFormat="1" applyFont="1" applyFill="1" applyBorder="1" applyAlignment="1">
      <alignment horizontal="center"/>
    </xf>
    <xf numFmtId="41" fontId="11" fillId="0" borderId="14" xfId="1" applyFont="1" applyBorder="1" applyAlignment="1">
      <alignment vertical="center"/>
    </xf>
    <xf numFmtId="184" fontId="10" fillId="7" borderId="23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41" fontId="11" fillId="7" borderId="2" xfId="1" applyFont="1" applyFill="1" applyBorder="1" applyAlignment="1">
      <alignment vertical="center"/>
    </xf>
    <xf numFmtId="181" fontId="19" fillId="7" borderId="16" xfId="1" applyNumberFormat="1" applyFont="1" applyFill="1" applyBorder="1" applyAlignment="1">
      <alignment vertical="center"/>
    </xf>
    <xf numFmtId="184" fontId="10" fillId="7" borderId="24" xfId="0" applyNumberFormat="1" applyFont="1" applyFill="1" applyBorder="1" applyAlignment="1">
      <alignment horizontal="center"/>
    </xf>
    <xf numFmtId="41" fontId="10" fillId="0" borderId="0" xfId="1" applyFont="1" applyAlignment="1"/>
    <xf numFmtId="41" fontId="10" fillId="7" borderId="10" xfId="1" applyFont="1" applyFill="1" applyBorder="1" applyAlignment="1"/>
    <xf numFmtId="41" fontId="10" fillId="7" borderId="25" xfId="1" applyFont="1" applyFill="1" applyBorder="1" applyAlignment="1"/>
    <xf numFmtId="184" fontId="10" fillId="7" borderId="26" xfId="0" applyNumberFormat="1" applyFont="1" applyFill="1" applyBorder="1" applyAlignment="1">
      <alignment horizontal="center"/>
    </xf>
    <xf numFmtId="41" fontId="10" fillId="7" borderId="7" xfId="1" applyFont="1" applyFill="1" applyBorder="1" applyAlignment="1"/>
    <xf numFmtId="184" fontId="10" fillId="7" borderId="27" xfId="0" applyNumberFormat="1" applyFont="1" applyFill="1" applyBorder="1" applyAlignment="1">
      <alignment horizontal="center"/>
    </xf>
    <xf numFmtId="184" fontId="10" fillId="0" borderId="22" xfId="0" applyNumberFormat="1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0" xfId="0" applyFont="1" applyAlignment="1">
      <alignment horizontal="center"/>
    </xf>
    <xf numFmtId="41" fontId="10" fillId="7" borderId="29" xfId="1" applyFont="1" applyFill="1" applyBorder="1" applyAlignment="1"/>
    <xf numFmtId="181" fontId="10" fillId="0" borderId="30" xfId="1" applyNumberFormat="1" applyFont="1" applyBorder="1" applyAlignment="1"/>
    <xf numFmtId="0" fontId="10" fillId="0" borderId="31" xfId="0" applyFont="1" applyBorder="1" applyAlignment="1">
      <alignment horizontal="center"/>
    </xf>
    <xf numFmtId="41" fontId="10" fillId="7" borderId="17" xfId="1" applyFont="1" applyFill="1" applyBorder="1" applyAlignment="1"/>
    <xf numFmtId="181" fontId="10" fillId="0" borderId="16" xfId="1" applyNumberFormat="1" applyFont="1" applyBorder="1" applyAlignment="1"/>
    <xf numFmtId="41" fontId="10" fillId="7" borderId="32" xfId="1" applyFont="1" applyFill="1" applyBorder="1" applyAlignment="1"/>
    <xf numFmtId="181" fontId="10" fillId="0" borderId="10" xfId="1" applyNumberFormat="1" applyFont="1" applyBorder="1" applyAlignment="1"/>
    <xf numFmtId="0" fontId="10" fillId="0" borderId="33" xfId="0" applyFont="1" applyBorder="1" applyAlignment="1">
      <alignment horizontal="center"/>
    </xf>
    <xf numFmtId="41" fontId="10" fillId="0" borderId="30" xfId="1" applyFont="1" applyBorder="1" applyAlignment="1"/>
    <xf numFmtId="41" fontId="10" fillId="0" borderId="16" xfId="1" applyFont="1" applyBorder="1" applyAlignment="1"/>
    <xf numFmtId="41" fontId="10" fillId="0" borderId="32" xfId="1" applyFont="1" applyBorder="1" applyAlignment="1"/>
    <xf numFmtId="181" fontId="10" fillId="0" borderId="0" xfId="1" applyNumberFormat="1" applyFont="1" applyAlignment="1"/>
    <xf numFmtId="41" fontId="10" fillId="0" borderId="36" xfId="1" applyFont="1" applyBorder="1" applyAlignment="1"/>
    <xf numFmtId="181" fontId="10" fillId="0" borderId="36" xfId="1" applyNumberFormat="1" applyFont="1" applyBorder="1" applyAlignment="1"/>
    <xf numFmtId="41" fontId="11" fillId="8" borderId="15" xfId="1" applyFont="1" applyFill="1" applyBorder="1" applyAlignment="1">
      <alignment vertical="center"/>
    </xf>
    <xf numFmtId="41" fontId="11" fillId="8" borderId="10" xfId="1" applyFont="1" applyFill="1" applyBorder="1" applyAlignment="1">
      <alignment vertical="center"/>
    </xf>
    <xf numFmtId="41" fontId="11" fillId="8" borderId="16" xfId="1" applyFont="1" applyFill="1" applyBorder="1" applyAlignment="1">
      <alignment vertical="center"/>
    </xf>
    <xf numFmtId="181" fontId="10" fillId="8" borderId="16" xfId="1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1" fontId="5" fillId="0" borderId="1" xfId="1" applyFont="1" applyFill="1" applyBorder="1">
      <alignment vertical="center"/>
    </xf>
    <xf numFmtId="183" fontId="0" fillId="6" borderId="1" xfId="1" applyNumberFormat="1" applyFont="1" applyFill="1" applyBorder="1">
      <alignment vertical="center"/>
    </xf>
    <xf numFmtId="181" fontId="15" fillId="6" borderId="16" xfId="1" applyNumberFormat="1" applyFont="1" applyFill="1" applyBorder="1" applyAlignment="1">
      <alignment vertical="center"/>
    </xf>
    <xf numFmtId="41" fontId="2" fillId="6" borderId="1" xfId="1" applyFont="1" applyFill="1" applyBorder="1">
      <alignment vertical="center"/>
    </xf>
    <xf numFmtId="182" fontId="2" fillId="6" borderId="1" xfId="1" applyNumberFormat="1" applyFont="1" applyFill="1" applyBorder="1">
      <alignment vertical="center"/>
    </xf>
    <xf numFmtId="41" fontId="2" fillId="10" borderId="1" xfId="1" applyFont="1" applyFill="1" applyBorder="1">
      <alignment vertical="center"/>
    </xf>
    <xf numFmtId="182" fontId="2" fillId="10" borderId="1" xfId="1" applyNumberFormat="1" applyFont="1" applyFill="1" applyBorder="1">
      <alignment vertical="center"/>
    </xf>
    <xf numFmtId="41" fontId="0" fillId="0" borderId="1" xfId="1" applyFont="1" applyBorder="1" applyAlignment="1">
      <alignment horizontal="center" vertical="center"/>
    </xf>
    <xf numFmtId="41" fontId="0" fillId="0" borderId="2" xfId="1" applyFont="1" applyFill="1" applyBorder="1">
      <alignment vertical="center"/>
    </xf>
    <xf numFmtId="0" fontId="0" fillId="0" borderId="2" xfId="0" applyFill="1" applyBorder="1">
      <alignment vertical="center"/>
    </xf>
    <xf numFmtId="9" fontId="0" fillId="0" borderId="1" xfId="0" applyNumberFormat="1" applyFill="1" applyBorder="1" applyAlignment="1">
      <alignment horizontal="center" vertical="center"/>
    </xf>
    <xf numFmtId="41" fontId="5" fillId="6" borderId="1" xfId="1" applyFont="1" applyFill="1" applyBorder="1" applyAlignment="1">
      <alignment horizontal="center" vertical="center"/>
    </xf>
    <xf numFmtId="41" fontId="2" fillId="4" borderId="1" xfId="1" applyFont="1" applyFill="1" applyBorder="1">
      <alignment vertical="center"/>
    </xf>
    <xf numFmtId="41" fontId="0" fillId="0" borderId="0" xfId="1" applyFont="1" applyFill="1" applyBorder="1" applyAlignment="1">
      <alignment horizontal="center" vertical="center"/>
    </xf>
    <xf numFmtId="41" fontId="0" fillId="2" borderId="1" xfId="1" applyFont="1" applyFill="1" applyBorder="1">
      <alignment vertical="center"/>
    </xf>
    <xf numFmtId="41" fontId="0" fillId="10" borderId="1" xfId="1" applyFont="1" applyFill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41" fontId="11" fillId="7" borderId="1" xfId="1" applyFont="1" applyFill="1" applyBorder="1" applyAlignment="1">
      <alignment vertical="center"/>
    </xf>
    <xf numFmtId="41" fontId="20" fillId="5" borderId="41" xfId="1" applyFont="1" applyFill="1" applyBorder="1" applyAlignment="1">
      <alignment vertical="center"/>
    </xf>
    <xf numFmtId="0" fontId="11" fillId="0" borderId="11" xfId="0" applyFont="1" applyBorder="1" applyAlignment="1">
      <alignment vertical="center"/>
    </xf>
    <xf numFmtId="41" fontId="11" fillId="0" borderId="11" xfId="1" applyFont="1" applyBorder="1" applyAlignment="1">
      <alignment vertical="center"/>
    </xf>
    <xf numFmtId="41" fontId="11" fillId="5" borderId="7" xfId="1" applyFont="1" applyFill="1" applyBorder="1" applyAlignment="1">
      <alignment vertical="center"/>
    </xf>
    <xf numFmtId="41" fontId="11" fillId="0" borderId="11" xfId="1" applyFont="1" applyBorder="1" applyAlignment="1">
      <alignment horizontal="center" vertical="center"/>
    </xf>
    <xf numFmtId="41" fontId="11" fillId="7" borderId="2" xfId="0" applyNumberFormat="1" applyFont="1" applyFill="1" applyBorder="1" applyAlignment="1">
      <alignment vertical="center"/>
    </xf>
    <xf numFmtId="178" fontId="10" fillId="7" borderId="2" xfId="1" applyNumberFormat="1" applyFont="1" applyFill="1" applyBorder="1" applyAlignment="1">
      <alignment vertical="center"/>
    </xf>
    <xf numFmtId="41" fontId="11" fillId="0" borderId="2" xfId="1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185" fontId="10" fillId="7" borderId="16" xfId="1" applyNumberFormat="1" applyFont="1" applyFill="1" applyBorder="1" applyAlignment="1">
      <alignment vertical="center"/>
    </xf>
    <xf numFmtId="41" fontId="11" fillId="0" borderId="16" xfId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41" fontId="11" fillId="0" borderId="25" xfId="1" applyFont="1" applyBorder="1" applyAlignment="1">
      <alignment vertical="center"/>
    </xf>
    <xf numFmtId="41" fontId="12" fillId="7" borderId="10" xfId="1" applyFont="1" applyFill="1" applyBorder="1" applyAlignment="1">
      <alignment vertical="center"/>
    </xf>
    <xf numFmtId="41" fontId="11" fillId="0" borderId="10" xfId="1" applyFont="1" applyBorder="1" applyAlignment="1">
      <alignment vertical="center"/>
    </xf>
    <xf numFmtId="182" fontId="19" fillId="7" borderId="32" xfId="1" applyNumberFormat="1" applyFont="1" applyFill="1" applyBorder="1" applyAlignment="1">
      <alignment vertical="center"/>
    </xf>
    <xf numFmtId="41" fontId="10" fillId="0" borderId="18" xfId="0" applyNumberFormat="1" applyFont="1" applyBorder="1" applyAlignment="1"/>
    <xf numFmtId="0" fontId="10" fillId="0" borderId="19" xfId="0" applyFont="1" applyBorder="1" applyAlignment="1"/>
    <xf numFmtId="41" fontId="10" fillId="0" borderId="20" xfId="0" applyNumberFormat="1" applyFont="1" applyBorder="1" applyAlignment="1"/>
    <xf numFmtId="0" fontId="11" fillId="0" borderId="7" xfId="0" applyFont="1" applyBorder="1" applyAlignment="1">
      <alignment vertical="center"/>
    </xf>
    <xf numFmtId="41" fontId="11" fillId="0" borderId="7" xfId="1" applyFont="1" applyBorder="1" applyAlignment="1">
      <alignment vertical="center"/>
    </xf>
    <xf numFmtId="41" fontId="20" fillId="5" borderId="42" xfId="1" applyFont="1" applyFill="1" applyBorder="1" applyAlignment="1">
      <alignment vertical="center"/>
    </xf>
    <xf numFmtId="41" fontId="11" fillId="5" borderId="1" xfId="1" applyFont="1" applyFill="1" applyBorder="1" applyAlignment="1">
      <alignment vertical="center"/>
    </xf>
    <xf numFmtId="41" fontId="11" fillId="7" borderId="15" xfId="1" applyFont="1" applyFill="1" applyBorder="1" applyAlignment="1">
      <alignment vertical="center"/>
    </xf>
    <xf numFmtId="41" fontId="11" fillId="0" borderId="15" xfId="1" applyFont="1" applyBorder="1" applyAlignment="1">
      <alignment vertical="center"/>
    </xf>
    <xf numFmtId="41" fontId="10" fillId="7" borderId="16" xfId="1" applyFont="1" applyFill="1" applyBorder="1" applyAlignment="1">
      <alignment vertical="center"/>
    </xf>
    <xf numFmtId="0" fontId="11" fillId="12" borderId="1" xfId="0" applyFont="1" applyFill="1" applyBorder="1" applyAlignment="1">
      <alignment vertical="center"/>
    </xf>
    <xf numFmtId="41" fontId="11" fillId="12" borderId="1" xfId="1" applyFont="1" applyFill="1" applyBorder="1" applyAlignment="1">
      <alignment vertical="center"/>
    </xf>
    <xf numFmtId="41" fontId="11" fillId="0" borderId="0" xfId="1" applyFont="1" applyAlignment="1">
      <alignment vertical="center"/>
    </xf>
    <xf numFmtId="41" fontId="12" fillId="7" borderId="16" xfId="1" applyFont="1" applyFill="1" applyBorder="1" applyAlignment="1">
      <alignment vertical="center"/>
    </xf>
    <xf numFmtId="41" fontId="10" fillId="7" borderId="17" xfId="1" applyFont="1" applyFill="1" applyBorder="1" applyAlignment="1">
      <alignment vertical="center"/>
    </xf>
    <xf numFmtId="181" fontId="19" fillId="7" borderId="17" xfId="1" applyNumberFormat="1" applyFont="1" applyFill="1" applyBorder="1" applyAlignment="1">
      <alignment vertical="center"/>
    </xf>
    <xf numFmtId="41" fontId="12" fillId="7" borderId="17" xfId="1" applyFont="1" applyFill="1" applyBorder="1" applyAlignment="1">
      <alignment vertical="center"/>
    </xf>
    <xf numFmtId="41" fontId="10" fillId="0" borderId="18" xfId="0" applyNumberFormat="1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41" fontId="10" fillId="0" borderId="20" xfId="0" applyNumberFormat="1" applyFont="1" applyBorder="1" applyAlignment="1">
      <alignment vertical="center"/>
    </xf>
    <xf numFmtId="41" fontId="10" fillId="0" borderId="18" xfId="1" applyFont="1" applyBorder="1" applyAlignment="1">
      <alignment vertical="center"/>
    </xf>
    <xf numFmtId="41" fontId="10" fillId="0" borderId="19" xfId="1" applyFont="1" applyBorder="1" applyAlignment="1">
      <alignment vertical="center"/>
    </xf>
    <xf numFmtId="41" fontId="10" fillId="0" borderId="20" xfId="1" applyFont="1" applyBorder="1" applyAlignment="1">
      <alignment vertical="center"/>
    </xf>
    <xf numFmtId="0" fontId="22" fillId="0" borderId="0" xfId="0" applyFont="1" applyAlignment="1">
      <alignment vertical="center"/>
    </xf>
    <xf numFmtId="185" fontId="10" fillId="0" borderId="0" xfId="1" applyNumberFormat="1" applyFont="1" applyAlignment="1"/>
    <xf numFmtId="181" fontId="10" fillId="8" borderId="2" xfId="1" applyNumberFormat="1" applyFont="1" applyFill="1" applyBorder="1" applyAlignment="1">
      <alignment vertical="center"/>
    </xf>
    <xf numFmtId="181" fontId="18" fillId="0" borderId="0" xfId="0" applyNumberFormat="1" applyFont="1" applyAlignment="1"/>
    <xf numFmtId="181" fontId="10" fillId="0" borderId="0" xfId="0" applyNumberFormat="1" applyFont="1" applyAlignment="1">
      <alignment horizontal="center" vertical="center"/>
    </xf>
    <xf numFmtId="181" fontId="10" fillId="0" borderId="0" xfId="4" applyNumberFormat="1" applyFont="1" applyAlignment="1">
      <alignment horizontal="center" vertical="center"/>
    </xf>
    <xf numFmtId="181" fontId="10" fillId="0" borderId="0" xfId="0" applyNumberFormat="1" applyFont="1" applyAlignment="1">
      <alignment vertical="center"/>
    </xf>
    <xf numFmtId="181" fontId="10" fillId="0" borderId="1" xfId="0" applyNumberFormat="1" applyFont="1" applyBorder="1" applyAlignment="1">
      <alignment horizontal="center" vertical="center"/>
    </xf>
    <xf numFmtId="181" fontId="10" fillId="7" borderId="14" xfId="1" applyNumberFormat="1" applyFont="1" applyFill="1" applyBorder="1" applyAlignment="1">
      <alignment vertical="center"/>
    </xf>
    <xf numFmtId="181" fontId="10" fillId="0" borderId="1" xfId="1" applyNumberFormat="1" applyFont="1" applyBorder="1" applyAlignment="1">
      <alignment vertical="center"/>
    </xf>
    <xf numFmtId="181" fontId="10" fillId="0" borderId="14" xfId="1" applyNumberFormat="1" applyFont="1" applyBorder="1" applyAlignment="1">
      <alignment vertical="center"/>
    </xf>
    <xf numFmtId="181" fontId="10" fillId="0" borderId="1" xfId="1" applyNumberFormat="1" applyFont="1" applyBorder="1" applyAlignment="1">
      <alignment horizontal="center" vertical="center"/>
    </xf>
    <xf numFmtId="0" fontId="0" fillId="0" borderId="0" xfId="0" quotePrefix="1" applyAlignment="1"/>
    <xf numFmtId="0" fontId="11" fillId="0" borderId="43" xfId="0" applyFont="1" applyBorder="1" applyAlignment="1">
      <alignment vertical="center"/>
    </xf>
    <xf numFmtId="41" fontId="11" fillId="14" borderId="43" xfId="1" applyFont="1" applyFill="1" applyBorder="1" applyAlignment="1" applyProtection="1">
      <alignment vertical="center"/>
    </xf>
    <xf numFmtId="42" fontId="11" fillId="0" borderId="0" xfId="4" applyFont="1" applyFill="1" applyBorder="1" applyAlignment="1" applyProtection="1">
      <alignment horizontal="center" vertical="center"/>
    </xf>
    <xf numFmtId="41" fontId="11" fillId="0" borderId="43" xfId="1" applyFont="1" applyFill="1" applyBorder="1" applyAlignment="1" applyProtection="1">
      <alignment vertical="center"/>
    </xf>
    <xf numFmtId="41" fontId="20" fillId="15" borderId="44" xfId="1" applyFont="1" applyFill="1" applyBorder="1" applyAlignment="1" applyProtection="1">
      <alignment vertical="center"/>
    </xf>
    <xf numFmtId="0" fontId="11" fillId="0" borderId="45" xfId="0" applyFont="1" applyBorder="1" applyAlignment="1">
      <alignment vertical="center"/>
    </xf>
    <xf numFmtId="41" fontId="11" fillId="0" borderId="45" xfId="1" applyFont="1" applyFill="1" applyBorder="1" applyAlignment="1" applyProtection="1">
      <alignment vertical="center"/>
    </xf>
    <xf numFmtId="41" fontId="11" fillId="15" borderId="46" xfId="1" applyFont="1" applyFill="1" applyBorder="1" applyAlignment="1" applyProtection="1">
      <alignment vertical="center"/>
    </xf>
    <xf numFmtId="0" fontId="11" fillId="0" borderId="43" xfId="0" applyFont="1" applyBorder="1" applyAlignment="1">
      <alignment horizontal="center" vertical="center"/>
    </xf>
    <xf numFmtId="41" fontId="11" fillId="0" borderId="45" xfId="1" applyFont="1" applyFill="1" applyBorder="1" applyAlignment="1" applyProtection="1">
      <alignment horizontal="center" vertical="center"/>
    </xf>
    <xf numFmtId="186" fontId="11" fillId="14" borderId="47" xfId="0" applyNumberFormat="1" applyFont="1" applyFill="1" applyBorder="1" applyAlignment="1">
      <alignment vertical="center"/>
    </xf>
    <xf numFmtId="178" fontId="10" fillId="14" borderId="47" xfId="1" applyNumberFormat="1" applyFont="1" applyFill="1" applyBorder="1" applyAlignment="1" applyProtection="1">
      <alignment vertical="center"/>
    </xf>
    <xf numFmtId="41" fontId="11" fillId="0" borderId="47" xfId="1" applyFont="1" applyFill="1" applyBorder="1" applyAlignment="1" applyProtection="1">
      <alignment vertical="center"/>
    </xf>
    <xf numFmtId="187" fontId="12" fillId="14" borderId="47" xfId="1" applyNumberFormat="1" applyFont="1" applyFill="1" applyBorder="1" applyAlignment="1" applyProtection="1">
      <alignment vertical="center"/>
    </xf>
    <xf numFmtId="0" fontId="11" fillId="0" borderId="47" xfId="0" applyFont="1" applyBorder="1" applyAlignment="1">
      <alignment vertical="center"/>
    </xf>
    <xf numFmtId="41" fontId="11" fillId="0" borderId="47" xfId="1" applyFont="1" applyFill="1" applyBorder="1" applyAlignment="1" applyProtection="1">
      <alignment horizontal="center" vertical="center"/>
    </xf>
    <xf numFmtId="41" fontId="11" fillId="14" borderId="48" xfId="1" applyFont="1" applyFill="1" applyBorder="1" applyAlignment="1" applyProtection="1">
      <alignment vertical="center"/>
    </xf>
    <xf numFmtId="188" fontId="10" fillId="14" borderId="48" xfId="1" applyNumberFormat="1" applyFont="1" applyFill="1" applyBorder="1" applyAlignment="1" applyProtection="1">
      <alignment vertical="center"/>
    </xf>
    <xf numFmtId="41" fontId="11" fillId="0" borderId="48" xfId="1" applyFont="1" applyFill="1" applyBorder="1" applyAlignment="1" applyProtection="1">
      <alignment vertical="center"/>
    </xf>
    <xf numFmtId="41" fontId="12" fillId="14" borderId="48" xfId="1" applyFont="1" applyFill="1" applyBorder="1" applyAlignment="1" applyProtection="1">
      <alignment vertical="center"/>
    </xf>
    <xf numFmtId="41" fontId="11" fillId="14" borderId="49" xfId="1" applyFont="1" applyFill="1" applyBorder="1" applyAlignment="1" applyProtection="1">
      <alignment vertical="center"/>
    </xf>
    <xf numFmtId="41" fontId="12" fillId="14" borderId="49" xfId="1" applyFont="1" applyFill="1" applyBorder="1" applyAlignment="1" applyProtection="1">
      <alignment vertical="center"/>
    </xf>
    <xf numFmtId="41" fontId="11" fillId="0" borderId="49" xfId="1" applyFont="1" applyFill="1" applyBorder="1" applyAlignment="1" applyProtection="1">
      <alignment vertical="center"/>
    </xf>
    <xf numFmtId="186" fontId="10" fillId="0" borderId="50" xfId="0" applyNumberFormat="1" applyFont="1" applyBorder="1" applyAlignment="1"/>
    <xf numFmtId="0" fontId="10" fillId="0" borderId="51" xfId="0" applyFont="1" applyBorder="1" applyAlignment="1"/>
    <xf numFmtId="186" fontId="10" fillId="0" borderId="52" xfId="0" applyNumberFormat="1" applyFont="1" applyBorder="1" applyAlignment="1"/>
    <xf numFmtId="0" fontId="11" fillId="0" borderId="46" xfId="0" applyFont="1" applyBorder="1" applyAlignment="1">
      <alignment vertical="center"/>
    </xf>
    <xf numFmtId="41" fontId="11" fillId="0" borderId="46" xfId="1" applyFont="1" applyFill="1" applyBorder="1" applyAlignment="1" applyProtection="1">
      <alignment vertical="center"/>
    </xf>
    <xf numFmtId="41" fontId="20" fillId="15" borderId="53" xfId="1" applyFont="1" applyFill="1" applyBorder="1" applyAlignment="1" applyProtection="1">
      <alignment vertical="center"/>
    </xf>
    <xf numFmtId="41" fontId="11" fillId="15" borderId="43" xfId="1" applyFont="1" applyFill="1" applyBorder="1" applyAlignment="1" applyProtection="1">
      <alignment vertical="center"/>
    </xf>
    <xf numFmtId="41" fontId="11" fillId="14" borderId="54" xfId="1" applyFont="1" applyFill="1" applyBorder="1" applyAlignment="1" applyProtection="1">
      <alignment vertical="center"/>
    </xf>
    <xf numFmtId="189" fontId="10" fillId="14" borderId="48" xfId="1" applyNumberFormat="1" applyFont="1" applyFill="1" applyBorder="1" applyAlignment="1" applyProtection="1">
      <alignment vertical="center"/>
    </xf>
    <xf numFmtId="189" fontId="10" fillId="14" borderId="48" xfId="1" applyNumberFormat="1" applyFont="1" applyFill="1" applyBorder="1" applyAlignment="1" applyProtection="1"/>
    <xf numFmtId="41" fontId="11" fillId="0" borderId="54" xfId="1" applyFont="1" applyFill="1" applyBorder="1" applyAlignment="1" applyProtection="1">
      <alignment vertical="center"/>
    </xf>
    <xf numFmtId="189" fontId="19" fillId="14" borderId="48" xfId="1" applyNumberFormat="1" applyFont="1" applyFill="1" applyBorder="1" applyAlignment="1" applyProtection="1">
      <alignment vertical="center"/>
    </xf>
    <xf numFmtId="41" fontId="10" fillId="14" borderId="48" xfId="1" applyFont="1" applyFill="1" applyBorder="1" applyAlignment="1" applyProtection="1">
      <alignment vertical="center"/>
    </xf>
    <xf numFmtId="189" fontId="19" fillId="14" borderId="48" xfId="1" applyNumberFormat="1" applyFont="1" applyFill="1" applyBorder="1" applyAlignment="1" applyProtection="1"/>
    <xf numFmtId="0" fontId="11" fillId="13" borderId="43" xfId="0" applyFont="1" applyFill="1" applyBorder="1" applyAlignment="1">
      <alignment vertical="center"/>
    </xf>
    <xf numFmtId="41" fontId="11" fillId="13" borderId="43" xfId="1" applyFont="1" applyFill="1" applyBorder="1" applyAlignment="1" applyProtection="1">
      <alignment vertical="center"/>
    </xf>
    <xf numFmtId="41" fontId="11" fillId="0" borderId="0" xfId="1" applyFont="1" applyFill="1" applyBorder="1" applyAlignment="1" applyProtection="1">
      <alignment vertical="center"/>
    </xf>
    <xf numFmtId="41" fontId="11" fillId="14" borderId="55" xfId="1" applyFont="1" applyFill="1" applyBorder="1" applyAlignment="1" applyProtection="1">
      <alignment vertical="center"/>
    </xf>
    <xf numFmtId="189" fontId="10" fillId="14" borderId="55" xfId="1" applyNumberFormat="1" applyFont="1" applyFill="1" applyBorder="1" applyAlignment="1" applyProtection="1">
      <alignment vertical="center"/>
    </xf>
    <xf numFmtId="41" fontId="10" fillId="14" borderId="55" xfId="1" applyFont="1" applyFill="1" applyBorder="1" applyAlignment="1" applyProtection="1">
      <alignment vertical="center"/>
    </xf>
    <xf numFmtId="189" fontId="19" fillId="14" borderId="55" xfId="1" applyNumberFormat="1" applyFont="1" applyFill="1" applyBorder="1" applyAlignment="1" applyProtection="1">
      <alignment vertical="center"/>
    </xf>
    <xf numFmtId="189" fontId="12" fillId="14" borderId="55" xfId="1" applyNumberFormat="1" applyFont="1" applyFill="1" applyBorder="1" applyAlignment="1" applyProtection="1">
      <alignment vertical="center"/>
    </xf>
    <xf numFmtId="41" fontId="11" fillId="0" borderId="55" xfId="1" applyFont="1" applyFill="1" applyBorder="1" applyAlignment="1" applyProtection="1">
      <alignment vertical="center"/>
    </xf>
    <xf numFmtId="189" fontId="12" fillId="14" borderId="48" xfId="1" applyNumberFormat="1" applyFont="1" applyFill="1" applyBorder="1" applyAlignment="1" applyProtection="1">
      <alignment vertical="center"/>
    </xf>
    <xf numFmtId="41" fontId="10" fillId="14" borderId="56" xfId="1" applyFont="1" applyFill="1" applyBorder="1" applyAlignment="1" applyProtection="1">
      <alignment vertical="center"/>
    </xf>
    <xf numFmtId="189" fontId="10" fillId="14" borderId="56" xfId="1" applyNumberFormat="1" applyFont="1" applyFill="1" applyBorder="1" applyAlignment="1" applyProtection="1">
      <alignment vertical="center"/>
    </xf>
    <xf numFmtId="41" fontId="11" fillId="14" borderId="56" xfId="1" applyFont="1" applyFill="1" applyBorder="1" applyAlignment="1" applyProtection="1">
      <alignment vertical="center"/>
    </xf>
    <xf numFmtId="189" fontId="12" fillId="14" borderId="56" xfId="1" applyNumberFormat="1" applyFont="1" applyFill="1" applyBorder="1" applyAlignment="1" applyProtection="1">
      <alignment vertical="center"/>
    </xf>
    <xf numFmtId="186" fontId="10" fillId="0" borderId="50" xfId="0" applyNumberFormat="1" applyFont="1" applyBorder="1" applyAlignment="1">
      <alignment vertical="center"/>
    </xf>
    <xf numFmtId="0" fontId="11" fillId="0" borderId="51" xfId="0" applyFont="1" applyBorder="1" applyAlignment="1">
      <alignment vertical="center"/>
    </xf>
    <xf numFmtId="186" fontId="10" fillId="0" borderId="52" xfId="0" applyNumberFormat="1" applyFont="1" applyBorder="1" applyAlignment="1">
      <alignment vertical="center"/>
    </xf>
    <xf numFmtId="41" fontId="10" fillId="0" borderId="50" xfId="1" applyFont="1" applyFill="1" applyBorder="1" applyAlignment="1" applyProtection="1">
      <alignment vertical="center"/>
    </xf>
    <xf numFmtId="41" fontId="10" fillId="0" borderId="51" xfId="1" applyFont="1" applyFill="1" applyBorder="1" applyAlignment="1" applyProtection="1">
      <alignment vertical="center"/>
    </xf>
    <xf numFmtId="41" fontId="10" fillId="0" borderId="52" xfId="1" applyFont="1" applyFill="1" applyBorder="1" applyAlignment="1" applyProtection="1">
      <alignment vertical="center"/>
    </xf>
    <xf numFmtId="186" fontId="0" fillId="0" borderId="0" xfId="0" applyNumberFormat="1" applyAlignment="1"/>
    <xf numFmtId="0" fontId="10" fillId="0" borderId="43" xfId="0" applyFont="1" applyBorder="1" applyAlignment="1">
      <alignment horizontal="center" vertical="center"/>
    </xf>
    <xf numFmtId="41" fontId="10" fillId="14" borderId="47" xfId="1" applyFont="1" applyFill="1" applyBorder="1" applyAlignment="1" applyProtection="1"/>
    <xf numFmtId="187" fontId="10" fillId="14" borderId="47" xfId="1" applyNumberFormat="1" applyFont="1" applyFill="1" applyBorder="1" applyAlignment="1" applyProtection="1"/>
    <xf numFmtId="41" fontId="11" fillId="14" borderId="57" xfId="1" applyFont="1" applyFill="1" applyBorder="1" applyAlignment="1" applyProtection="1">
      <alignment vertical="center"/>
    </xf>
    <xf numFmtId="190" fontId="10" fillId="14" borderId="48" xfId="1" applyNumberFormat="1" applyFont="1" applyFill="1" applyBorder="1" applyAlignment="1" applyProtection="1">
      <alignment vertical="center"/>
    </xf>
    <xf numFmtId="191" fontId="10" fillId="14" borderId="48" xfId="1" applyNumberFormat="1" applyFont="1" applyFill="1" applyBorder="1" applyAlignment="1" applyProtection="1">
      <alignment vertical="center"/>
    </xf>
    <xf numFmtId="41" fontId="10" fillId="14" borderId="57" xfId="1" applyFont="1" applyFill="1" applyBorder="1" applyAlignment="1" applyProtection="1"/>
    <xf numFmtId="191" fontId="11" fillId="14" borderId="49" xfId="1" applyNumberFormat="1" applyFont="1" applyFill="1" applyBorder="1" applyAlignment="1" applyProtection="1">
      <alignment vertical="center"/>
    </xf>
    <xf numFmtId="41" fontId="10" fillId="0" borderId="43" xfId="1" applyFont="1" applyFill="1" applyBorder="1" applyAlignment="1" applyProtection="1"/>
    <xf numFmtId="41" fontId="10" fillId="14" borderId="48" xfId="1" applyFont="1" applyFill="1" applyBorder="1" applyAlignment="1" applyProtection="1"/>
    <xf numFmtId="190" fontId="10" fillId="14" borderId="48" xfId="1" applyNumberFormat="1" applyFont="1" applyFill="1" applyBorder="1" applyAlignment="1" applyProtection="1"/>
    <xf numFmtId="41" fontId="10" fillId="14" borderId="49" xfId="1" applyFont="1" applyFill="1" applyBorder="1" applyAlignment="1" applyProtection="1"/>
    <xf numFmtId="0" fontId="10" fillId="0" borderId="47" xfId="0" applyFont="1" applyBorder="1" applyAlignment="1">
      <alignment horizontal="center" vertical="center"/>
    </xf>
    <xf numFmtId="41" fontId="10" fillId="0" borderId="47" xfId="1" applyFont="1" applyFill="1" applyBorder="1" applyAlignment="1" applyProtection="1"/>
    <xf numFmtId="0" fontId="0" fillId="0" borderId="50" xfId="0" applyFont="1" applyBorder="1" applyAlignment="1">
      <alignment horizontal="center"/>
    </xf>
    <xf numFmtId="41" fontId="10" fillId="0" borderId="51" xfId="1" applyFont="1" applyFill="1" applyBorder="1" applyAlignment="1" applyProtection="1"/>
    <xf numFmtId="0" fontId="10" fillId="0" borderId="58" xfId="0" applyFont="1" applyBorder="1" applyAlignment="1">
      <alignment horizontal="center"/>
    </xf>
    <xf numFmtId="188" fontId="10" fillId="14" borderId="47" xfId="1" applyNumberFormat="1" applyFont="1" applyFill="1" applyBorder="1" applyAlignment="1" applyProtection="1"/>
    <xf numFmtId="192" fontId="10" fillId="14" borderId="59" xfId="0" applyNumberFormat="1" applyFont="1" applyFill="1" applyBorder="1" applyAlignment="1">
      <alignment horizontal="center"/>
    </xf>
    <xf numFmtId="41" fontId="11" fillId="0" borderId="57" xfId="1" applyFont="1" applyFill="1" applyBorder="1" applyAlignment="1" applyProtection="1">
      <alignment vertical="center"/>
    </xf>
    <xf numFmtId="192" fontId="10" fillId="14" borderId="61" xfId="0" applyNumberFormat="1" applyFont="1" applyFill="1" applyBorder="1" applyAlignment="1">
      <alignment horizontal="center"/>
    </xf>
    <xf numFmtId="0" fontId="10" fillId="0" borderId="62" xfId="0" applyFont="1" applyBorder="1" applyAlignment="1">
      <alignment horizontal="center"/>
    </xf>
    <xf numFmtId="181" fontId="19" fillId="14" borderId="47" xfId="1" applyNumberFormat="1" applyFont="1" applyFill="1" applyBorder="1" applyAlignment="1" applyProtection="1">
      <alignment vertical="center"/>
    </xf>
    <xf numFmtId="181" fontId="19" fillId="14" borderId="48" xfId="1" applyNumberFormat="1" applyFont="1" applyFill="1" applyBorder="1" applyAlignment="1" applyProtection="1">
      <alignment vertical="center"/>
    </xf>
    <xf numFmtId="192" fontId="10" fillId="14" borderId="63" xfId="0" applyNumberFormat="1" applyFont="1" applyFill="1" applyBorder="1" applyAlignment="1">
      <alignment horizontal="center"/>
    </xf>
    <xf numFmtId="0" fontId="0" fillId="0" borderId="0" xfId="0" applyFill="1" applyAlignment="1"/>
    <xf numFmtId="181" fontId="10" fillId="14" borderId="48" xfId="1" applyNumberFormat="1" applyFont="1" applyFill="1" applyBorder="1" applyAlignment="1" applyProtection="1">
      <alignment vertical="center"/>
    </xf>
    <xf numFmtId="184" fontId="10" fillId="14" borderId="63" xfId="0" applyNumberFormat="1" applyFont="1" applyFill="1" applyBorder="1" applyAlignment="1">
      <alignment horizontal="center"/>
    </xf>
    <xf numFmtId="180" fontId="10" fillId="14" borderId="48" xfId="1" applyNumberFormat="1" applyFont="1" applyFill="1" applyBorder="1" applyAlignment="1" applyProtection="1"/>
    <xf numFmtId="41" fontId="10" fillId="14" borderId="46" xfId="1" applyFont="1" applyFill="1" applyBorder="1" applyAlignment="1" applyProtection="1"/>
    <xf numFmtId="0" fontId="10" fillId="14" borderId="61" xfId="0" applyFont="1" applyFill="1" applyBorder="1" applyAlignment="1">
      <alignment horizontal="center"/>
    </xf>
    <xf numFmtId="0" fontId="10" fillId="0" borderId="60" xfId="0" applyFont="1" applyBorder="1" applyAlignment="1">
      <alignment horizontal="center" vertical="center"/>
    </xf>
    <xf numFmtId="41" fontId="10" fillId="0" borderId="60" xfId="1" applyFont="1" applyFill="1" applyBorder="1" applyAlignment="1" applyProtection="1"/>
    <xf numFmtId="41" fontId="10" fillId="14" borderId="64" xfId="1" applyFont="1" applyFill="1" applyBorder="1" applyAlignment="1" applyProtection="1"/>
    <xf numFmtId="180" fontId="19" fillId="14" borderId="64" xfId="1" applyNumberFormat="1" applyFont="1" applyFill="1" applyBorder="1" applyAlignment="1" applyProtection="1"/>
    <xf numFmtId="180" fontId="19" fillId="14" borderId="48" xfId="1" applyNumberFormat="1" applyFont="1" applyFill="1" applyBorder="1" applyAlignment="1" applyProtection="1"/>
    <xf numFmtId="180" fontId="19" fillId="14" borderId="55" xfId="1" applyNumberFormat="1" applyFont="1" applyFill="1" applyBorder="1" applyAlignment="1" applyProtection="1"/>
    <xf numFmtId="180" fontId="19" fillId="14" borderId="57" xfId="1" applyNumberFormat="1" applyFont="1" applyFill="1" applyBorder="1" applyAlignment="1" applyProtection="1"/>
    <xf numFmtId="192" fontId="10" fillId="14" borderId="69" xfId="0" applyNumberFormat="1" applyFont="1" applyFill="1" applyBorder="1" applyAlignment="1">
      <alignment horizontal="center"/>
    </xf>
    <xf numFmtId="41" fontId="10" fillId="0" borderId="64" xfId="1" applyFont="1" applyFill="1" applyBorder="1" applyAlignment="1" applyProtection="1"/>
    <xf numFmtId="0" fontId="10" fillId="0" borderId="59" xfId="0" applyFont="1" applyBorder="1" applyAlignment="1">
      <alignment horizontal="center"/>
    </xf>
    <xf numFmtId="41" fontId="10" fillId="0" borderId="57" xfId="1" applyFont="1" applyFill="1" applyBorder="1" applyAlignment="1" applyProtection="1"/>
    <xf numFmtId="0" fontId="10" fillId="0" borderId="61" xfId="0" applyFont="1" applyBorder="1" applyAlignment="1">
      <alignment horizontal="center"/>
    </xf>
    <xf numFmtId="0" fontId="10" fillId="0" borderId="64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/>
    </xf>
    <xf numFmtId="41" fontId="10" fillId="14" borderId="71" xfId="1" applyFont="1" applyFill="1" applyBorder="1" applyAlignment="1" applyProtection="1"/>
    <xf numFmtId="41" fontId="10" fillId="0" borderId="72" xfId="1" applyFont="1" applyFill="1" applyBorder="1" applyAlignment="1" applyProtection="1"/>
    <xf numFmtId="0" fontId="10" fillId="0" borderId="65" xfId="0" applyFont="1" applyBorder="1" applyAlignment="1">
      <alignment horizontal="center"/>
    </xf>
    <xf numFmtId="41" fontId="10" fillId="14" borderId="55" xfId="1" applyFont="1" applyFill="1" applyBorder="1" applyAlignment="1" applyProtection="1"/>
    <xf numFmtId="41" fontId="10" fillId="0" borderId="48" xfId="1" applyFont="1" applyFill="1" applyBorder="1" applyAlignment="1" applyProtection="1"/>
    <xf numFmtId="41" fontId="10" fillId="14" borderId="73" xfId="1" applyFont="1" applyFill="1" applyBorder="1" applyAlignment="1" applyProtection="1"/>
    <xf numFmtId="41" fontId="10" fillId="0" borderId="49" xfId="1" applyFont="1" applyFill="1" applyBorder="1" applyAlignment="1" applyProtection="1"/>
    <xf numFmtId="0" fontId="10" fillId="0" borderId="74" xfId="0" applyFont="1" applyBorder="1" applyAlignment="1">
      <alignment horizontal="center"/>
    </xf>
    <xf numFmtId="41" fontId="10" fillId="0" borderId="73" xfId="1" applyFont="1" applyFill="1" applyBorder="1" applyAlignment="1" applyProtection="1"/>
    <xf numFmtId="41" fontId="10" fillId="0" borderId="0" xfId="1" applyFont="1" applyFill="1" applyBorder="1" applyAlignment="1" applyProtection="1"/>
    <xf numFmtId="0" fontId="11" fillId="0" borderId="60" xfId="0" applyFont="1" applyBorder="1" applyAlignment="1">
      <alignment horizontal="center" vertical="center"/>
    </xf>
    <xf numFmtId="41" fontId="11" fillId="0" borderId="60" xfId="1" applyFont="1" applyFill="1" applyBorder="1" applyAlignment="1" applyProtection="1">
      <alignment horizontal="center" vertical="center"/>
    </xf>
    <xf numFmtId="193" fontId="10" fillId="14" borderId="64" xfId="1" applyNumberFormat="1" applyFont="1" applyFill="1" applyBorder="1" applyAlignment="1" applyProtection="1"/>
    <xf numFmtId="193" fontId="11" fillId="0" borderId="57" xfId="1" applyNumberFormat="1" applyFont="1" applyFill="1" applyBorder="1" applyAlignment="1" applyProtection="1">
      <alignment vertical="center"/>
    </xf>
    <xf numFmtId="41" fontId="11" fillId="0" borderId="60" xfId="1" applyFont="1" applyFill="1" applyBorder="1" applyAlignment="1" applyProtection="1">
      <alignment vertical="center"/>
    </xf>
    <xf numFmtId="193" fontId="11" fillId="0" borderId="60" xfId="1" applyNumberFormat="1" applyFont="1" applyFill="1" applyBorder="1" applyAlignment="1" applyProtection="1">
      <alignment vertical="center"/>
    </xf>
    <xf numFmtId="180" fontId="10" fillId="14" borderId="48" xfId="1" applyNumberFormat="1" applyFont="1" applyFill="1" applyBorder="1" applyAlignment="1" applyProtection="1">
      <alignment vertical="center"/>
    </xf>
    <xf numFmtId="181" fontId="11" fillId="14" borderId="48" xfId="1" applyNumberFormat="1" applyFont="1" applyFill="1" applyBorder="1" applyAlignment="1" applyProtection="1">
      <alignment vertical="center"/>
    </xf>
    <xf numFmtId="193" fontId="10" fillId="0" borderId="60" xfId="1" applyNumberFormat="1" applyFont="1" applyFill="1" applyBorder="1" applyAlignment="1" applyProtection="1"/>
    <xf numFmtId="180" fontId="10" fillId="14" borderId="57" xfId="1" applyNumberFormat="1" applyFont="1" applyFill="1" applyBorder="1" applyAlignment="1" applyProtection="1"/>
    <xf numFmtId="41" fontId="11" fillId="16" borderId="48" xfId="1" applyFont="1" applyFill="1" applyBorder="1" applyAlignment="1" applyProtection="1">
      <alignment vertical="center"/>
    </xf>
    <xf numFmtId="41" fontId="0" fillId="9" borderId="1" xfId="1" applyFont="1" applyFill="1" applyBorder="1">
      <alignment vertical="center"/>
    </xf>
    <xf numFmtId="41" fontId="0" fillId="0" borderId="13" xfId="3" applyFont="1" applyFill="1" applyBorder="1" applyAlignment="1">
      <alignment vertical="center"/>
    </xf>
    <xf numFmtId="181" fontId="15" fillId="0" borderId="2" xfId="1" applyNumberFormat="1" applyFont="1" applyFill="1" applyBorder="1" applyAlignment="1">
      <alignment vertical="center"/>
    </xf>
    <xf numFmtId="41" fontId="23" fillId="16" borderId="47" xfId="1" applyFont="1" applyFill="1" applyBorder="1" applyAlignment="1" applyProtection="1">
      <alignment vertical="center"/>
    </xf>
    <xf numFmtId="41" fontId="23" fillId="16" borderId="48" xfId="1" applyFont="1" applyFill="1" applyBorder="1" applyAlignment="1" applyProtection="1">
      <alignment vertical="center"/>
    </xf>
    <xf numFmtId="41" fontId="10" fillId="16" borderId="48" xfId="1" applyFont="1" applyFill="1" applyBorder="1" applyAlignment="1" applyProtection="1">
      <alignment vertical="center"/>
    </xf>
    <xf numFmtId="181" fontId="15" fillId="0" borderId="16" xfId="1" applyNumberFormat="1" applyFont="1" applyFill="1" applyBorder="1" applyAlignment="1">
      <alignment vertical="center"/>
    </xf>
    <xf numFmtId="182" fontId="18" fillId="0" borderId="1" xfId="1" applyNumberFormat="1" applyFont="1" applyFill="1" applyBorder="1">
      <alignment vertical="center"/>
    </xf>
    <xf numFmtId="182" fontId="0" fillId="0" borderId="1" xfId="1" applyNumberFormat="1" applyFont="1" applyFill="1" applyBorder="1">
      <alignment vertical="center"/>
    </xf>
    <xf numFmtId="182" fontId="18" fillId="10" borderId="1" xfId="1" applyNumberFormat="1" applyFont="1" applyFill="1" applyBorder="1">
      <alignment vertical="center"/>
    </xf>
    <xf numFmtId="41" fontId="10" fillId="17" borderId="48" xfId="1" applyFont="1" applyFill="1" applyBorder="1" applyAlignment="1" applyProtection="1"/>
    <xf numFmtId="41" fontId="10" fillId="17" borderId="49" xfId="1" applyFont="1" applyFill="1" applyBorder="1" applyAlignment="1" applyProtection="1"/>
    <xf numFmtId="41" fontId="10" fillId="17" borderId="57" xfId="1" applyFont="1" applyFill="1" applyBorder="1" applyAlignment="1" applyProtection="1"/>
    <xf numFmtId="41" fontId="10" fillId="17" borderId="64" xfId="1" applyFont="1" applyFill="1" applyBorder="1" applyAlignment="1" applyProtection="1"/>
    <xf numFmtId="41" fontId="0" fillId="4" borderId="76" xfId="1" applyFont="1" applyFill="1" applyBorder="1">
      <alignment vertical="center"/>
    </xf>
    <xf numFmtId="41" fontId="0" fillId="4" borderId="77" xfId="1" applyFont="1" applyFill="1" applyBorder="1">
      <alignment vertical="center"/>
    </xf>
    <xf numFmtId="41" fontId="0" fillId="0" borderId="1" xfId="1" applyFont="1" applyBorder="1" applyAlignment="1">
      <alignment horizontal="center" vertical="center"/>
    </xf>
    <xf numFmtId="0" fontId="11" fillId="0" borderId="60" xfId="0" applyFont="1" applyBorder="1" applyAlignment="1">
      <alignment vertical="center"/>
    </xf>
    <xf numFmtId="186" fontId="11" fillId="14" borderId="64" xfId="0" applyNumberFormat="1" applyFont="1" applyFill="1" applyBorder="1" applyAlignment="1">
      <alignment vertical="center"/>
    </xf>
    <xf numFmtId="0" fontId="11" fillId="0" borderId="64" xfId="0" applyFont="1" applyBorder="1" applyAlignment="1">
      <alignment vertical="center"/>
    </xf>
    <xf numFmtId="0" fontId="11" fillId="13" borderId="60" xfId="0" applyFont="1" applyFill="1" applyBorder="1" applyAlignment="1">
      <alignment vertical="center"/>
    </xf>
    <xf numFmtId="0" fontId="0" fillId="0" borderId="50" xfId="0" applyBorder="1" applyAlignment="1">
      <alignment horizontal="center"/>
    </xf>
    <xf numFmtId="184" fontId="10" fillId="0" borderId="59" xfId="0" applyNumberFormat="1" applyFont="1" applyBorder="1" applyAlignment="1">
      <alignment horizontal="center"/>
    </xf>
    <xf numFmtId="186" fontId="11" fillId="14" borderId="60" xfId="11" applyFont="1" applyFill="1" applyBorder="1" applyAlignment="1">
      <alignment vertical="center"/>
    </xf>
    <xf numFmtId="194" fontId="11" fillId="0" borderId="0" xfId="12" applyFont="1" applyAlignment="1">
      <alignment horizontal="center" vertical="center"/>
    </xf>
    <xf numFmtId="43" fontId="11" fillId="0" borderId="60" xfId="11" applyNumberFormat="1" applyFont="1" applyBorder="1" applyAlignment="1">
      <alignment vertical="center"/>
    </xf>
    <xf numFmtId="186" fontId="20" fillId="15" borderId="44" xfId="11" applyFont="1" applyFill="1" applyBorder="1" applyAlignment="1">
      <alignment vertical="center"/>
    </xf>
    <xf numFmtId="186" fontId="11" fillId="0" borderId="45" xfId="11" applyFont="1" applyBorder="1" applyAlignment="1">
      <alignment vertical="center"/>
    </xf>
    <xf numFmtId="186" fontId="11" fillId="15" borderId="46" xfId="11" applyFont="1" applyFill="1" applyBorder="1" applyAlignment="1">
      <alignment vertical="center"/>
    </xf>
    <xf numFmtId="186" fontId="11" fillId="0" borderId="45" xfId="11" applyFont="1" applyBorder="1" applyAlignment="1">
      <alignment horizontal="center" vertical="center"/>
    </xf>
    <xf numFmtId="178" fontId="10" fillId="14" borderId="64" xfId="11" applyNumberFormat="1" applyFont="1" applyFill="1" applyBorder="1" applyAlignment="1">
      <alignment vertical="center"/>
    </xf>
    <xf numFmtId="186" fontId="11" fillId="0" borderId="64" xfId="11" applyFont="1" applyBorder="1" applyAlignment="1">
      <alignment vertical="center"/>
    </xf>
    <xf numFmtId="187" fontId="10" fillId="14" borderId="64" xfId="11" applyNumberFormat="1" applyFont="1" applyFill="1" applyBorder="1" applyAlignment="1">
      <alignment vertical="center"/>
    </xf>
    <xf numFmtId="186" fontId="11" fillId="0" borderId="64" xfId="11" applyFont="1" applyBorder="1" applyAlignment="1">
      <alignment horizontal="center" vertical="center"/>
    </xf>
    <xf numFmtId="186" fontId="11" fillId="14" borderId="48" xfId="11" applyFont="1" applyFill="1" applyBorder="1" applyAlignment="1">
      <alignment vertical="center"/>
    </xf>
    <xf numFmtId="188" fontId="10" fillId="14" borderId="48" xfId="11" applyNumberFormat="1" applyFont="1" applyFill="1" applyBorder="1" applyAlignment="1">
      <alignment vertical="center"/>
    </xf>
    <xf numFmtId="186" fontId="11" fillId="0" borderId="48" xfId="11" applyFont="1" applyBorder="1" applyAlignment="1">
      <alignment vertical="center"/>
    </xf>
    <xf numFmtId="186" fontId="12" fillId="14" borderId="48" xfId="11" applyFont="1" applyFill="1" applyBorder="1" applyAlignment="1">
      <alignment vertical="center"/>
    </xf>
    <xf numFmtId="186" fontId="11" fillId="0" borderId="60" xfId="11" applyFont="1" applyBorder="1" applyAlignment="1">
      <alignment vertical="center"/>
    </xf>
    <xf numFmtId="186" fontId="11" fillId="14" borderId="49" xfId="11" applyFont="1" applyFill="1" applyBorder="1" applyAlignment="1">
      <alignment vertical="center"/>
    </xf>
    <xf numFmtId="186" fontId="12" fillId="14" borderId="49" xfId="11" applyFont="1" applyFill="1" applyBorder="1" applyAlignment="1">
      <alignment vertical="center"/>
    </xf>
    <xf numFmtId="186" fontId="11" fillId="0" borderId="49" xfId="11" applyFont="1" applyBorder="1" applyAlignment="1">
      <alignment vertical="center"/>
    </xf>
    <xf numFmtId="186" fontId="11" fillId="0" borderId="46" xfId="11" applyFont="1" applyBorder="1" applyAlignment="1">
      <alignment vertical="center"/>
    </xf>
    <xf numFmtId="186" fontId="20" fillId="15" borderId="53" xfId="11" applyFont="1" applyFill="1" applyBorder="1" applyAlignment="1">
      <alignment vertical="center"/>
    </xf>
    <xf numFmtId="186" fontId="11" fillId="15" borderId="60" xfId="11" applyFont="1" applyFill="1" applyBorder="1" applyAlignment="1">
      <alignment vertical="center"/>
    </xf>
    <xf numFmtId="186" fontId="11" fillId="14" borderId="54" xfId="11" applyFont="1" applyFill="1" applyBorder="1" applyAlignment="1">
      <alignment vertical="center"/>
    </xf>
    <xf numFmtId="191" fontId="10" fillId="14" borderId="48" xfId="11" applyNumberFormat="1" applyFont="1" applyFill="1" applyBorder="1" applyAlignment="1">
      <alignment vertical="center"/>
    </xf>
    <xf numFmtId="191" fontId="10" fillId="14" borderId="48" xfId="11" applyNumberFormat="1" applyFont="1" applyFill="1" applyBorder="1"/>
    <xf numFmtId="186" fontId="11" fillId="0" borderId="54" xfId="11" applyFont="1" applyBorder="1" applyAlignment="1">
      <alignment vertical="center"/>
    </xf>
    <xf numFmtId="186" fontId="10" fillId="14" borderId="48" xfId="11" applyFont="1" applyFill="1" applyBorder="1" applyAlignment="1">
      <alignment vertical="center"/>
    </xf>
    <xf numFmtId="186" fontId="11" fillId="13" borderId="60" xfId="11" applyFont="1" applyFill="1" applyBorder="1" applyAlignment="1">
      <alignment vertical="center"/>
    </xf>
    <xf numFmtId="191" fontId="19" fillId="14" borderId="48" xfId="11" applyNumberFormat="1" applyFont="1" applyFill="1" applyBorder="1" applyAlignment="1">
      <alignment vertical="center"/>
    </xf>
    <xf numFmtId="186" fontId="11" fillId="0" borderId="0" xfId="11" applyFont="1" applyAlignment="1">
      <alignment vertical="center"/>
    </xf>
    <xf numFmtId="186" fontId="11" fillId="14" borderId="55" xfId="11" applyFont="1" applyFill="1" applyBorder="1" applyAlignment="1">
      <alignment vertical="center"/>
    </xf>
    <xf numFmtId="191" fontId="19" fillId="14" borderId="55" xfId="11" applyNumberFormat="1" applyFont="1" applyFill="1" applyBorder="1" applyAlignment="1">
      <alignment vertical="center"/>
    </xf>
    <xf numFmtId="186" fontId="10" fillId="14" borderId="55" xfId="11" applyFont="1" applyFill="1" applyBorder="1" applyAlignment="1">
      <alignment vertical="center"/>
    </xf>
    <xf numFmtId="186" fontId="11" fillId="0" borderId="55" xfId="11" applyFont="1" applyBorder="1" applyAlignment="1">
      <alignment vertical="center"/>
    </xf>
    <xf numFmtId="186" fontId="10" fillId="14" borderId="56" xfId="11" applyFont="1" applyFill="1" applyBorder="1" applyAlignment="1">
      <alignment vertical="center"/>
    </xf>
    <xf numFmtId="191" fontId="19" fillId="14" borderId="56" xfId="11" applyNumberFormat="1" applyFont="1" applyFill="1" applyBorder="1" applyAlignment="1">
      <alignment vertical="center"/>
    </xf>
    <xf numFmtId="186" fontId="11" fillId="14" borderId="56" xfId="11" applyFont="1" applyFill="1" applyBorder="1" applyAlignment="1">
      <alignment vertical="center"/>
    </xf>
    <xf numFmtId="186" fontId="10" fillId="0" borderId="50" xfId="11" applyFont="1" applyBorder="1" applyAlignment="1">
      <alignment vertical="center"/>
    </xf>
    <xf numFmtId="186" fontId="10" fillId="0" borderId="51" xfId="11" applyFont="1" applyBorder="1" applyAlignment="1">
      <alignment vertical="center"/>
    </xf>
    <xf numFmtId="186" fontId="10" fillId="0" borderId="52" xfId="11" applyFont="1" applyBorder="1" applyAlignment="1">
      <alignment vertical="center"/>
    </xf>
    <xf numFmtId="186" fontId="10" fillId="14" borderId="64" xfId="11" applyFont="1" applyFill="1" applyBorder="1"/>
    <xf numFmtId="187" fontId="10" fillId="14" borderId="64" xfId="11" applyNumberFormat="1" applyFont="1" applyFill="1" applyBorder="1"/>
    <xf numFmtId="186" fontId="11" fillId="14" borderId="57" xfId="11" applyFont="1" applyFill="1" applyBorder="1" applyAlignment="1">
      <alignment vertical="center"/>
    </xf>
    <xf numFmtId="191" fontId="19" fillId="14" borderId="49" xfId="11" applyNumberFormat="1" applyFont="1" applyFill="1" applyBorder="1" applyAlignment="1">
      <alignment vertical="center"/>
    </xf>
    <xf numFmtId="186" fontId="10" fillId="0" borderId="60" xfId="11" applyFont="1" applyBorder="1"/>
    <xf numFmtId="186" fontId="10" fillId="14" borderId="48" xfId="11" applyFont="1" applyFill="1" applyBorder="1"/>
    <xf numFmtId="186" fontId="10" fillId="14" borderId="49" xfId="11" applyFont="1" applyFill="1" applyBorder="1"/>
    <xf numFmtId="186" fontId="10" fillId="14" borderId="57" xfId="11" applyFont="1" applyFill="1" applyBorder="1"/>
    <xf numFmtId="191" fontId="19" fillId="14" borderId="48" xfId="11" applyNumberFormat="1" applyFont="1" applyFill="1" applyBorder="1"/>
    <xf numFmtId="186" fontId="10" fillId="0" borderId="64" xfId="11" applyFont="1" applyBorder="1"/>
    <xf numFmtId="186" fontId="10" fillId="0" borderId="51" xfId="11" applyFont="1" applyBorder="1"/>
    <xf numFmtId="188" fontId="10" fillId="14" borderId="64" xfId="11" applyNumberFormat="1" applyFont="1" applyFill="1" applyBorder="1"/>
    <xf numFmtId="186" fontId="11" fillId="0" borderId="57" xfId="11" applyFont="1" applyBorder="1" applyAlignment="1">
      <alignment vertical="center"/>
    </xf>
    <xf numFmtId="181" fontId="19" fillId="14" borderId="64" xfId="11" applyNumberFormat="1" applyFont="1" applyFill="1" applyBorder="1" applyAlignment="1">
      <alignment vertical="center"/>
    </xf>
    <xf numFmtId="181" fontId="19" fillId="14" borderId="48" xfId="11" applyNumberFormat="1" applyFont="1" applyFill="1" applyBorder="1" applyAlignment="1">
      <alignment vertical="center"/>
    </xf>
    <xf numFmtId="180" fontId="19" fillId="14" borderId="48" xfId="11" applyNumberFormat="1" applyFont="1" applyFill="1" applyBorder="1"/>
    <xf numFmtId="186" fontId="10" fillId="14" borderId="46" xfId="11" applyFont="1" applyFill="1" applyBorder="1"/>
    <xf numFmtId="186" fontId="19" fillId="14" borderId="46" xfId="11" applyFont="1" applyFill="1" applyBorder="1"/>
    <xf numFmtId="180" fontId="19" fillId="14" borderId="64" xfId="11" applyNumberFormat="1" applyFont="1" applyFill="1" applyBorder="1"/>
    <xf numFmtId="180" fontId="19" fillId="14" borderId="55" xfId="11" applyNumberFormat="1" applyFont="1" applyFill="1" applyBorder="1"/>
    <xf numFmtId="180" fontId="19" fillId="14" borderId="57" xfId="11" applyNumberFormat="1" applyFont="1" applyFill="1" applyBorder="1"/>
    <xf numFmtId="186" fontId="10" fillId="18" borderId="64" xfId="11" applyFont="1" applyFill="1" applyBorder="1"/>
    <xf numFmtId="186" fontId="19" fillId="18" borderId="64" xfId="11" applyFont="1" applyFill="1" applyBorder="1"/>
    <xf numFmtId="186" fontId="10" fillId="18" borderId="57" xfId="11" applyFont="1" applyFill="1" applyBorder="1"/>
    <xf numFmtId="186" fontId="10" fillId="14" borderId="71" xfId="11" applyFont="1" applyFill="1" applyBorder="1"/>
    <xf numFmtId="186" fontId="10" fillId="0" borderId="72" xfId="11" applyFont="1" applyBorder="1"/>
    <xf numFmtId="186" fontId="10" fillId="14" borderId="55" xfId="11" applyFont="1" applyFill="1" applyBorder="1"/>
    <xf numFmtId="186" fontId="10" fillId="0" borderId="48" xfId="11" applyFont="1" applyBorder="1"/>
    <xf numFmtId="186" fontId="10" fillId="14" borderId="73" xfId="11" applyFont="1" applyFill="1" applyBorder="1"/>
    <xf numFmtId="186" fontId="10" fillId="0" borderId="49" xfId="11" applyFont="1" applyBorder="1"/>
    <xf numFmtId="186" fontId="10" fillId="0" borderId="73" xfId="11" applyFont="1" applyBorder="1"/>
    <xf numFmtId="186" fontId="10" fillId="0" borderId="0" xfId="11" applyFont="1"/>
    <xf numFmtId="186" fontId="11" fillId="0" borderId="60" xfId="11" applyFont="1" applyBorder="1" applyAlignment="1">
      <alignment horizontal="center" vertical="center"/>
    </xf>
    <xf numFmtId="193" fontId="10" fillId="14" borderId="64" xfId="11" applyNumberFormat="1" applyFont="1" applyFill="1" applyBorder="1"/>
    <xf numFmtId="193" fontId="11" fillId="0" borderId="57" xfId="11" applyNumberFormat="1" applyFont="1" applyBorder="1" applyAlignment="1">
      <alignment vertical="center"/>
    </xf>
    <xf numFmtId="193" fontId="11" fillId="0" borderId="60" xfId="11" applyNumberFormat="1" applyFont="1" applyBorder="1" applyAlignment="1">
      <alignment vertical="center"/>
    </xf>
    <xf numFmtId="180" fontId="19" fillId="14" borderId="48" xfId="11" applyNumberFormat="1" applyFont="1" applyFill="1" applyBorder="1" applyAlignment="1">
      <alignment vertical="center"/>
    </xf>
    <xf numFmtId="193" fontId="10" fillId="0" borderId="60" xfId="11" applyNumberFormat="1" applyFont="1" applyBorder="1"/>
    <xf numFmtId="180" fontId="10" fillId="14" borderId="57" xfId="11" applyNumberFormat="1" applyFont="1" applyFill="1" applyBorder="1"/>
    <xf numFmtId="186" fontId="19" fillId="18" borderId="57" xfId="11" applyFont="1" applyFill="1" applyBorder="1"/>
    <xf numFmtId="181" fontId="15" fillId="9" borderId="2" xfId="1" applyNumberFormat="1" applyFont="1" applyFill="1" applyBorder="1" applyAlignment="1">
      <alignment vertical="center"/>
    </xf>
    <xf numFmtId="186" fontId="11" fillId="16" borderId="48" xfId="11" applyFont="1" applyFill="1" applyBorder="1" applyAlignment="1">
      <alignment vertical="center"/>
    </xf>
    <xf numFmtId="41" fontId="5" fillId="0" borderId="5" xfId="1" applyFont="1" applyFill="1" applyBorder="1" applyAlignment="1">
      <alignment horizontal="center" vertical="center"/>
    </xf>
    <xf numFmtId="41" fontId="5" fillId="0" borderId="8" xfId="1" applyFont="1" applyFill="1" applyBorder="1" applyAlignment="1">
      <alignment horizontal="center" vertical="center"/>
    </xf>
    <xf numFmtId="41" fontId="5" fillId="4" borderId="5" xfId="1" applyFont="1" applyFill="1" applyBorder="1" applyAlignment="1">
      <alignment horizontal="center" vertical="center"/>
    </xf>
    <xf numFmtId="41" fontId="5" fillId="4" borderId="8" xfId="1" applyFont="1" applyFill="1" applyBorder="1" applyAlignment="1">
      <alignment horizontal="center" vertical="center"/>
    </xf>
    <xf numFmtId="41" fontId="5" fillId="4" borderId="1" xfId="1" applyFont="1" applyFill="1" applyBorder="1" applyAlignment="1">
      <alignment horizontal="center" vertical="center"/>
    </xf>
    <xf numFmtId="41" fontId="5" fillId="2" borderId="2" xfId="1" applyFont="1" applyFill="1" applyBorder="1" applyAlignment="1">
      <alignment horizontal="center" vertical="center" wrapText="1"/>
    </xf>
    <xf numFmtId="41" fontId="5" fillId="2" borderId="7" xfId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179" fontId="5" fillId="0" borderId="37" xfId="1" applyNumberFormat="1" applyFont="1" applyBorder="1" applyAlignment="1">
      <alignment horizontal="center" vertical="center"/>
    </xf>
    <xf numFmtId="179" fontId="5" fillId="0" borderId="38" xfId="1" applyNumberFormat="1" applyFont="1" applyBorder="1" applyAlignment="1">
      <alignment horizontal="center" vertical="center"/>
    </xf>
    <xf numFmtId="179" fontId="5" fillId="0" borderId="39" xfId="1" applyNumberFormat="1" applyFont="1" applyBorder="1" applyAlignment="1">
      <alignment horizontal="center" vertical="center"/>
    </xf>
    <xf numFmtId="179" fontId="5" fillId="0" borderId="40" xfId="1" applyNumberFormat="1" applyFont="1" applyBorder="1" applyAlignment="1">
      <alignment horizontal="center" vertical="center"/>
    </xf>
    <xf numFmtId="41" fontId="5" fillId="0" borderId="2" xfId="1" applyFont="1" applyFill="1" applyBorder="1" applyAlignment="1">
      <alignment horizontal="center" vertical="center"/>
    </xf>
    <xf numFmtId="41" fontId="5" fillId="0" borderId="7" xfId="1" applyFont="1" applyFill="1" applyBorder="1" applyAlignment="1">
      <alignment horizontal="center" vertical="center"/>
    </xf>
    <xf numFmtId="41" fontId="5" fillId="4" borderId="2" xfId="1" applyFont="1" applyFill="1" applyBorder="1" applyAlignment="1">
      <alignment horizontal="center" vertical="center"/>
    </xf>
    <xf numFmtId="41" fontId="5" fillId="4" borderId="7" xfId="1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1" fontId="5" fillId="9" borderId="3" xfId="1" applyFont="1" applyFill="1" applyBorder="1" applyAlignment="1">
      <alignment horizontal="center" vertical="center"/>
    </xf>
    <xf numFmtId="41" fontId="5" fillId="9" borderId="11" xfId="1" applyFont="1" applyFill="1" applyBorder="1" applyAlignment="1">
      <alignment horizontal="center" vertical="center"/>
    </xf>
    <xf numFmtId="41" fontId="5" fillId="9" borderId="4" xfId="1" applyFont="1" applyFill="1" applyBorder="1" applyAlignment="1">
      <alignment horizontal="center" vertical="center"/>
    </xf>
    <xf numFmtId="41" fontId="5" fillId="10" borderId="3" xfId="1" applyFont="1" applyFill="1" applyBorder="1" applyAlignment="1">
      <alignment horizontal="center" vertical="center"/>
    </xf>
    <xf numFmtId="41" fontId="5" fillId="10" borderId="11" xfId="1" applyFont="1" applyFill="1" applyBorder="1" applyAlignment="1">
      <alignment horizontal="center" vertical="center"/>
    </xf>
    <xf numFmtId="41" fontId="5" fillId="10" borderId="4" xfId="1" applyFont="1" applyFill="1" applyBorder="1" applyAlignment="1">
      <alignment horizontal="center" vertical="center"/>
    </xf>
    <xf numFmtId="41" fontId="5" fillId="11" borderId="11" xfId="1" applyFont="1" applyFill="1" applyBorder="1" applyAlignment="1">
      <alignment horizontal="center" vertical="center"/>
    </xf>
    <xf numFmtId="41" fontId="5" fillId="0" borderId="1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5" fillId="11" borderId="1" xfId="1" applyFont="1" applyFill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186" fontId="11" fillId="0" borderId="64" xfId="11" applyFont="1" applyBorder="1" applyAlignment="1">
      <alignment horizontal="center" vertical="center"/>
    </xf>
    <xf numFmtId="186" fontId="11" fillId="0" borderId="57" xfId="11" applyFont="1" applyBorder="1" applyAlignment="1">
      <alignment horizontal="center" vertical="center"/>
    </xf>
    <xf numFmtId="186" fontId="10" fillId="0" borderId="52" xfId="11" applyFont="1" applyBorder="1" applyAlignment="1">
      <alignment horizontal="center"/>
    </xf>
    <xf numFmtId="186" fontId="11" fillId="0" borderId="49" xfId="11" applyFont="1" applyBorder="1" applyAlignment="1">
      <alignment horizontal="center" vertical="center"/>
    </xf>
    <xf numFmtId="186" fontId="11" fillId="0" borderId="48" xfId="11" applyFont="1" applyBorder="1" applyAlignment="1">
      <alignment horizontal="center" vertical="center"/>
    </xf>
    <xf numFmtId="186" fontId="11" fillId="0" borderId="46" xfId="11" applyFont="1" applyBorder="1" applyAlignment="1">
      <alignment horizontal="center" vertical="center"/>
    </xf>
    <xf numFmtId="186" fontId="11" fillId="0" borderId="60" xfId="11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186" fontId="10" fillId="0" borderId="75" xfId="11" applyFont="1" applyBorder="1" applyAlignment="1">
      <alignment horizontal="center"/>
    </xf>
    <xf numFmtId="186" fontId="11" fillId="15" borderId="64" xfId="11" applyFont="1" applyFill="1" applyBorder="1" applyAlignment="1">
      <alignment horizontal="center" vertical="center"/>
    </xf>
    <xf numFmtId="186" fontId="11" fillId="15" borderId="48" xfId="11" applyFont="1" applyFill="1" applyBorder="1" applyAlignment="1">
      <alignment horizontal="center" vertical="center"/>
    </xf>
    <xf numFmtId="186" fontId="11" fillId="0" borderId="65" xfId="11" applyFont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186" fontId="11" fillId="0" borderId="67" xfId="11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186" fontId="11" fillId="0" borderId="55" xfId="11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86" fontId="11" fillId="15" borderId="46" xfId="11" applyFont="1" applyFill="1" applyBorder="1" applyAlignment="1">
      <alignment horizontal="center" vertical="center"/>
    </xf>
    <xf numFmtId="186" fontId="11" fillId="15" borderId="57" xfId="11" applyFont="1" applyFill="1" applyBorder="1" applyAlignment="1">
      <alignment horizontal="center" vertical="center"/>
    </xf>
    <xf numFmtId="186" fontId="11" fillId="15" borderId="78" xfId="11" applyFont="1" applyFill="1" applyBorder="1" applyAlignment="1">
      <alignment horizontal="center" vertical="center"/>
    </xf>
    <xf numFmtId="186" fontId="11" fillId="15" borderId="79" xfId="11" applyFont="1" applyFill="1" applyBorder="1" applyAlignment="1">
      <alignment horizontal="center" vertical="center"/>
    </xf>
    <xf numFmtId="186" fontId="11" fillId="15" borderId="49" xfId="1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1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20" fillId="13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1" fillId="14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41" fontId="11" fillId="15" borderId="47" xfId="1" applyFont="1" applyFill="1" applyBorder="1" applyAlignment="1" applyProtection="1">
      <alignment horizontal="center" vertical="center"/>
    </xf>
    <xf numFmtId="41" fontId="11" fillId="15" borderId="57" xfId="1" applyFont="1" applyFill="1" applyBorder="1" applyAlignment="1" applyProtection="1">
      <alignment horizontal="center" vertical="center"/>
    </xf>
    <xf numFmtId="41" fontId="11" fillId="0" borderId="43" xfId="1" applyFont="1" applyFill="1" applyBorder="1" applyAlignment="1" applyProtection="1">
      <alignment horizontal="center" vertical="center"/>
    </xf>
    <xf numFmtId="41" fontId="11" fillId="15" borderId="48" xfId="1" applyFont="1" applyFill="1" applyBorder="1" applyAlignment="1" applyProtection="1">
      <alignment horizontal="center" vertical="center"/>
    </xf>
    <xf numFmtId="41" fontId="11" fillId="0" borderId="47" xfId="1" applyFont="1" applyFill="1" applyBorder="1" applyAlignment="1" applyProtection="1">
      <alignment horizontal="center" vertical="center"/>
    </xf>
    <xf numFmtId="41" fontId="10" fillId="0" borderId="52" xfId="1" applyFont="1" applyFill="1" applyBorder="1" applyAlignment="1" applyProtection="1">
      <alignment horizontal="center"/>
    </xf>
    <xf numFmtId="41" fontId="11" fillId="15" borderId="46" xfId="1" applyFont="1" applyFill="1" applyBorder="1" applyAlignment="1" applyProtection="1">
      <alignment horizontal="center" vertical="center"/>
    </xf>
    <xf numFmtId="41" fontId="11" fillId="0" borderId="48" xfId="1" applyFont="1" applyFill="1" applyBorder="1" applyAlignment="1" applyProtection="1">
      <alignment horizontal="center" vertical="center"/>
    </xf>
    <xf numFmtId="41" fontId="11" fillId="0" borderId="57" xfId="1" applyFont="1" applyFill="1" applyBorder="1" applyAlignment="1" applyProtection="1">
      <alignment horizontal="center" vertical="center"/>
    </xf>
    <xf numFmtId="41" fontId="11" fillId="0" borderId="46" xfId="1" applyFont="1" applyFill="1" applyBorder="1" applyAlignment="1" applyProtection="1">
      <alignment horizontal="center" vertical="center"/>
    </xf>
    <xf numFmtId="41" fontId="11" fillId="0" borderId="60" xfId="1" applyFont="1" applyFill="1" applyBorder="1" applyAlignment="1" applyProtection="1">
      <alignment horizontal="center" vertical="center"/>
    </xf>
    <xf numFmtId="41" fontId="11" fillId="0" borderId="64" xfId="1" applyFont="1" applyFill="1" applyBorder="1" applyAlignment="1" applyProtection="1">
      <alignment horizontal="center" vertical="center"/>
    </xf>
    <xf numFmtId="41" fontId="11" fillId="0" borderId="65" xfId="1" applyFont="1" applyFill="1" applyBorder="1" applyAlignment="1" applyProtection="1">
      <alignment horizontal="center" vertical="center"/>
    </xf>
    <xf numFmtId="41" fontId="11" fillId="0" borderId="67" xfId="1" applyFont="1" applyFill="1" applyBorder="1" applyAlignment="1" applyProtection="1">
      <alignment horizontal="center" vertical="center"/>
    </xf>
    <xf numFmtId="41" fontId="11" fillId="0" borderId="55" xfId="1" applyFont="1" applyFill="1" applyBorder="1" applyAlignment="1" applyProtection="1">
      <alignment horizontal="center" vertical="center"/>
    </xf>
    <xf numFmtId="41" fontId="11" fillId="0" borderId="49" xfId="1" applyFont="1" applyFill="1" applyBorder="1" applyAlignment="1" applyProtection="1">
      <alignment horizontal="center" vertical="center"/>
    </xf>
    <xf numFmtId="41" fontId="10" fillId="0" borderId="75" xfId="1" applyFont="1" applyFill="1" applyBorder="1" applyAlignment="1" applyProtection="1">
      <alignment horizontal="center"/>
    </xf>
    <xf numFmtId="41" fontId="11" fillId="15" borderId="64" xfId="1" applyFont="1" applyFill="1" applyBorder="1" applyAlignment="1" applyProtection="1">
      <alignment horizontal="center" vertical="center"/>
    </xf>
    <xf numFmtId="0" fontId="20" fillId="12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/>
    </xf>
    <xf numFmtId="41" fontId="11" fillId="5" borderId="16" xfId="1" applyFont="1" applyFill="1" applyBorder="1" applyAlignment="1">
      <alignment horizontal="center" vertical="center"/>
    </xf>
    <xf numFmtId="41" fontId="11" fillId="5" borderId="14" xfId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1" fontId="11" fillId="5" borderId="2" xfId="1" applyFont="1" applyFill="1" applyBorder="1" applyAlignment="1">
      <alignment horizontal="center" vertical="center"/>
    </xf>
    <xf numFmtId="41" fontId="11" fillId="0" borderId="3" xfId="1" applyFont="1" applyBorder="1" applyAlignment="1">
      <alignment horizontal="center" vertical="center"/>
    </xf>
    <xf numFmtId="41" fontId="11" fillId="0" borderId="4" xfId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41" fontId="11" fillId="5" borderId="15" xfId="1" applyFont="1" applyFill="1" applyBorder="1" applyAlignment="1">
      <alignment horizontal="center" vertical="center"/>
    </xf>
    <xf numFmtId="41" fontId="11" fillId="5" borderId="7" xfId="1" applyFont="1" applyFill="1" applyBorder="1" applyAlignment="1">
      <alignment horizontal="center" vertical="center"/>
    </xf>
    <xf numFmtId="41" fontId="11" fillId="0" borderId="1" xfId="1" applyFont="1" applyBorder="1" applyAlignment="1">
      <alignment horizontal="center" vertical="center"/>
    </xf>
    <xf numFmtId="41" fontId="11" fillId="0" borderId="5" xfId="1" applyFont="1" applyBorder="1" applyAlignment="1">
      <alignment horizontal="center" vertical="center"/>
    </xf>
    <xf numFmtId="41" fontId="11" fillId="0" borderId="6" xfId="1" applyFont="1" applyBorder="1" applyAlignment="1">
      <alignment horizontal="center" vertical="center"/>
    </xf>
    <xf numFmtId="41" fontId="10" fillId="0" borderId="19" xfId="1" applyFont="1" applyBorder="1" applyAlignment="1">
      <alignment horizontal="center"/>
    </xf>
    <xf numFmtId="41" fontId="10" fillId="0" borderId="20" xfId="1" applyFont="1" applyBorder="1" applyAlignment="1">
      <alignment horizontal="center"/>
    </xf>
    <xf numFmtId="41" fontId="11" fillId="0" borderId="2" xfId="1" applyFont="1" applyBorder="1" applyAlignment="1">
      <alignment horizontal="center" vertical="center"/>
    </xf>
    <xf numFmtId="41" fontId="11" fillId="0" borderId="14" xfId="1" applyFont="1" applyBorder="1" applyAlignment="1">
      <alignment horizontal="center" vertical="center"/>
    </xf>
    <xf numFmtId="41" fontId="11" fillId="0" borderId="16" xfId="1" applyFont="1" applyBorder="1" applyAlignment="1">
      <alignment horizontal="center" vertical="center"/>
    </xf>
    <xf numFmtId="41" fontId="11" fillId="0" borderId="10" xfId="1" applyFont="1" applyBorder="1" applyAlignment="1">
      <alignment horizontal="center" vertical="center"/>
    </xf>
    <xf numFmtId="41" fontId="10" fillId="0" borderId="34" xfId="1" applyFont="1" applyBorder="1" applyAlignment="1">
      <alignment horizontal="center"/>
    </xf>
    <xf numFmtId="41" fontId="10" fillId="0" borderId="35" xfId="1" applyFont="1" applyBorder="1" applyAlignment="1">
      <alignment horizontal="center"/>
    </xf>
    <xf numFmtId="41" fontId="11" fillId="0" borderId="7" xfId="1" applyFont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0" fillId="0" borderId="10" xfId="1" applyFont="1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41" fontId="0" fillId="0" borderId="2" xfId="1" applyFont="1" applyBorder="1" applyAlignment="1">
      <alignment horizontal="left" vertical="center"/>
    </xf>
    <xf numFmtId="41" fontId="0" fillId="0" borderId="7" xfId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9" fontId="0" fillId="0" borderId="1" xfId="1" applyNumberFormat="1" applyFont="1" applyFill="1" applyBorder="1" applyAlignment="1">
      <alignment horizontal="center" vertical="center"/>
    </xf>
    <xf numFmtId="178" fontId="0" fillId="0" borderId="1" xfId="1" applyNumberFormat="1" applyFont="1" applyFill="1" applyBorder="1">
      <alignment vertical="center"/>
    </xf>
    <xf numFmtId="183" fontId="0" fillId="0" borderId="1" xfId="1" applyNumberFormat="1" applyFont="1" applyFill="1" applyBorder="1">
      <alignment vertical="center"/>
    </xf>
    <xf numFmtId="186" fontId="19" fillId="14" borderId="48" xfId="11" applyFont="1" applyFill="1" applyBorder="1" applyAlignment="1">
      <alignment vertical="center"/>
    </xf>
    <xf numFmtId="181" fontId="15" fillId="9" borderId="16" xfId="1" applyNumberFormat="1" applyFont="1" applyFill="1" applyBorder="1" applyAlignment="1">
      <alignment vertical="center"/>
    </xf>
    <xf numFmtId="186" fontId="10" fillId="16" borderId="48" xfId="11" applyFont="1" applyFill="1" applyBorder="1" applyAlignment="1">
      <alignment vertical="center"/>
    </xf>
    <xf numFmtId="186" fontId="19" fillId="14" borderId="48" xfId="11" applyFont="1" applyFill="1" applyBorder="1"/>
    <xf numFmtId="182" fontId="0" fillId="10" borderId="1" xfId="1" applyNumberFormat="1" applyFont="1" applyFill="1" applyBorder="1">
      <alignment vertical="center"/>
    </xf>
    <xf numFmtId="186" fontId="19" fillId="14" borderId="49" xfId="11" applyFont="1" applyFill="1" applyBorder="1"/>
    <xf numFmtId="186" fontId="19" fillId="14" borderId="64" xfId="11" applyFont="1" applyFill="1" applyBorder="1"/>
    <xf numFmtId="41" fontId="0" fillId="18" borderId="1" xfId="1" applyFont="1" applyFill="1" applyBorder="1">
      <alignment vertical="center"/>
    </xf>
    <xf numFmtId="182" fontId="18" fillId="18" borderId="1" xfId="1" applyNumberFormat="1" applyFont="1" applyFill="1" applyBorder="1">
      <alignment vertical="center"/>
    </xf>
    <xf numFmtId="41" fontId="8" fillId="5" borderId="13" xfId="3" applyFill="1" applyBorder="1">
      <alignment vertical="center"/>
    </xf>
    <xf numFmtId="186" fontId="19" fillId="14" borderId="64" xfId="11" applyFont="1" applyFill="1" applyBorder="1" applyAlignment="1">
      <alignment vertical="center"/>
    </xf>
    <xf numFmtId="41" fontId="0" fillId="3" borderId="1" xfId="1" applyFont="1" applyFill="1" applyBorder="1">
      <alignment vertical="center"/>
    </xf>
    <xf numFmtId="181" fontId="15" fillId="3" borderId="16" xfId="1" applyNumberFormat="1" applyFont="1" applyFill="1" applyBorder="1" applyAlignment="1">
      <alignment vertical="center"/>
    </xf>
    <xf numFmtId="0" fontId="23" fillId="0" borderId="0" xfId="0" applyFont="1" applyAlignment="1">
      <alignment vertical="center"/>
    </xf>
    <xf numFmtId="181" fontId="23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23" fillId="0" borderId="76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181" fontId="23" fillId="0" borderId="76" xfId="0" applyNumberFormat="1" applyFont="1" applyBorder="1" applyAlignment="1">
      <alignment horizontal="center" vertical="center"/>
    </xf>
    <xf numFmtId="0" fontId="23" fillId="0" borderId="76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41" fontId="10" fillId="19" borderId="80" xfId="1" applyFont="1" applyFill="1" applyBorder="1" applyAlignment="1"/>
    <xf numFmtId="181" fontId="10" fillId="19" borderId="80" xfId="1" applyNumberFormat="1" applyFont="1" applyFill="1" applyBorder="1" applyAlignment="1"/>
    <xf numFmtId="41" fontId="23" fillId="4" borderId="80" xfId="1" applyFont="1" applyFill="1" applyBorder="1" applyAlignment="1">
      <alignment horizontal="center" vertical="center"/>
    </xf>
    <xf numFmtId="41" fontId="23" fillId="19" borderId="14" xfId="1" applyFont="1" applyFill="1" applyBorder="1" applyAlignment="1">
      <alignment vertical="center"/>
    </xf>
    <xf numFmtId="181" fontId="23" fillId="19" borderId="14" xfId="1" applyNumberFormat="1" applyFont="1" applyFill="1" applyBorder="1" applyAlignment="1">
      <alignment vertical="center"/>
    </xf>
    <xf numFmtId="41" fontId="23" fillId="4" borderId="14" xfId="1" applyFont="1" applyFill="1" applyBorder="1" applyAlignment="1">
      <alignment horizontal="center" vertical="center"/>
    </xf>
    <xf numFmtId="41" fontId="23" fillId="0" borderId="76" xfId="1" applyFont="1" applyBorder="1" applyAlignment="1">
      <alignment vertical="center"/>
    </xf>
    <xf numFmtId="181" fontId="23" fillId="0" borderId="76" xfId="1" applyNumberFormat="1" applyFont="1" applyBorder="1" applyAlignment="1">
      <alignment vertical="center"/>
    </xf>
    <xf numFmtId="41" fontId="23" fillId="0" borderId="3" xfId="1" applyFont="1" applyBorder="1" applyAlignment="1">
      <alignment horizontal="center" vertical="center"/>
    </xf>
    <xf numFmtId="41" fontId="23" fillId="0" borderId="4" xfId="1" applyFont="1" applyBorder="1" applyAlignment="1">
      <alignment horizontal="center" vertical="center"/>
    </xf>
    <xf numFmtId="41" fontId="23" fillId="19" borderId="16" xfId="1" applyFont="1" applyFill="1" applyBorder="1" applyAlignment="1">
      <alignment vertical="center"/>
    </xf>
    <xf numFmtId="196" fontId="10" fillId="19" borderId="16" xfId="1" applyNumberFormat="1" applyFont="1" applyFill="1" applyBorder="1" applyAlignment="1">
      <alignment vertical="center"/>
    </xf>
    <xf numFmtId="41" fontId="23" fillId="4" borderId="16" xfId="1" applyFont="1" applyFill="1" applyBorder="1" applyAlignment="1">
      <alignment horizontal="center" vertical="center"/>
    </xf>
    <xf numFmtId="41" fontId="23" fillId="4" borderId="81" xfId="1" applyFont="1" applyFill="1" applyBorder="1" applyAlignment="1">
      <alignment horizontal="center" vertical="center"/>
    </xf>
    <xf numFmtId="41" fontId="10" fillId="0" borderId="76" xfId="1" applyFont="1" applyBorder="1" applyAlignment="1"/>
    <xf numFmtId="181" fontId="10" fillId="0" borderId="76" xfId="1" applyNumberFormat="1" applyFont="1" applyBorder="1" applyAlignment="1"/>
    <xf numFmtId="41" fontId="23" fillId="0" borderId="76" xfId="1" applyFont="1" applyBorder="1" applyAlignment="1">
      <alignment horizontal="center" vertical="center"/>
    </xf>
    <xf numFmtId="196" fontId="10" fillId="19" borderId="80" xfId="1" applyNumberFormat="1" applyFont="1" applyFill="1" applyBorder="1" applyAlignment="1"/>
    <xf numFmtId="41" fontId="10" fillId="19" borderId="16" xfId="1" applyFont="1" applyFill="1" applyBorder="1" applyAlignment="1"/>
    <xf numFmtId="196" fontId="10" fillId="19" borderId="16" xfId="1" applyNumberFormat="1" applyFont="1" applyFill="1" applyBorder="1" applyAlignment="1"/>
    <xf numFmtId="41" fontId="23" fillId="19" borderId="82" xfId="1" applyFont="1" applyFill="1" applyBorder="1" applyAlignment="1">
      <alignment vertical="center"/>
    </xf>
    <xf numFmtId="41" fontId="10" fillId="19" borderId="81" xfId="1" applyFont="1" applyFill="1" applyBorder="1" applyAlignment="1"/>
    <xf numFmtId="41" fontId="10" fillId="19" borderId="14" xfId="1" applyFont="1" applyFill="1" applyBorder="1" applyAlignment="1"/>
    <xf numFmtId="181" fontId="10" fillId="19" borderId="14" xfId="1" applyNumberFormat="1" applyFont="1" applyFill="1" applyBorder="1" applyAlignment="1"/>
    <xf numFmtId="0" fontId="10" fillId="0" borderId="80" xfId="0" applyFont="1" applyBorder="1" applyAlignment="1">
      <alignment horizontal="center" vertical="center"/>
    </xf>
    <xf numFmtId="41" fontId="10" fillId="0" borderId="80" xfId="1" applyFont="1" applyBorder="1" applyAlignment="1"/>
    <xf numFmtId="181" fontId="10" fillId="0" borderId="80" xfId="1" applyNumberFormat="1" applyFont="1" applyBorder="1" applyAlignment="1"/>
    <xf numFmtId="41" fontId="23" fillId="0" borderId="83" xfId="1" applyFont="1" applyBorder="1" applyAlignment="1">
      <alignment horizontal="center" vertical="center"/>
    </xf>
    <xf numFmtId="41" fontId="23" fillId="0" borderId="84" xfId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41" fontId="23" fillId="0" borderId="80" xfId="1" applyFont="1" applyBorder="1" applyAlignment="1">
      <alignment horizontal="center" vertical="center"/>
    </xf>
    <xf numFmtId="184" fontId="10" fillId="19" borderId="22" xfId="0" applyNumberFormat="1" applyFont="1" applyFill="1" applyBorder="1" applyAlignment="1">
      <alignment horizontal="center"/>
    </xf>
    <xf numFmtId="41" fontId="23" fillId="0" borderId="14" xfId="1" applyFont="1" applyBorder="1" applyAlignment="1">
      <alignment horizontal="center" vertical="center"/>
    </xf>
    <xf numFmtId="184" fontId="10" fillId="19" borderId="23" xfId="0" applyNumberFormat="1" applyFont="1" applyFill="1" applyBorder="1" applyAlignment="1">
      <alignment horizontal="center"/>
    </xf>
    <xf numFmtId="41" fontId="23" fillId="19" borderId="80" xfId="1" applyFont="1" applyFill="1" applyBorder="1" applyAlignment="1">
      <alignment vertical="center"/>
    </xf>
    <xf numFmtId="196" fontId="10" fillId="19" borderId="80" xfId="1" applyNumberFormat="1" applyFont="1" applyFill="1" applyBorder="1" applyAlignment="1">
      <alignment vertical="center"/>
    </xf>
    <xf numFmtId="41" fontId="23" fillId="0" borderId="16" xfId="1" applyFont="1" applyBorder="1" applyAlignment="1">
      <alignment horizontal="center" vertical="center"/>
    </xf>
    <xf numFmtId="184" fontId="10" fillId="19" borderId="24" xfId="0" applyNumberFormat="1" applyFont="1" applyFill="1" applyBorder="1" applyAlignment="1">
      <alignment horizontal="center"/>
    </xf>
    <xf numFmtId="0" fontId="10" fillId="19" borderId="24" xfId="0" applyFont="1" applyFill="1" applyBorder="1" applyAlignment="1">
      <alignment horizontal="center"/>
    </xf>
    <xf numFmtId="41" fontId="23" fillId="0" borderId="81" xfId="1" applyFont="1" applyBorder="1" applyAlignment="1">
      <alignment horizontal="center" vertical="center"/>
    </xf>
    <xf numFmtId="0" fontId="10" fillId="19" borderId="23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41" fontId="10" fillId="19" borderId="29" xfId="1" applyFont="1" applyFill="1" applyBorder="1" applyAlignment="1"/>
    <xf numFmtId="41" fontId="10" fillId="19" borderId="17" xfId="1" applyFont="1" applyFill="1" applyBorder="1" applyAlignment="1"/>
    <xf numFmtId="0" fontId="0" fillId="0" borderId="0" xfId="0" applyFont="1" applyAlignment="1"/>
    <xf numFmtId="41" fontId="10" fillId="19" borderId="32" xfId="1" applyFont="1" applyFill="1" applyBorder="1" applyAlignment="1"/>
    <xf numFmtId="181" fontId="10" fillId="0" borderId="82" xfId="1" applyNumberFormat="1" applyFont="1" applyBorder="1" applyAlignment="1"/>
    <xf numFmtId="41" fontId="23" fillId="0" borderId="82" xfId="1" applyFont="1" applyBorder="1" applyAlignment="1">
      <alignment horizontal="center" vertical="center"/>
    </xf>
    <xf numFmtId="41" fontId="23" fillId="0" borderId="76" xfId="1" applyFont="1" applyBorder="1" applyAlignment="1">
      <alignment horizontal="center" vertical="center"/>
    </xf>
    <xf numFmtId="181" fontId="23" fillId="0" borderId="76" xfId="1" applyNumberFormat="1" applyFont="1" applyBorder="1" applyAlignment="1">
      <alignment horizontal="center" vertical="center"/>
    </xf>
    <xf numFmtId="181" fontId="0" fillId="0" borderId="0" xfId="0" applyNumberFormat="1" applyAlignment="1"/>
    <xf numFmtId="41" fontId="23" fillId="0" borderId="80" xfId="1" applyFont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1" fillId="19" borderId="0" xfId="0" applyFont="1" applyFill="1" applyAlignment="1">
      <alignment horizontal="center"/>
    </xf>
    <xf numFmtId="181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76" xfId="0" applyFont="1" applyBorder="1" applyAlignment="1">
      <alignment vertical="center"/>
    </xf>
    <xf numFmtId="41" fontId="23" fillId="19" borderId="76" xfId="1" applyFont="1" applyFill="1" applyBorder="1" applyAlignment="1">
      <alignment vertical="center"/>
    </xf>
    <xf numFmtId="0" fontId="23" fillId="0" borderId="0" xfId="0" applyFont="1" applyAlignment="1">
      <alignment horizontal="left" vertical="center"/>
    </xf>
    <xf numFmtId="181" fontId="23" fillId="0" borderId="0" xfId="4" applyNumberFormat="1" applyFont="1" applyAlignment="1">
      <alignment horizontal="center" vertical="center"/>
    </xf>
    <xf numFmtId="41" fontId="24" fillId="4" borderId="41" xfId="1" applyFont="1" applyFill="1" applyBorder="1" applyAlignment="1">
      <alignment vertical="center"/>
    </xf>
    <xf numFmtId="0" fontId="23" fillId="0" borderId="11" xfId="0" applyFont="1" applyBorder="1" applyAlignment="1">
      <alignment vertical="center"/>
    </xf>
    <xf numFmtId="41" fontId="23" fillId="0" borderId="11" xfId="1" applyFont="1" applyBorder="1" applyAlignment="1">
      <alignment vertical="center"/>
    </xf>
    <xf numFmtId="41" fontId="23" fillId="4" borderId="81" xfId="1" applyFont="1" applyFill="1" applyBorder="1" applyAlignment="1">
      <alignment vertical="center"/>
    </xf>
    <xf numFmtId="41" fontId="23" fillId="0" borderId="11" xfId="1" applyFont="1" applyBorder="1" applyAlignment="1">
      <alignment horizontal="center" vertical="center"/>
    </xf>
    <xf numFmtId="41" fontId="23" fillId="19" borderId="80" xfId="0" applyNumberFormat="1" applyFont="1" applyFill="1" applyBorder="1" applyAlignment="1">
      <alignment vertical="center"/>
    </xf>
    <xf numFmtId="182" fontId="23" fillId="19" borderId="80" xfId="1" applyNumberFormat="1" applyFont="1" applyFill="1" applyBorder="1" applyAlignment="1">
      <alignment vertical="center"/>
    </xf>
    <xf numFmtId="41" fontId="23" fillId="0" borderId="80" xfId="1" applyFont="1" applyBorder="1" applyAlignment="1">
      <alignment vertical="center"/>
    </xf>
    <xf numFmtId="0" fontId="23" fillId="0" borderId="80" xfId="0" applyFont="1" applyBorder="1" applyAlignment="1">
      <alignment vertical="center"/>
    </xf>
    <xf numFmtId="41" fontId="19" fillId="19" borderId="16" xfId="1" applyFont="1" applyFill="1" applyBorder="1" applyAlignment="1">
      <alignment vertical="center"/>
    </xf>
    <xf numFmtId="41" fontId="23" fillId="0" borderId="16" xfId="1" applyFont="1" applyBorder="1" applyAlignment="1">
      <alignment vertical="center"/>
    </xf>
    <xf numFmtId="0" fontId="23" fillId="0" borderId="25" xfId="0" applyFont="1" applyBorder="1" applyAlignment="1">
      <alignment vertical="center"/>
    </xf>
    <xf numFmtId="41" fontId="23" fillId="0" borderId="25" xfId="1" applyFont="1" applyBorder="1" applyAlignment="1">
      <alignment vertical="center"/>
    </xf>
    <xf numFmtId="41" fontId="19" fillId="19" borderId="82" xfId="1" applyFont="1" applyFill="1" applyBorder="1" applyAlignment="1">
      <alignment vertical="center"/>
    </xf>
    <xf numFmtId="41" fontId="23" fillId="0" borderId="82" xfId="1" applyFont="1" applyBorder="1" applyAlignment="1">
      <alignment vertical="center"/>
    </xf>
    <xf numFmtId="0" fontId="23" fillId="0" borderId="81" xfId="0" applyFont="1" applyBorder="1" applyAlignment="1">
      <alignment vertical="center"/>
    </xf>
    <xf numFmtId="41" fontId="23" fillId="0" borderId="81" xfId="1" applyFont="1" applyBorder="1" applyAlignment="1">
      <alignment vertical="center"/>
    </xf>
    <xf numFmtId="41" fontId="24" fillId="4" borderId="42" xfId="1" applyFont="1" applyFill="1" applyBorder="1" applyAlignment="1">
      <alignment vertical="center"/>
    </xf>
    <xf numFmtId="41" fontId="23" fillId="4" borderId="76" xfId="1" applyFont="1" applyFill="1" applyBorder="1" applyAlignment="1">
      <alignment vertical="center"/>
    </xf>
    <xf numFmtId="41" fontId="23" fillId="19" borderId="15" xfId="1" applyFont="1" applyFill="1" applyBorder="1" applyAlignment="1">
      <alignment vertical="center"/>
    </xf>
    <xf numFmtId="43" fontId="10" fillId="19" borderId="16" xfId="1" applyNumberFormat="1" applyFont="1" applyFill="1" applyBorder="1" applyAlignment="1">
      <alignment vertical="center"/>
    </xf>
    <xf numFmtId="41" fontId="23" fillId="4" borderId="15" xfId="1" applyFont="1" applyFill="1" applyBorder="1" applyAlignment="1">
      <alignment vertical="center"/>
    </xf>
    <xf numFmtId="43" fontId="10" fillId="19" borderId="16" xfId="1" applyNumberFormat="1" applyFont="1" applyFill="1" applyBorder="1" applyAlignment="1"/>
    <xf numFmtId="41" fontId="23" fillId="0" borderId="15" xfId="1" applyFont="1" applyBorder="1" applyAlignment="1">
      <alignment vertical="center"/>
    </xf>
    <xf numFmtId="41" fontId="23" fillId="4" borderId="16" xfId="1" applyFont="1" applyFill="1" applyBorder="1" applyAlignment="1">
      <alignment vertical="center"/>
    </xf>
    <xf numFmtId="180" fontId="10" fillId="19" borderId="16" xfId="1" applyNumberFormat="1" applyFont="1" applyFill="1" applyBorder="1" applyAlignment="1">
      <alignment vertical="center"/>
    </xf>
    <xf numFmtId="41" fontId="23" fillId="19" borderId="85" xfId="1" applyFont="1" applyFill="1" applyBorder="1" applyAlignment="1">
      <alignment vertical="center"/>
    </xf>
    <xf numFmtId="41" fontId="10" fillId="19" borderId="16" xfId="1" applyFont="1" applyFill="1" applyBorder="1" applyAlignment="1">
      <alignment vertical="center"/>
    </xf>
    <xf numFmtId="0" fontId="23" fillId="2" borderId="76" xfId="0" applyFont="1" applyFill="1" applyBorder="1" applyAlignment="1">
      <alignment vertical="center"/>
    </xf>
    <xf numFmtId="41" fontId="23" fillId="2" borderId="76" xfId="1" applyFont="1" applyFill="1" applyBorder="1" applyAlignment="1">
      <alignment vertical="center"/>
    </xf>
    <xf numFmtId="41" fontId="23" fillId="0" borderId="0" xfId="1" applyFont="1" applyAlignment="1">
      <alignment vertical="center"/>
    </xf>
    <xf numFmtId="180" fontId="23" fillId="19" borderId="16" xfId="1" applyNumberFormat="1" applyFont="1" applyFill="1" applyBorder="1" applyAlignment="1">
      <alignment vertical="center"/>
    </xf>
    <xf numFmtId="41" fontId="10" fillId="19" borderId="17" xfId="1" applyFont="1" applyFill="1" applyBorder="1" applyAlignment="1">
      <alignment vertical="center"/>
    </xf>
    <xf numFmtId="180" fontId="10" fillId="19" borderId="17" xfId="1" applyNumberFormat="1" applyFont="1" applyFill="1" applyBorder="1" applyAlignment="1">
      <alignment vertical="center"/>
    </xf>
    <xf numFmtId="41" fontId="23" fillId="4" borderId="17" xfId="1" applyFont="1" applyFill="1" applyBorder="1" applyAlignment="1">
      <alignment vertical="center"/>
    </xf>
    <xf numFmtId="0" fontId="23" fillId="0" borderId="19" xfId="0" applyFont="1" applyBorder="1" applyAlignment="1">
      <alignment vertical="center"/>
    </xf>
    <xf numFmtId="181" fontId="23" fillId="4" borderId="76" xfId="1" applyNumberFormat="1" applyFont="1" applyFill="1" applyBorder="1" applyAlignment="1">
      <alignment vertical="center"/>
    </xf>
    <xf numFmtId="0" fontId="25" fillId="0" borderId="0" xfId="0" applyFont="1" applyAlignment="1">
      <alignment vertical="center"/>
    </xf>
    <xf numFmtId="41" fontId="10" fillId="4" borderId="76" xfId="1" applyFont="1" applyFill="1" applyBorder="1" applyAlignment="1"/>
    <xf numFmtId="181" fontId="10" fillId="4" borderId="76" xfId="1" applyNumberFormat="1" applyFont="1" applyFill="1" applyBorder="1" applyAlignment="1"/>
    <xf numFmtId="43" fontId="10" fillId="19" borderId="81" xfId="1" applyNumberFormat="1" applyFont="1" applyFill="1" applyBorder="1" applyAlignment="1"/>
    <xf numFmtId="41" fontId="10" fillId="4" borderId="80" xfId="1" applyFont="1" applyFill="1" applyBorder="1" applyAlignment="1"/>
    <xf numFmtId="181" fontId="10" fillId="4" borderId="80" xfId="1" applyNumberFormat="1" applyFont="1" applyFill="1" applyBorder="1" applyAlignment="1"/>
    <xf numFmtId="181" fontId="19" fillId="19" borderId="80" xfId="1" applyNumberFormat="1" applyFont="1" applyFill="1" applyBorder="1" applyAlignment="1"/>
    <xf numFmtId="181" fontId="10" fillId="19" borderId="16" xfId="1" applyNumberFormat="1" applyFont="1" applyFill="1" applyBorder="1" applyAlignment="1">
      <alignment vertical="center"/>
    </xf>
    <xf numFmtId="181" fontId="23" fillId="19" borderId="16" xfId="1" applyNumberFormat="1" applyFont="1" applyFill="1" applyBorder="1" applyAlignment="1">
      <alignment vertical="center"/>
    </xf>
    <xf numFmtId="181" fontId="23" fillId="19" borderId="82" xfId="1" applyNumberFormat="1" applyFont="1" applyFill="1" applyBorder="1" applyAlignment="1">
      <alignment vertical="center"/>
    </xf>
    <xf numFmtId="181" fontId="10" fillId="19" borderId="16" xfId="1" applyNumberFormat="1" applyFont="1" applyFill="1" applyBorder="1" applyAlignment="1"/>
    <xf numFmtId="181" fontId="10" fillId="19" borderId="81" xfId="1" applyNumberFormat="1" applyFont="1" applyFill="1" applyBorder="1" applyAlignment="1"/>
    <xf numFmtId="41" fontId="0" fillId="0" borderId="0" xfId="1" applyFont="1" applyAlignment="1"/>
  </cellXfs>
  <cellStyles count="13">
    <cellStyle name="백분율 2" xfId="6" xr:uid="{B778637D-3797-4F2F-BD93-4B31CABDCF0B}"/>
    <cellStyle name="쉼표 [0]" xfId="1" builtinId="6"/>
    <cellStyle name="쉼표 [0] 2" xfId="3" xr:uid="{D8194698-F09A-4916-95A3-A8784408C85A}"/>
    <cellStyle name="쉼표 [0] 2 2" xfId="9" xr:uid="{A82E7080-1A7A-4BAB-916C-60461862CCD9}"/>
    <cellStyle name="쉼표 [0] 3" xfId="2" xr:uid="{25182009-D615-4B0C-84F4-C33417E938C9}"/>
    <cellStyle name="쉼표 [0] 4" xfId="8" xr:uid="{B93819D2-092C-4D75-AB38-F231305BE539}"/>
    <cellStyle name="쉼표 [0] 5" xfId="11" xr:uid="{3EB03A69-8B9D-4560-80EF-83792311B2B8}"/>
    <cellStyle name="쉼표 2" xfId="7" xr:uid="{C3F0D5F5-84F9-42E9-98BA-2D883A1E1714}"/>
    <cellStyle name="쉼표 3" xfId="10" xr:uid="{D027257B-F908-4CE9-9B9A-5FB05C2820A4}"/>
    <cellStyle name="통화 [0]" xfId="4" builtinId="7"/>
    <cellStyle name="통화 [0] 2" xfId="12" xr:uid="{C9F4926D-88F5-4097-ADAB-BF95CBBBCB9B}"/>
    <cellStyle name="표준" xfId="0" builtinId="0"/>
    <cellStyle name="표준 2" xfId="5" xr:uid="{A29B076D-36CD-47DE-A047-6535D2B325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m/AppData/Local/Microsoft/Windows/INetCache/IE/9U8N04MY/19&#45380;%20&#45236;&#50976;&#46041;&#51452;&#50976;&#49548;%20&#49552;&#5106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4&#50900;&#47588;&#52636;&#47583;&#51116;&#44256;&#49688;&#48520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m/AppData/Local/Microsoft/Windows/INetCache/IE/IBUGGSH4/&#49352;&#50504;&#50577;_1905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m/AppData/Local/Microsoft/Windows/INetCache/IE/MTH9E9FM/19&#45380;%20&#49352;&#50504;&#50577;&#51452;&#50976;&#49548;%20&#49552;&#5106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m/AppData/Local/Microsoft/Windows/INetCache/IE/AQKZP03M/19&#45380;1&#50900;_%20&#50728;&#49328;&#44277;&#45800;&#51452;&#50976;&#49548;%20&#49552;&#5106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m/AppData/Local/Microsoft/Windows/INetCache/IE/IBUGGSH4/&#45236;&#50976;&#46041;190527&#49464;&#5106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m/AppData/Local/Microsoft/Windows/INetCache/IE/9U8N04MY/2019&#45380;&#50724;&#49457;&#49552;&#5106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월매출및재고수불"/>
      <sheetName val="1월지출"/>
      <sheetName val="2월매출및재고수불"/>
      <sheetName val="2월지출"/>
      <sheetName val="3월매출및재고수불"/>
      <sheetName val="3월지출"/>
      <sheetName val="4월매출및재고수불"/>
      <sheetName val="4월지출"/>
      <sheetName val="5월매출및재고수불"/>
      <sheetName val="5월지출"/>
      <sheetName val="6월매출및재고수불"/>
      <sheetName val="6월지출"/>
      <sheetName val="7월매출및재고수불"/>
      <sheetName val="7월지출"/>
      <sheetName val="8월매출및재고수불"/>
      <sheetName val="8월지출"/>
      <sheetName val="9월매출및재고수불"/>
      <sheetName val="9월지출"/>
      <sheetName val="10월매출및재고수불"/>
      <sheetName val="10월지출"/>
      <sheetName val="11월매출및재고수불"/>
      <sheetName val="11월지출"/>
      <sheetName val="12월매출및재고수불"/>
      <sheetName val="12월지출"/>
      <sheetName val="19년손익"/>
    </sheetNames>
    <sheetDataSet>
      <sheetData sheetId="0">
        <row r="1">
          <cell r="A1" t="str">
            <v>내유동</v>
          </cell>
        </row>
      </sheetData>
      <sheetData sheetId="1"/>
      <sheetData sheetId="2"/>
      <sheetData sheetId="3"/>
      <sheetData sheetId="4"/>
      <sheetData sheetId="5"/>
      <sheetData sheetId="6">
        <row r="134">
          <cell r="F134">
            <v>7530</v>
          </cell>
        </row>
        <row r="135">
          <cell r="F135">
            <v>20000</v>
          </cell>
        </row>
        <row r="136">
          <cell r="F136">
            <v>20000</v>
          </cell>
        </row>
        <row r="137">
          <cell r="F137">
            <v>20000</v>
          </cell>
        </row>
        <row r="138">
          <cell r="F138">
            <v>30000</v>
          </cell>
        </row>
        <row r="139">
          <cell r="F139">
            <v>20000</v>
          </cell>
        </row>
        <row r="140">
          <cell r="F140">
            <v>30000</v>
          </cell>
        </row>
        <row r="141">
          <cell r="F141">
            <v>20000</v>
          </cell>
        </row>
        <row r="149">
          <cell r="F149">
            <v>9215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월매출및재고수불"/>
      <sheetName val="1월지출"/>
      <sheetName val="2월매출및재고수불"/>
      <sheetName val="2월지출"/>
      <sheetName val="3월매출및재고수불"/>
      <sheetName val="3월지출"/>
      <sheetName val="4월매출및재고수불"/>
      <sheetName val="4월지출"/>
      <sheetName val="5월매출및재고수불"/>
      <sheetName val="5월지출"/>
      <sheetName val="6월매출및재고수불"/>
      <sheetName val="6월지출"/>
      <sheetName val="7월매출및재고수불"/>
      <sheetName val="7월지출"/>
      <sheetName val="8월매출및재고수불"/>
      <sheetName val="8월지출"/>
      <sheetName val="9월매출및재고수불"/>
      <sheetName val="9월지출"/>
      <sheetName val="10월매출및재고수불"/>
      <sheetName val="10월지출"/>
      <sheetName val="11월매출및재고수불"/>
      <sheetName val="11월지출"/>
      <sheetName val="12월매출및재고수불"/>
      <sheetName val="12월지출"/>
      <sheetName val="19년손익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27">
          <cell r="F127">
            <v>16585</v>
          </cell>
        </row>
        <row r="128">
          <cell r="F128">
            <v>30000</v>
          </cell>
        </row>
        <row r="129">
          <cell r="F129">
            <v>20000</v>
          </cell>
        </row>
        <row r="130">
          <cell r="F130">
            <v>20000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마감장"/>
      <sheetName val="외상 원장"/>
      <sheetName val="카드원장"/>
      <sheetName val="외상총계정원장"/>
      <sheetName val="거래명세표"/>
      <sheetName val="재고"/>
      <sheetName val="판매매출"/>
      <sheetName val="시재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Y3">
            <v>1474</v>
          </cell>
        </row>
      </sheetData>
      <sheetData sheetId="9">
        <row r="3">
          <cell r="Y3">
            <v>1474</v>
          </cell>
        </row>
      </sheetData>
      <sheetData sheetId="10">
        <row r="3">
          <cell r="Y3">
            <v>1494</v>
          </cell>
        </row>
      </sheetData>
      <sheetData sheetId="11">
        <row r="3">
          <cell r="Y3">
            <v>1494</v>
          </cell>
        </row>
      </sheetData>
      <sheetData sheetId="12">
        <row r="3">
          <cell r="Y3">
            <v>1494</v>
          </cell>
        </row>
      </sheetData>
      <sheetData sheetId="13">
        <row r="3">
          <cell r="Y3">
            <v>1494</v>
          </cell>
        </row>
      </sheetData>
      <sheetData sheetId="14">
        <row r="3">
          <cell r="Y3">
            <v>1474</v>
          </cell>
        </row>
      </sheetData>
      <sheetData sheetId="15">
        <row r="3">
          <cell r="Y3">
            <v>1524</v>
          </cell>
        </row>
      </sheetData>
      <sheetData sheetId="16">
        <row r="3">
          <cell r="Y3">
            <v>1524</v>
          </cell>
        </row>
      </sheetData>
      <sheetData sheetId="17">
        <row r="3">
          <cell r="Y3">
            <v>1524</v>
          </cell>
        </row>
      </sheetData>
      <sheetData sheetId="18">
        <row r="3">
          <cell r="Y3">
            <v>1534</v>
          </cell>
        </row>
      </sheetData>
      <sheetData sheetId="19">
        <row r="3">
          <cell r="Y3">
            <v>1534</v>
          </cell>
        </row>
      </sheetData>
      <sheetData sheetId="20">
        <row r="3">
          <cell r="Y3">
            <v>1534</v>
          </cell>
        </row>
      </sheetData>
      <sheetData sheetId="21">
        <row r="3">
          <cell r="Y3">
            <v>1514</v>
          </cell>
        </row>
      </sheetData>
      <sheetData sheetId="22">
        <row r="3">
          <cell r="Y3">
            <v>1534</v>
          </cell>
        </row>
      </sheetData>
      <sheetData sheetId="23">
        <row r="3">
          <cell r="Y3">
            <v>1534</v>
          </cell>
        </row>
      </sheetData>
      <sheetData sheetId="24">
        <row r="3">
          <cell r="Y3">
            <v>1534</v>
          </cell>
        </row>
      </sheetData>
      <sheetData sheetId="25">
        <row r="3">
          <cell r="Y3">
            <v>1534</v>
          </cell>
        </row>
      </sheetData>
      <sheetData sheetId="26">
        <row r="3">
          <cell r="Y3">
            <v>1534</v>
          </cell>
        </row>
      </sheetData>
      <sheetData sheetId="27">
        <row r="3">
          <cell r="Y3">
            <v>1534</v>
          </cell>
        </row>
      </sheetData>
      <sheetData sheetId="28">
        <row r="3">
          <cell r="Y3">
            <v>1514</v>
          </cell>
        </row>
      </sheetData>
      <sheetData sheetId="29">
        <row r="3">
          <cell r="Y3">
            <v>1554</v>
          </cell>
        </row>
      </sheetData>
      <sheetData sheetId="30">
        <row r="3">
          <cell r="Y3">
            <v>1554</v>
          </cell>
        </row>
      </sheetData>
      <sheetData sheetId="31">
        <row r="3">
          <cell r="Y3">
            <v>1554</v>
          </cell>
        </row>
      </sheetData>
      <sheetData sheetId="32">
        <row r="3">
          <cell r="Y3">
            <v>1554</v>
          </cell>
        </row>
      </sheetData>
      <sheetData sheetId="33">
        <row r="3">
          <cell r="Y3">
            <v>1554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월매출및재고수불"/>
      <sheetName val="1월지출"/>
      <sheetName val="2월매출및재고수불"/>
      <sheetName val="2월지출"/>
      <sheetName val="3월매출및재고수불"/>
      <sheetName val="3월지출"/>
      <sheetName val="4월매출및재고수불"/>
      <sheetName val="4월지출"/>
      <sheetName val="5월매출및재고수불"/>
      <sheetName val="5월지출"/>
      <sheetName val="6월매출및재고수불"/>
      <sheetName val="6월지출"/>
      <sheetName val="7월매출및재고수불"/>
      <sheetName val="7월지출"/>
      <sheetName val="8월매출및재고수불"/>
      <sheetName val="8월지출"/>
      <sheetName val="9월매출및재고수불"/>
      <sheetName val="9월지출"/>
      <sheetName val="10월매출및재고수불"/>
      <sheetName val="10월지출"/>
      <sheetName val="11월매출및재고수불"/>
      <sheetName val="11월지출"/>
      <sheetName val="12월매출및재고수불"/>
      <sheetName val="12월지출"/>
      <sheetName val="19년손익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05">
          <cell r="F105">
            <v>2250</v>
          </cell>
          <cell r="G105">
            <v>1376.248</v>
          </cell>
        </row>
        <row r="106">
          <cell r="F106">
            <v>70000</v>
          </cell>
          <cell r="G106">
            <v>1396.248</v>
          </cell>
        </row>
        <row r="110">
          <cell r="F110">
            <v>52009</v>
          </cell>
          <cell r="G110">
            <v>1227.02</v>
          </cell>
        </row>
        <row r="111">
          <cell r="F111">
            <v>20000</v>
          </cell>
          <cell r="G111">
            <v>1211.248</v>
          </cell>
        </row>
        <row r="112">
          <cell r="F112">
            <v>60000</v>
          </cell>
          <cell r="G112">
            <v>1226.248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월매출및재고수불"/>
      <sheetName val="1월지출"/>
      <sheetName val="2월매출및재고수불"/>
      <sheetName val="2월지출"/>
      <sheetName val="3월매출및재고수불"/>
      <sheetName val="3월지출"/>
      <sheetName val="4월매출및재고수불"/>
      <sheetName val="4월지출"/>
      <sheetName val="5월매출및재고수불"/>
      <sheetName val="5월지출"/>
      <sheetName val="6월매출및재고수불"/>
      <sheetName val="6월지출"/>
      <sheetName val="7월매출및재고수불"/>
      <sheetName val="7월지출"/>
      <sheetName val="8월매출및재고수불"/>
      <sheetName val="8월지출"/>
      <sheetName val="9월매출및재고수불"/>
      <sheetName val="9월지출"/>
      <sheetName val="10월매출및재고수불"/>
      <sheetName val="10월지출"/>
      <sheetName val="11월매출및재고수불"/>
      <sheetName val="11월지출"/>
      <sheetName val="12월매출및재고수불"/>
      <sheetName val="12월지출"/>
      <sheetName val="19년손익"/>
      <sheetName val="Sheet1"/>
      <sheetName val="Sheet4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마감장"/>
      <sheetName val="외상 원장"/>
      <sheetName val="카드원장"/>
      <sheetName val="외상총계정원장"/>
      <sheetName val="거래명세표"/>
      <sheetName val="판매매출"/>
      <sheetName val="재고"/>
      <sheetName val="시재"/>
      <sheetName val="세차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>
        <row r="3">
          <cell r="Y3">
            <v>1485</v>
          </cell>
        </row>
      </sheetData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월매출및재고수불"/>
      <sheetName val="1월지출"/>
      <sheetName val="2월매출및재고수불"/>
      <sheetName val="2월지출"/>
      <sheetName val="3월매출및재고수불"/>
      <sheetName val="3월지출"/>
      <sheetName val="4월매출및재고수불"/>
      <sheetName val="4월지출"/>
      <sheetName val="5월매출및재고수불"/>
      <sheetName val="5월지출"/>
      <sheetName val="6월매출및재고수불"/>
      <sheetName val="6월지출"/>
      <sheetName val="7월매출및재고수불"/>
      <sheetName val="7월지출"/>
      <sheetName val="8월매출및재고수불"/>
      <sheetName val="8월지출"/>
      <sheetName val="9월매출및재고수불"/>
      <sheetName val="9월지출"/>
      <sheetName val="10월매출및재고수불"/>
      <sheetName val="10월지출"/>
      <sheetName val="11월매출및재고수불"/>
      <sheetName val="11월지출"/>
      <sheetName val="12월매출및재고수불"/>
      <sheetName val="12월지출"/>
      <sheetName val="19년손익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C55AE-76E1-472A-85C3-71723EA9235F}">
  <dimension ref="A1:Y39"/>
  <sheetViews>
    <sheetView tabSelected="1" zoomScale="77" zoomScaleNormal="77" workbookViewId="0">
      <selection activeCell="A2" sqref="A2"/>
    </sheetView>
  </sheetViews>
  <sheetFormatPr defaultRowHeight="16.5" x14ac:dyDescent="0.3"/>
  <cols>
    <col min="1" max="1" width="9.75" customWidth="1"/>
    <col min="2" max="2" width="5.375" customWidth="1"/>
    <col min="3" max="3" width="12.25" style="114" customWidth="1"/>
    <col min="4" max="4" width="9" style="114"/>
    <col min="5" max="5" width="15.375" style="114" customWidth="1"/>
    <col min="7" max="7" width="9.875" customWidth="1"/>
    <col min="8" max="9" width="12.5" style="115" customWidth="1"/>
    <col min="10" max="10" width="14.25" style="114" customWidth="1"/>
    <col min="11" max="11" width="10.75" customWidth="1"/>
    <col min="12" max="12" width="9.75" style="114" bestFit="1" customWidth="1"/>
    <col min="13" max="13" width="10.25" customWidth="1"/>
    <col min="14" max="14" width="9.125" style="114" customWidth="1"/>
    <col min="15" max="15" width="11.625" style="114" customWidth="1"/>
    <col min="16" max="16" width="9" style="114" customWidth="1"/>
    <col min="17" max="17" width="9" customWidth="1"/>
    <col min="18" max="18" width="14.75" customWidth="1"/>
    <col min="19" max="19" width="16.625" customWidth="1"/>
    <col min="20" max="20" width="14.25" customWidth="1"/>
    <col min="21" max="21" width="13" customWidth="1"/>
    <col min="22" max="22" width="13.25" customWidth="1"/>
    <col min="23" max="23" width="13" customWidth="1"/>
    <col min="24" max="24" width="18.125" customWidth="1"/>
    <col min="25" max="25" width="16.5" customWidth="1"/>
  </cols>
  <sheetData>
    <row r="1" spans="1:25" ht="20.25" x14ac:dyDescent="0.3">
      <c r="A1" s="1" t="s">
        <v>180</v>
      </c>
    </row>
    <row r="3" spans="1:25" s="32" customFormat="1" x14ac:dyDescent="0.3">
      <c r="C3" s="124">
        <f>내유동_재고!F51</f>
        <v>86585</v>
      </c>
      <c r="D3" s="125" t="s">
        <v>69</v>
      </c>
      <c r="F3" s="36"/>
      <c r="H3" s="7">
        <f>내유동_재고!F62</f>
        <v>197530</v>
      </c>
      <c r="I3" s="124" t="s">
        <v>69</v>
      </c>
      <c r="K3" s="129"/>
      <c r="L3" s="33"/>
      <c r="M3" s="124">
        <f>내유동_재고!F63</f>
        <v>9215</v>
      </c>
      <c r="N3" s="35" t="s">
        <v>69</v>
      </c>
      <c r="O3" s="36"/>
      <c r="U3" s="126">
        <v>0.3</v>
      </c>
      <c r="V3" s="126">
        <v>1</v>
      </c>
    </row>
    <row r="4" spans="1:25" x14ac:dyDescent="0.3">
      <c r="A4" s="445" t="s">
        <v>40</v>
      </c>
      <c r="B4" s="445" t="s">
        <v>41</v>
      </c>
      <c r="C4" s="437" t="s">
        <v>37</v>
      </c>
      <c r="D4" s="438"/>
      <c r="E4" s="438"/>
      <c r="F4" s="438"/>
      <c r="G4" s="439"/>
      <c r="H4" s="440" t="s">
        <v>38</v>
      </c>
      <c r="I4" s="441"/>
      <c r="J4" s="441"/>
      <c r="K4" s="441"/>
      <c r="L4" s="442"/>
      <c r="M4" s="446" t="s">
        <v>50</v>
      </c>
      <c r="N4" s="446"/>
      <c r="O4" s="446"/>
      <c r="P4" s="446"/>
      <c r="Q4" s="446"/>
      <c r="R4" s="433" t="s">
        <v>86</v>
      </c>
      <c r="S4" s="433" t="s">
        <v>94</v>
      </c>
      <c r="T4" s="435" t="s">
        <v>48</v>
      </c>
      <c r="U4" s="34" t="s">
        <v>67</v>
      </c>
      <c r="V4" s="34" t="s">
        <v>68</v>
      </c>
      <c r="W4" s="421" t="s">
        <v>85</v>
      </c>
      <c r="X4" s="423" t="s">
        <v>103</v>
      </c>
    </row>
    <row r="5" spans="1:25" x14ac:dyDescent="0.3">
      <c r="A5" s="445"/>
      <c r="B5" s="445"/>
      <c r="C5" s="7" t="s">
        <v>43</v>
      </c>
      <c r="D5" s="7" t="s">
        <v>66</v>
      </c>
      <c r="E5" s="7" t="s">
        <v>95</v>
      </c>
      <c r="F5" s="23" t="s">
        <v>64</v>
      </c>
      <c r="G5" s="327" t="s">
        <v>65</v>
      </c>
      <c r="H5" s="7" t="s">
        <v>43</v>
      </c>
      <c r="I5" s="7" t="s">
        <v>66</v>
      </c>
      <c r="J5" s="7" t="s">
        <v>95</v>
      </c>
      <c r="K5" s="23" t="s">
        <v>64</v>
      </c>
      <c r="L5" s="7" t="s">
        <v>65</v>
      </c>
      <c r="M5" s="327" t="s">
        <v>43</v>
      </c>
      <c r="N5" s="7" t="s">
        <v>66</v>
      </c>
      <c r="O5" s="7" t="s">
        <v>95</v>
      </c>
      <c r="P5" s="23" t="s">
        <v>64</v>
      </c>
      <c r="Q5" s="327" t="s">
        <v>65</v>
      </c>
      <c r="R5" s="434"/>
      <c r="S5" s="434"/>
      <c r="T5" s="436"/>
      <c r="U5" s="327" t="s">
        <v>46</v>
      </c>
      <c r="V5" s="327" t="s">
        <v>46</v>
      </c>
      <c r="W5" s="422"/>
      <c r="X5" s="424"/>
    </row>
    <row r="6" spans="1:25" x14ac:dyDescent="0.3">
      <c r="A6" s="25">
        <v>43586</v>
      </c>
      <c r="B6" s="327" t="s">
        <v>60</v>
      </c>
      <c r="C6" s="35">
        <v>5136.8999999994412</v>
      </c>
      <c r="D6" s="312">
        <v>1415</v>
      </c>
      <c r="E6" s="35">
        <f>C6*D6</f>
        <v>7268713.4999992093</v>
      </c>
      <c r="F6" s="35">
        <f>16585-C6</f>
        <v>11448.100000000559</v>
      </c>
      <c r="G6" s="68">
        <v>1344.1</v>
      </c>
      <c r="H6" s="7">
        <v>10754.600000000471</v>
      </c>
      <c r="I6" s="35">
        <v>1295</v>
      </c>
      <c r="J6" s="35">
        <f>H6*I6</f>
        <v>13927207.000000611</v>
      </c>
      <c r="K6" s="26">
        <f>내유동_재고!F52-오성_손익!H6+내유동_재고!F53</f>
        <v>16775.399999999529</v>
      </c>
      <c r="L6" s="319">
        <f>(7530*1195.4)/10775+(3225*1201.6)/10755</f>
        <v>1195.705637889246</v>
      </c>
      <c r="M6" s="26">
        <v>15.200000000186265</v>
      </c>
      <c r="N6" s="35">
        <v>990</v>
      </c>
      <c r="O6" s="35">
        <f>M6*N6</f>
        <v>15048.000000184402</v>
      </c>
      <c r="P6" s="26">
        <f>내유동_재고!F63-오성_손익!M6</f>
        <v>9199.7999999998137</v>
      </c>
      <c r="Q6" s="66">
        <v>782</v>
      </c>
      <c r="R6" s="26">
        <f>E6+J6+O6</f>
        <v>21210968.500000007</v>
      </c>
      <c r="S6" s="5">
        <f>C6*G6+H6*L6+M6*Q6</f>
        <v>19775729.543243647</v>
      </c>
      <c r="T6" s="28">
        <f>R6-S6</f>
        <v>1435238.9567563608</v>
      </c>
      <c r="U6" s="26">
        <v>88000</v>
      </c>
      <c r="V6" s="26">
        <v>273000</v>
      </c>
      <c r="W6" s="26">
        <f t="shared" ref="W6:W36" si="0">U6*0.7</f>
        <v>61599.999999999993</v>
      </c>
      <c r="X6" s="117">
        <f>T6+V6+W6</f>
        <v>1769838.9567563608</v>
      </c>
      <c r="Y6" t="s">
        <v>174</v>
      </c>
    </row>
    <row r="7" spans="1:25" x14ac:dyDescent="0.3">
      <c r="A7" s="25">
        <v>43587</v>
      </c>
      <c r="B7" s="327" t="s">
        <v>61</v>
      </c>
      <c r="C7" s="35">
        <v>3866</v>
      </c>
      <c r="D7" s="312">
        <v>1415</v>
      </c>
      <c r="E7" s="35">
        <f t="shared" ref="E7:E34" si="1">C7*D7</f>
        <v>5470390</v>
      </c>
      <c r="F7" s="26">
        <f>F6-C7</f>
        <v>7582.1000000005588</v>
      </c>
      <c r="G7" s="68">
        <v>1344.1</v>
      </c>
      <c r="H7" s="7">
        <v>14614.399999999645</v>
      </c>
      <c r="I7" s="35">
        <v>1295</v>
      </c>
      <c r="J7" s="35">
        <f t="shared" ref="J7:J36" si="2">H7*I7</f>
        <v>18925647.999999542</v>
      </c>
      <c r="K7" s="26">
        <f>K6-H7</f>
        <v>2160.9999999998836</v>
      </c>
      <c r="L7" s="319">
        <v>1201.5999999999999</v>
      </c>
      <c r="M7" s="26">
        <v>20</v>
      </c>
      <c r="N7" s="35">
        <v>990</v>
      </c>
      <c r="O7" s="35">
        <f t="shared" ref="O7:O36" si="3">M7*N7</f>
        <v>19800</v>
      </c>
      <c r="P7" s="26">
        <f>P6-M7</f>
        <v>9179.7999999998137</v>
      </c>
      <c r="Q7" s="66">
        <v>782</v>
      </c>
      <c r="R7" s="26">
        <f t="shared" ref="R7:R36" si="4">E7+J7+O7</f>
        <v>24415837.999999542</v>
      </c>
      <c r="S7" s="5">
        <f t="shared" ref="S7:S36" si="5">C7*G7+H7*L7+M7*Q7</f>
        <v>22772593.639999568</v>
      </c>
      <c r="T7" s="28">
        <f t="shared" ref="T7:T36" si="6">R7-S7</f>
        <v>1643244.3599999733</v>
      </c>
      <c r="U7" s="26">
        <v>224000</v>
      </c>
      <c r="V7" s="72">
        <v>203000</v>
      </c>
      <c r="W7" s="26">
        <f t="shared" si="0"/>
        <v>156800</v>
      </c>
      <c r="X7" s="117">
        <f t="shared" ref="X7:X36" si="7">T7+V7+W7</f>
        <v>2003044.3599999733</v>
      </c>
    </row>
    <row r="8" spans="1:25" x14ac:dyDescent="0.3">
      <c r="A8" s="25">
        <v>43588</v>
      </c>
      <c r="B8" s="327" t="s">
        <v>52</v>
      </c>
      <c r="C8" s="35">
        <v>5633.9000000013039</v>
      </c>
      <c r="D8" s="312">
        <v>1419</v>
      </c>
      <c r="E8" s="35">
        <f t="shared" si="1"/>
        <v>7994504.1000018502</v>
      </c>
      <c r="F8" s="26">
        <f t="shared" ref="F8:F10" si="8">F7-C8</f>
        <v>1948.1999999992549</v>
      </c>
      <c r="G8" s="68">
        <v>1344.1</v>
      </c>
      <c r="H8" s="7">
        <v>16411.000000000728</v>
      </c>
      <c r="I8" s="35">
        <v>1299</v>
      </c>
      <c r="J8" s="35">
        <f t="shared" si="2"/>
        <v>21317889.000000946</v>
      </c>
      <c r="K8" s="131">
        <f>K7-H8+20000</f>
        <v>5749.999999999156</v>
      </c>
      <c r="L8" s="562">
        <v>1201.5999999999999</v>
      </c>
      <c r="M8" s="26">
        <v>900.20000000018626</v>
      </c>
      <c r="N8" s="35">
        <v>990</v>
      </c>
      <c r="O8" s="35">
        <f t="shared" si="3"/>
        <v>891198.0000001844</v>
      </c>
      <c r="P8" s="26">
        <f t="shared" ref="P8:P32" si="9">P7-M8</f>
        <v>8279.5999999996275</v>
      </c>
      <c r="Q8" s="66">
        <v>782</v>
      </c>
      <c r="R8" s="26">
        <f t="shared" si="4"/>
        <v>30203591.100002982</v>
      </c>
      <c r="S8" s="5">
        <f t="shared" si="5"/>
        <v>27995938.990002774</v>
      </c>
      <c r="T8" s="28">
        <f t="shared" si="6"/>
        <v>2207652.110000208</v>
      </c>
      <c r="U8" s="26">
        <v>347000</v>
      </c>
      <c r="V8" s="26">
        <v>250000</v>
      </c>
      <c r="W8" s="26">
        <f t="shared" si="0"/>
        <v>242899.99999999997</v>
      </c>
      <c r="X8" s="117">
        <f t="shared" si="7"/>
        <v>2700552.110000208</v>
      </c>
    </row>
    <row r="9" spans="1:25" x14ac:dyDescent="0.3">
      <c r="A9" s="25">
        <v>43589</v>
      </c>
      <c r="B9" s="327" t="s">
        <v>62</v>
      </c>
      <c r="C9" s="35">
        <v>6527.2000000011176</v>
      </c>
      <c r="D9" s="312">
        <v>1419</v>
      </c>
      <c r="E9" s="35">
        <f t="shared" si="1"/>
        <v>9262096.8000015859</v>
      </c>
      <c r="F9" s="311">
        <f>F8-C9+내유동_재고!F45</f>
        <v>25420.999999998137</v>
      </c>
      <c r="G9" s="414">
        <f>(1948*1344.1)/C9+(4579*1349.8)/C9</f>
        <v>1348.0575131754035</v>
      </c>
      <c r="H9" s="7">
        <v>12262.299999998941</v>
      </c>
      <c r="I9" s="35">
        <v>1299</v>
      </c>
      <c r="J9" s="35">
        <f t="shared" si="2"/>
        <v>15928727.699998625</v>
      </c>
      <c r="K9" s="26">
        <f>K8-H9+20000</f>
        <v>13487.700000000215</v>
      </c>
      <c r="L9" s="319">
        <v>1201.5999999999999</v>
      </c>
      <c r="M9" s="26">
        <v>60.200000000186265</v>
      </c>
      <c r="N9" s="35">
        <v>990</v>
      </c>
      <c r="O9" s="35">
        <f t="shared" si="3"/>
        <v>59598.000000184402</v>
      </c>
      <c r="P9" s="26">
        <f t="shared" si="9"/>
        <v>8219.3999999994412</v>
      </c>
      <c r="Q9" s="66">
        <v>782</v>
      </c>
      <c r="R9" s="26">
        <f t="shared" si="4"/>
        <v>25250422.500000395</v>
      </c>
      <c r="S9" s="5">
        <f t="shared" si="5"/>
        <v>23580497.079998873</v>
      </c>
      <c r="T9" s="28">
        <f t="shared" si="6"/>
        <v>1669925.4200015217</v>
      </c>
      <c r="U9" s="26">
        <v>379000</v>
      </c>
      <c r="V9" s="26">
        <v>288000</v>
      </c>
      <c r="W9" s="26">
        <f t="shared" si="0"/>
        <v>265300</v>
      </c>
      <c r="X9" s="117">
        <f t="shared" si="7"/>
        <v>2223225.4200015217</v>
      </c>
    </row>
    <row r="10" spans="1:25" x14ac:dyDescent="0.3">
      <c r="A10" s="25">
        <v>43590</v>
      </c>
      <c r="B10" s="327" t="s">
        <v>63</v>
      </c>
      <c r="C10" s="35">
        <v>4953.3999999975786</v>
      </c>
      <c r="D10" s="312">
        <v>1429</v>
      </c>
      <c r="E10" s="35">
        <f t="shared" si="1"/>
        <v>7078408.5999965398</v>
      </c>
      <c r="F10" s="26">
        <f t="shared" si="8"/>
        <v>20467.600000000559</v>
      </c>
      <c r="G10" s="68">
        <v>1349.8</v>
      </c>
      <c r="H10" s="7">
        <v>6334.9000000003434</v>
      </c>
      <c r="I10" s="35">
        <v>1299</v>
      </c>
      <c r="J10" s="35">
        <f t="shared" si="2"/>
        <v>8229035.1000004457</v>
      </c>
      <c r="K10" s="557">
        <f>K9-H10</f>
        <v>7152.7999999998719</v>
      </c>
      <c r="L10" s="318">
        <v>1201.5999999999999</v>
      </c>
      <c r="M10" s="26">
        <v>20.199999999254942</v>
      </c>
      <c r="N10" s="35">
        <v>990</v>
      </c>
      <c r="O10" s="35">
        <f t="shared" si="3"/>
        <v>19997.999999262393</v>
      </c>
      <c r="P10" s="26">
        <f t="shared" si="9"/>
        <v>8199.2000000001863</v>
      </c>
      <c r="Q10" s="66">
        <v>782</v>
      </c>
      <c r="R10" s="26">
        <f t="shared" si="4"/>
        <v>15327441.699996248</v>
      </c>
      <c r="S10" s="5">
        <f t="shared" si="5"/>
        <v>14313911.55999656</v>
      </c>
      <c r="T10" s="28">
        <f t="shared" si="6"/>
        <v>1013530.1399996877</v>
      </c>
      <c r="U10" s="26">
        <v>429000</v>
      </c>
      <c r="V10" s="26">
        <v>196000</v>
      </c>
      <c r="W10" s="26">
        <f t="shared" si="0"/>
        <v>300300</v>
      </c>
      <c r="X10" s="117">
        <f t="shared" si="7"/>
        <v>1509830.1399996877</v>
      </c>
    </row>
    <row r="11" spans="1:25" x14ac:dyDescent="0.3">
      <c r="A11" s="25">
        <v>43591</v>
      </c>
      <c r="B11" s="327" t="s">
        <v>55</v>
      </c>
      <c r="C11" s="35">
        <v>6036.1000000014901</v>
      </c>
      <c r="D11" s="312">
        <v>1429</v>
      </c>
      <c r="E11" s="35">
        <f t="shared" si="1"/>
        <v>8625586.9000021294</v>
      </c>
      <c r="F11" s="35">
        <f>F10-C11</f>
        <v>14431.499999999069</v>
      </c>
      <c r="G11" s="68">
        <v>1349.8</v>
      </c>
      <c r="H11" s="7">
        <v>14316.300000000076</v>
      </c>
      <c r="I11" s="35">
        <v>1299</v>
      </c>
      <c r="J11" s="35">
        <f t="shared" si="2"/>
        <v>18596873.7000001</v>
      </c>
      <c r="K11" s="131">
        <f>K10-H11+20000</f>
        <v>12836.499999999796</v>
      </c>
      <c r="L11" s="562">
        <f>(7153*1201.6)/14316+(7163*1207.3)/14316</f>
        <v>1204.4519907795473</v>
      </c>
      <c r="M11" s="26">
        <v>15.100000000558794</v>
      </c>
      <c r="N11" s="35">
        <v>990</v>
      </c>
      <c r="O11" s="35">
        <f t="shared" si="3"/>
        <v>14949.000000553206</v>
      </c>
      <c r="P11" s="26">
        <f t="shared" si="9"/>
        <v>8184.0999999996275</v>
      </c>
      <c r="Q11" s="66">
        <v>782</v>
      </c>
      <c r="R11" s="26">
        <f t="shared" si="4"/>
        <v>27237409.600002781</v>
      </c>
      <c r="S11" s="5">
        <f t="shared" si="5"/>
        <v>25402632.015599772</v>
      </c>
      <c r="T11" s="28">
        <f t="shared" si="6"/>
        <v>1834777.5844030082</v>
      </c>
      <c r="U11" s="26">
        <v>483000</v>
      </c>
      <c r="V11" s="26">
        <v>292000</v>
      </c>
      <c r="W11" s="26">
        <f t="shared" si="0"/>
        <v>338100</v>
      </c>
      <c r="X11" s="117">
        <f t="shared" si="7"/>
        <v>2464877.5844030082</v>
      </c>
    </row>
    <row r="12" spans="1:25" x14ac:dyDescent="0.3">
      <c r="A12" s="25">
        <v>43592</v>
      </c>
      <c r="B12" s="327" t="s">
        <v>56</v>
      </c>
      <c r="C12" s="35">
        <v>3614.4999999990687</v>
      </c>
      <c r="D12" s="312">
        <v>1435</v>
      </c>
      <c r="E12" s="35">
        <f t="shared" si="1"/>
        <v>5186807.4999986636</v>
      </c>
      <c r="F12" s="35">
        <f>F11-C12</f>
        <v>10817</v>
      </c>
      <c r="G12" s="68">
        <v>1349.8</v>
      </c>
      <c r="H12" s="7">
        <v>15130.199999999924</v>
      </c>
      <c r="I12" s="35">
        <v>1315</v>
      </c>
      <c r="J12" s="35">
        <f t="shared" si="2"/>
        <v>19896212.999999899</v>
      </c>
      <c r="K12" s="131">
        <f>K11-H12+30000</f>
        <v>27706.299999999872</v>
      </c>
      <c r="L12" s="320">
        <v>1207.3</v>
      </c>
      <c r="M12" s="26">
        <v>300</v>
      </c>
      <c r="N12" s="35">
        <v>990</v>
      </c>
      <c r="O12" s="35">
        <f t="shared" si="3"/>
        <v>297000</v>
      </c>
      <c r="P12" s="26">
        <f t="shared" si="9"/>
        <v>7884.0999999996275</v>
      </c>
      <c r="Q12" s="66">
        <v>782</v>
      </c>
      <c r="R12" s="26">
        <f t="shared" si="4"/>
        <v>25380020.499998562</v>
      </c>
      <c r="S12" s="5">
        <f t="shared" si="5"/>
        <v>23380142.55999865</v>
      </c>
      <c r="T12" s="28">
        <f t="shared" si="6"/>
        <v>1999877.9399999119</v>
      </c>
      <c r="U12" s="26">
        <v>589000</v>
      </c>
      <c r="V12" s="26">
        <v>195000</v>
      </c>
      <c r="W12" s="26">
        <f t="shared" si="0"/>
        <v>412300</v>
      </c>
      <c r="X12" s="117">
        <f t="shared" si="7"/>
        <v>2607177.9399999119</v>
      </c>
    </row>
    <row r="13" spans="1:25" x14ac:dyDescent="0.3">
      <c r="A13" s="25">
        <v>43593</v>
      </c>
      <c r="B13" s="327" t="s">
        <v>57</v>
      </c>
      <c r="C13" s="35">
        <v>4239.2000000001863</v>
      </c>
      <c r="D13" s="312">
        <v>1485</v>
      </c>
      <c r="E13" s="35">
        <f t="shared" si="1"/>
        <v>6295212.0000002766</v>
      </c>
      <c r="F13" s="35">
        <f>F12-C13</f>
        <v>6577.7999999998137</v>
      </c>
      <c r="G13" s="68">
        <v>1349.8</v>
      </c>
      <c r="H13" s="7">
        <v>13931.700000000477</v>
      </c>
      <c r="I13" s="35">
        <v>1335</v>
      </c>
      <c r="J13" s="35">
        <f t="shared" si="2"/>
        <v>18598819.500000637</v>
      </c>
      <c r="K13" s="26">
        <f>K12-H13</f>
        <v>13774.599999999395</v>
      </c>
      <c r="L13" s="319">
        <v>1207.3</v>
      </c>
      <c r="M13" s="26">
        <v>420.20000000018626</v>
      </c>
      <c r="N13" s="35">
        <v>990</v>
      </c>
      <c r="O13" s="35">
        <f t="shared" si="3"/>
        <v>415998.0000001844</v>
      </c>
      <c r="P13" s="26">
        <f t="shared" si="9"/>
        <v>7463.8999999994412</v>
      </c>
      <c r="Q13" s="66">
        <v>782</v>
      </c>
      <c r="R13" s="26">
        <f t="shared" si="4"/>
        <v>25310029.500001095</v>
      </c>
      <c r="S13" s="5">
        <f t="shared" si="5"/>
        <v>22870409.970000975</v>
      </c>
      <c r="T13" s="28">
        <f t="shared" si="6"/>
        <v>2439619.5300001204</v>
      </c>
      <c r="U13" s="26">
        <v>690000</v>
      </c>
      <c r="V13" s="325">
        <v>210000</v>
      </c>
      <c r="W13" s="326">
        <f t="shared" si="0"/>
        <v>482999.99999999994</v>
      </c>
      <c r="X13" s="117">
        <f t="shared" si="7"/>
        <v>3132619.5300001204</v>
      </c>
    </row>
    <row r="14" spans="1:25" x14ac:dyDescent="0.3">
      <c r="A14" s="25">
        <v>43594</v>
      </c>
      <c r="B14" s="327" t="s">
        <v>58</v>
      </c>
      <c r="C14" s="35">
        <v>3691.1000000014901</v>
      </c>
      <c r="D14" s="312">
        <v>1475</v>
      </c>
      <c r="E14" s="35">
        <f t="shared" si="1"/>
        <v>5444372.5000021979</v>
      </c>
      <c r="F14" s="35">
        <f t="shared" ref="F14:F26" si="10">F13-C14</f>
        <v>2886.6999999983236</v>
      </c>
      <c r="G14" s="68">
        <v>1349.8</v>
      </c>
      <c r="H14" s="7">
        <v>14651.799999999668</v>
      </c>
      <c r="I14" s="35">
        <v>1335</v>
      </c>
      <c r="J14" s="35">
        <f t="shared" si="2"/>
        <v>19560152.999999557</v>
      </c>
      <c r="K14" s="131">
        <f>K13-H14+20000</f>
        <v>19122.799999999726</v>
      </c>
      <c r="L14" s="319">
        <f>(13775*1207.3)/14652+(877*1201.6)/14652</f>
        <v>1206.9588247338249</v>
      </c>
      <c r="M14" s="26">
        <v>20.099999999627471</v>
      </c>
      <c r="N14" s="35">
        <v>990</v>
      </c>
      <c r="O14" s="35">
        <f t="shared" si="3"/>
        <v>19898.999999631196</v>
      </c>
      <c r="P14" s="26">
        <f t="shared" si="9"/>
        <v>7443.7999999998137</v>
      </c>
      <c r="Q14" s="66">
        <v>782</v>
      </c>
      <c r="R14" s="26">
        <f t="shared" si="4"/>
        <v>25024424.500001386</v>
      </c>
      <c r="S14" s="5">
        <f t="shared" si="5"/>
        <v>22682084.288236376</v>
      </c>
      <c r="T14" s="28">
        <f t="shared" si="6"/>
        <v>2342340.2117650099</v>
      </c>
      <c r="U14" s="26">
        <v>739000</v>
      </c>
      <c r="V14" s="26">
        <v>200000</v>
      </c>
      <c r="W14" s="26">
        <f t="shared" si="0"/>
        <v>517299.99999999994</v>
      </c>
      <c r="X14" s="117">
        <f t="shared" si="7"/>
        <v>3059640.2117650099</v>
      </c>
    </row>
    <row r="15" spans="1:25" x14ac:dyDescent="0.3">
      <c r="A15" s="25">
        <v>43595</v>
      </c>
      <c r="B15" s="327" t="s">
        <v>59</v>
      </c>
      <c r="C15" s="35">
        <v>3860.5999999977648</v>
      </c>
      <c r="D15" s="312">
        <v>1475</v>
      </c>
      <c r="E15" s="35">
        <f t="shared" si="1"/>
        <v>5694384.9999967031</v>
      </c>
      <c r="F15" s="311">
        <f>F14-C15+20000</f>
        <v>19026.100000000559</v>
      </c>
      <c r="G15" s="414">
        <f>(2887*1349.8)/C15+(974*1372.3)/C15</f>
        <v>1355.6164326796431</v>
      </c>
      <c r="H15" s="7">
        <v>15575.399999999849</v>
      </c>
      <c r="I15" s="35">
        <v>1335</v>
      </c>
      <c r="J15" s="35">
        <f t="shared" si="2"/>
        <v>20793158.999999799</v>
      </c>
      <c r="K15" s="26">
        <f t="shared" ref="K15:K17" si="11">K14-H15</f>
        <v>3547.3999999998778</v>
      </c>
      <c r="L15" s="319">
        <v>1201.5999999999999</v>
      </c>
      <c r="M15" s="26">
        <v>9.999999962747097E-2</v>
      </c>
      <c r="N15" s="35">
        <v>990</v>
      </c>
      <c r="O15" s="35">
        <f t="shared" si="3"/>
        <v>98.99999963119626</v>
      </c>
      <c r="P15" s="26">
        <f t="shared" si="9"/>
        <v>7443.7000000001863</v>
      </c>
      <c r="Q15" s="66">
        <v>782</v>
      </c>
      <c r="R15" s="26">
        <f t="shared" si="4"/>
        <v>26487642.999996133</v>
      </c>
      <c r="S15" s="5">
        <f t="shared" si="5"/>
        <v>23948971.639999527</v>
      </c>
      <c r="T15" s="28">
        <f t="shared" si="6"/>
        <v>2538671.3599966057</v>
      </c>
      <c r="U15" s="26">
        <v>835140</v>
      </c>
      <c r="V15" s="26">
        <v>215000</v>
      </c>
      <c r="W15" s="26">
        <f t="shared" si="0"/>
        <v>584598</v>
      </c>
      <c r="X15" s="117">
        <f t="shared" si="7"/>
        <v>3338269.3599966057</v>
      </c>
    </row>
    <row r="16" spans="1:25" x14ac:dyDescent="0.3">
      <c r="A16" s="25">
        <v>43596</v>
      </c>
      <c r="B16" s="327" t="s">
        <v>53</v>
      </c>
      <c r="C16" s="35">
        <v>5365.9000000013039</v>
      </c>
      <c r="D16" s="312">
        <v>1485</v>
      </c>
      <c r="E16" s="35">
        <f t="shared" si="1"/>
        <v>7968361.5000019362</v>
      </c>
      <c r="F16" s="35">
        <f>F15-C16</f>
        <v>13660.199999999255</v>
      </c>
      <c r="G16" s="67">
        <v>1372.3</v>
      </c>
      <c r="H16" s="7">
        <v>12728.000000000116</v>
      </c>
      <c r="I16" s="35">
        <v>1335</v>
      </c>
      <c r="J16" s="35">
        <f t="shared" si="2"/>
        <v>16991880.000000156</v>
      </c>
      <c r="K16" s="131">
        <f>K15-H16+30000</f>
        <v>20819.399999999761</v>
      </c>
      <c r="L16" s="562">
        <f>(3541*1201.6)/12728+(9181*1222.3)/12728</f>
        <v>1215.9649512884978</v>
      </c>
      <c r="M16" s="26">
        <v>310.10000000055879</v>
      </c>
      <c r="N16" s="35">
        <v>990</v>
      </c>
      <c r="O16" s="35">
        <f t="shared" si="3"/>
        <v>306999.00000055321</v>
      </c>
      <c r="P16" s="26">
        <f t="shared" si="9"/>
        <v>7133.5999999996275</v>
      </c>
      <c r="Q16" s="66">
        <v>782</v>
      </c>
      <c r="R16" s="26">
        <f t="shared" si="4"/>
        <v>25267240.500002645</v>
      </c>
      <c r="S16" s="5">
        <f t="shared" si="5"/>
        <v>23082924.670002371</v>
      </c>
      <c r="T16" s="28">
        <f t="shared" si="6"/>
        <v>2184315.8300002739</v>
      </c>
      <c r="U16" s="26">
        <v>918490</v>
      </c>
      <c r="V16" s="26">
        <v>331000</v>
      </c>
      <c r="W16" s="26">
        <f t="shared" si="0"/>
        <v>642943</v>
      </c>
      <c r="X16" s="117">
        <f t="shared" si="7"/>
        <v>3158258.8300002739</v>
      </c>
    </row>
    <row r="17" spans="1:24" x14ac:dyDescent="0.3">
      <c r="A17" s="25">
        <v>43597</v>
      </c>
      <c r="B17" s="327" t="s">
        <v>54</v>
      </c>
      <c r="C17" s="35">
        <v>3983.8999999994412</v>
      </c>
      <c r="D17" s="312">
        <v>1485</v>
      </c>
      <c r="E17" s="35">
        <f t="shared" si="1"/>
        <v>5916091.4999991702</v>
      </c>
      <c r="F17" s="26">
        <f t="shared" si="10"/>
        <v>9676.2999999998137</v>
      </c>
      <c r="G17" s="67">
        <v>1372.3</v>
      </c>
      <c r="H17" s="7">
        <v>6207.0999999997439</v>
      </c>
      <c r="I17" s="35">
        <v>1335</v>
      </c>
      <c r="J17" s="35">
        <f t="shared" si="2"/>
        <v>8286478.4999996582</v>
      </c>
      <c r="K17" s="35">
        <f t="shared" si="11"/>
        <v>14612.300000000017</v>
      </c>
      <c r="L17" s="318">
        <v>1222.3</v>
      </c>
      <c r="M17" s="26">
        <v>0</v>
      </c>
      <c r="N17" s="35">
        <v>990</v>
      </c>
      <c r="O17" s="35">
        <f t="shared" si="3"/>
        <v>0</v>
      </c>
      <c r="P17" s="26">
        <f t="shared" si="9"/>
        <v>7133.5999999996275</v>
      </c>
      <c r="Q17" s="66">
        <v>782</v>
      </c>
      <c r="R17" s="26">
        <f t="shared" si="4"/>
        <v>14202569.999998828</v>
      </c>
      <c r="S17" s="5">
        <f t="shared" si="5"/>
        <v>13054044.29999892</v>
      </c>
      <c r="T17" s="28">
        <f t="shared" si="6"/>
        <v>1148525.699999908</v>
      </c>
      <c r="U17" s="26">
        <v>962090</v>
      </c>
      <c r="V17" s="26">
        <v>283000</v>
      </c>
      <c r="W17" s="26">
        <f t="shared" si="0"/>
        <v>673463</v>
      </c>
      <c r="X17" s="117">
        <f t="shared" si="7"/>
        <v>2104988.699999908</v>
      </c>
    </row>
    <row r="18" spans="1:24" x14ac:dyDescent="0.3">
      <c r="A18" s="25">
        <v>43598</v>
      </c>
      <c r="B18" s="327" t="s">
        <v>55</v>
      </c>
      <c r="C18" s="35">
        <v>3061</v>
      </c>
      <c r="D18" s="312">
        <v>1485</v>
      </c>
      <c r="E18" s="35">
        <f t="shared" si="1"/>
        <v>4545585</v>
      </c>
      <c r="F18" s="26">
        <f t="shared" si="10"/>
        <v>6615.2999999998137</v>
      </c>
      <c r="G18" s="67">
        <v>1372.3</v>
      </c>
      <c r="H18" s="7">
        <v>15038.499999999796</v>
      </c>
      <c r="I18" s="35">
        <v>1335</v>
      </c>
      <c r="J18" s="35">
        <f t="shared" si="2"/>
        <v>20076397.499999728</v>
      </c>
      <c r="K18" s="131">
        <f>K17-H18+20000</f>
        <v>19573.800000000221</v>
      </c>
      <c r="L18" s="318">
        <v>1222.3</v>
      </c>
      <c r="M18" s="26">
        <v>400</v>
      </c>
      <c r="N18" s="35">
        <v>990</v>
      </c>
      <c r="O18" s="35">
        <f t="shared" si="3"/>
        <v>396000</v>
      </c>
      <c r="P18" s="26">
        <f t="shared" si="9"/>
        <v>6733.5999999996275</v>
      </c>
      <c r="Q18" s="66">
        <v>782</v>
      </c>
      <c r="R18" s="26">
        <f t="shared" si="4"/>
        <v>25017982.499999728</v>
      </c>
      <c r="S18" s="5">
        <f t="shared" si="5"/>
        <v>22894968.849999752</v>
      </c>
      <c r="T18" s="28">
        <f t="shared" si="6"/>
        <v>2123013.6499999762</v>
      </c>
      <c r="U18" s="26">
        <v>1077211</v>
      </c>
      <c r="V18" s="26">
        <v>113000</v>
      </c>
      <c r="W18" s="26">
        <f t="shared" si="0"/>
        <v>754047.7</v>
      </c>
      <c r="X18" s="117">
        <f t="shared" si="7"/>
        <v>2990061.3499999763</v>
      </c>
    </row>
    <row r="19" spans="1:24" x14ac:dyDescent="0.3">
      <c r="A19" s="25">
        <v>43599</v>
      </c>
      <c r="B19" s="327" t="s">
        <v>56</v>
      </c>
      <c r="C19" s="35">
        <v>3384.9000000013039</v>
      </c>
      <c r="D19" s="312">
        <v>1485</v>
      </c>
      <c r="E19" s="35">
        <f t="shared" si="1"/>
        <v>5026576.5000019362</v>
      </c>
      <c r="F19" s="26">
        <f t="shared" si="10"/>
        <v>3230.3999999985099</v>
      </c>
      <c r="G19" s="67">
        <v>1372.3</v>
      </c>
      <c r="H19" s="7">
        <v>17860.10000000018</v>
      </c>
      <c r="I19" s="35">
        <v>1335</v>
      </c>
      <c r="J19" s="35">
        <f t="shared" si="2"/>
        <v>23843233.500000242</v>
      </c>
      <c r="K19" s="26">
        <f>K18-H19</f>
        <v>1713.7000000000407</v>
      </c>
      <c r="L19" s="318">
        <v>1222.3</v>
      </c>
      <c r="M19" s="26">
        <v>1050</v>
      </c>
      <c r="N19" s="35">
        <v>990</v>
      </c>
      <c r="O19" s="35">
        <f t="shared" si="3"/>
        <v>1039500</v>
      </c>
      <c r="P19" s="26">
        <f t="shared" si="9"/>
        <v>5683.5999999996275</v>
      </c>
      <c r="Q19" s="66">
        <v>782</v>
      </c>
      <c r="R19" s="26">
        <f t="shared" si="4"/>
        <v>29909310.000002179</v>
      </c>
      <c r="S19" s="5">
        <f t="shared" si="5"/>
        <v>27296598.500002012</v>
      </c>
      <c r="T19" s="28">
        <f t="shared" si="6"/>
        <v>2612711.5000001676</v>
      </c>
      <c r="U19" s="26">
        <v>1232737</v>
      </c>
      <c r="V19" s="26">
        <v>260000</v>
      </c>
      <c r="W19" s="26">
        <f t="shared" si="0"/>
        <v>862915.89999999991</v>
      </c>
      <c r="X19" s="117">
        <f t="shared" si="7"/>
        <v>3735627.4000001675</v>
      </c>
    </row>
    <row r="20" spans="1:24" x14ac:dyDescent="0.3">
      <c r="A20" s="25">
        <v>43600</v>
      </c>
      <c r="B20" s="327" t="s">
        <v>57</v>
      </c>
      <c r="C20" s="35">
        <v>3157.3999999994412</v>
      </c>
      <c r="D20" s="312">
        <v>1485</v>
      </c>
      <c r="E20" s="35">
        <f t="shared" si="1"/>
        <v>4688738.9999991702</v>
      </c>
      <c r="F20" s="26">
        <f t="shared" si="10"/>
        <v>72.999999999068677</v>
      </c>
      <c r="G20" s="67">
        <v>1372.3</v>
      </c>
      <c r="H20" s="7">
        <v>16977.000000000378</v>
      </c>
      <c r="I20" s="35">
        <v>1335</v>
      </c>
      <c r="J20" s="35">
        <f t="shared" si="2"/>
        <v>22664295.000000507</v>
      </c>
      <c r="K20" s="131">
        <f>K19-H20+30000</f>
        <v>14736.699999999662</v>
      </c>
      <c r="L20" s="320">
        <f>(1714*1222.3)/H20+(15263*1216.6)/H20</f>
        <v>1217.1754726983293</v>
      </c>
      <c r="M20" s="26">
        <v>1620.2000000001863</v>
      </c>
      <c r="N20" s="35">
        <v>990</v>
      </c>
      <c r="O20" s="35">
        <f t="shared" si="3"/>
        <v>1603998.0000001844</v>
      </c>
      <c r="P20" s="26">
        <f t="shared" si="9"/>
        <v>4063.3999999994412</v>
      </c>
      <c r="Q20" s="66">
        <v>782</v>
      </c>
      <c r="R20" s="26">
        <f t="shared" si="4"/>
        <v>28957031.999999858</v>
      </c>
      <c r="S20" s="5">
        <f t="shared" si="5"/>
        <v>26263884.419999376</v>
      </c>
      <c r="T20" s="28">
        <f t="shared" si="6"/>
        <v>2693147.5800004825</v>
      </c>
      <c r="U20" s="26">
        <v>1378154</v>
      </c>
      <c r="V20" s="26">
        <v>180000</v>
      </c>
      <c r="W20" s="26">
        <f t="shared" si="0"/>
        <v>964707.79999999993</v>
      </c>
      <c r="X20" s="117">
        <f t="shared" si="7"/>
        <v>3837855.3800004823</v>
      </c>
    </row>
    <row r="21" spans="1:24" s="114" customFormat="1" x14ac:dyDescent="0.3">
      <c r="A21" s="555">
        <v>43601</v>
      </c>
      <c r="B21" s="7" t="s">
        <v>58</v>
      </c>
      <c r="C21" s="35">
        <v>4135.9999999990687</v>
      </c>
      <c r="D21" s="312">
        <v>1485</v>
      </c>
      <c r="E21" s="35">
        <f t="shared" si="1"/>
        <v>6141959.999998617</v>
      </c>
      <c r="F21" s="311">
        <f>F20-C21+20000</f>
        <v>15937</v>
      </c>
      <c r="G21" s="559">
        <f>(73*1372.3)/4136+(4063*1366.6)/4136</f>
        <v>1366.7006044487428</v>
      </c>
      <c r="H21" s="7">
        <v>15624.10000000018</v>
      </c>
      <c r="I21" s="35">
        <v>1335</v>
      </c>
      <c r="J21" s="35">
        <f t="shared" si="2"/>
        <v>20858173.500000242</v>
      </c>
      <c r="K21" s="565">
        <f>K20-H21+20000</f>
        <v>19112.599999999482</v>
      </c>
      <c r="L21" s="320">
        <f>(14737*1216.6)/H21+(887*1235)/H21</f>
        <v>1217.6368046799355</v>
      </c>
      <c r="M21" s="35">
        <v>1000</v>
      </c>
      <c r="N21" s="35">
        <v>990</v>
      </c>
      <c r="O21" s="35">
        <f t="shared" si="3"/>
        <v>990000</v>
      </c>
      <c r="P21" s="26">
        <f t="shared" si="9"/>
        <v>3063.3999999994412</v>
      </c>
      <c r="Q21" s="66">
        <v>782</v>
      </c>
      <c r="R21" s="35">
        <f t="shared" si="4"/>
        <v>27990133.49999886</v>
      </c>
      <c r="S21" s="35">
        <f t="shared" si="5"/>
        <v>25459152.899998724</v>
      </c>
      <c r="T21" s="556">
        <f t="shared" si="6"/>
        <v>2530980.6000001356</v>
      </c>
      <c r="U21" s="35">
        <v>1463784</v>
      </c>
      <c r="V21" s="35">
        <v>203000</v>
      </c>
      <c r="W21" s="35">
        <f t="shared" si="0"/>
        <v>1024648.7999999999</v>
      </c>
      <c r="X21" s="557">
        <f t="shared" si="7"/>
        <v>3758629.4000001354</v>
      </c>
    </row>
    <row r="22" spans="1:24" x14ac:dyDescent="0.3">
      <c r="A22" s="25">
        <v>43602</v>
      </c>
      <c r="B22" s="327" t="s">
        <v>59</v>
      </c>
      <c r="C22" s="35">
        <v>4795.1000000014901</v>
      </c>
      <c r="D22" s="312">
        <v>1485</v>
      </c>
      <c r="E22" s="35">
        <f t="shared" si="1"/>
        <v>7120723.5000022128</v>
      </c>
      <c r="F22" s="26">
        <f>F21-C22</f>
        <v>11141.89999999851</v>
      </c>
      <c r="G22" s="67">
        <v>1366.6</v>
      </c>
      <c r="H22" s="7">
        <v>19375.800000000367</v>
      </c>
      <c r="I22" s="35">
        <v>1335</v>
      </c>
      <c r="J22" s="35">
        <f t="shared" si="2"/>
        <v>25866693.000000488</v>
      </c>
      <c r="K22" s="565">
        <f>K21-H22+30000</f>
        <v>29736.799999999115</v>
      </c>
      <c r="L22" s="318">
        <v>1235</v>
      </c>
      <c r="M22" s="26">
        <v>400</v>
      </c>
      <c r="N22" s="35">
        <v>990</v>
      </c>
      <c r="O22" s="35">
        <f t="shared" si="3"/>
        <v>396000</v>
      </c>
      <c r="P22" s="26">
        <f t="shared" si="9"/>
        <v>2663.3999999994412</v>
      </c>
      <c r="Q22" s="66">
        <v>782</v>
      </c>
      <c r="R22" s="26">
        <f t="shared" si="4"/>
        <v>33383416.500002701</v>
      </c>
      <c r="S22" s="5">
        <f t="shared" si="5"/>
        <v>30794896.660002492</v>
      </c>
      <c r="T22" s="28">
        <f t="shared" si="6"/>
        <v>2588519.8400002085</v>
      </c>
      <c r="U22" s="26">
        <v>1619345</v>
      </c>
      <c r="V22" s="26">
        <v>221000</v>
      </c>
      <c r="W22" s="26">
        <f t="shared" si="0"/>
        <v>1133541.5</v>
      </c>
      <c r="X22" s="117">
        <f t="shared" si="7"/>
        <v>3943061.3400002085</v>
      </c>
    </row>
    <row r="23" spans="1:24" x14ac:dyDescent="0.3">
      <c r="A23" s="25">
        <v>43603</v>
      </c>
      <c r="B23" s="327" t="s">
        <v>53</v>
      </c>
      <c r="C23" s="35">
        <v>4314.4000000003725</v>
      </c>
      <c r="D23" s="312">
        <v>1485</v>
      </c>
      <c r="E23" s="35">
        <f t="shared" si="1"/>
        <v>6406884.0000005532</v>
      </c>
      <c r="F23" s="35">
        <f>F22-C23</f>
        <v>6827.4999999981374</v>
      </c>
      <c r="G23" s="67">
        <v>1366.6</v>
      </c>
      <c r="H23" s="7">
        <v>12825.999999999098</v>
      </c>
      <c r="I23" s="35">
        <v>1335</v>
      </c>
      <c r="J23" s="35">
        <f t="shared" si="2"/>
        <v>17122709.999998797</v>
      </c>
      <c r="K23" s="35">
        <f>K22-H23</f>
        <v>16910.800000000017</v>
      </c>
      <c r="L23" s="318">
        <v>1235</v>
      </c>
      <c r="M23" s="26">
        <v>40.399999999441206</v>
      </c>
      <c r="N23" s="35">
        <v>990</v>
      </c>
      <c r="O23" s="35">
        <f t="shared" si="3"/>
        <v>39995.999999446794</v>
      </c>
      <c r="P23" s="26">
        <f t="shared" si="9"/>
        <v>2623</v>
      </c>
      <c r="Q23" s="66">
        <v>782</v>
      </c>
      <c r="R23" s="26">
        <f t="shared" si="4"/>
        <v>23569589.9999988</v>
      </c>
      <c r="S23" s="5">
        <f t="shared" si="5"/>
        <v>21767761.83999896</v>
      </c>
      <c r="T23" s="28">
        <f t="shared" si="6"/>
        <v>1801828.15999984</v>
      </c>
      <c r="U23" s="26">
        <v>1724396</v>
      </c>
      <c r="V23" s="26">
        <v>245000</v>
      </c>
      <c r="W23" s="26">
        <f t="shared" si="0"/>
        <v>1207077.2</v>
      </c>
      <c r="X23" s="117">
        <f t="shared" si="7"/>
        <v>3253905.3599998401</v>
      </c>
    </row>
    <row r="24" spans="1:24" x14ac:dyDescent="0.3">
      <c r="A24" s="25">
        <v>43604</v>
      </c>
      <c r="B24" s="327" t="s">
        <v>54</v>
      </c>
      <c r="C24" s="35">
        <v>3444.2999999988824</v>
      </c>
      <c r="D24" s="312">
        <v>1485</v>
      </c>
      <c r="E24" s="35">
        <f t="shared" si="1"/>
        <v>5114785.4999983404</v>
      </c>
      <c r="F24" s="26">
        <f t="shared" si="10"/>
        <v>3383.1999999992549</v>
      </c>
      <c r="G24" s="67">
        <v>1366.6</v>
      </c>
      <c r="H24" s="7">
        <v>6451.0000000000582</v>
      </c>
      <c r="I24" s="35">
        <v>1335</v>
      </c>
      <c r="J24" s="35">
        <f t="shared" si="2"/>
        <v>8612085.0000000782</v>
      </c>
      <c r="K24" s="26">
        <f>K23-H24</f>
        <v>10459.799999999959</v>
      </c>
      <c r="L24" s="318">
        <v>1235</v>
      </c>
      <c r="M24" s="26">
        <v>0</v>
      </c>
      <c r="N24" s="35">
        <v>990</v>
      </c>
      <c r="O24" s="35">
        <f t="shared" si="3"/>
        <v>0</v>
      </c>
      <c r="P24" s="26">
        <f t="shared" si="9"/>
        <v>2623</v>
      </c>
      <c r="Q24" s="66">
        <v>782</v>
      </c>
      <c r="R24" s="26">
        <f t="shared" si="4"/>
        <v>13726870.499998419</v>
      </c>
      <c r="S24" s="5">
        <f t="shared" si="5"/>
        <v>12673965.379998544</v>
      </c>
      <c r="T24" s="28">
        <f t="shared" si="6"/>
        <v>1052905.1199998744</v>
      </c>
      <c r="U24" s="26">
        <v>1771385</v>
      </c>
      <c r="V24" s="26">
        <v>0</v>
      </c>
      <c r="W24" s="26">
        <f t="shared" si="0"/>
        <v>1239969.5</v>
      </c>
      <c r="X24" s="117">
        <f t="shared" si="7"/>
        <v>2292874.6199998744</v>
      </c>
    </row>
    <row r="25" spans="1:24" x14ac:dyDescent="0.3">
      <c r="A25" s="25">
        <v>43605</v>
      </c>
      <c r="B25" s="327" t="s">
        <v>55</v>
      </c>
      <c r="C25" s="35">
        <v>4024.5999999996275</v>
      </c>
      <c r="D25" s="312">
        <v>1485</v>
      </c>
      <c r="E25" s="35">
        <f t="shared" si="1"/>
        <v>5976530.9999994468</v>
      </c>
      <c r="F25" s="569">
        <f>F24-C25+30000</f>
        <v>29358.599999999627</v>
      </c>
      <c r="G25" s="67">
        <v>1366.6</v>
      </c>
      <c r="H25" s="7">
        <v>16057.000000000087</v>
      </c>
      <c r="I25" s="35">
        <v>1335</v>
      </c>
      <c r="J25" s="35">
        <f t="shared" si="2"/>
        <v>21436095.000000115</v>
      </c>
      <c r="K25" s="565">
        <f>K24-H25+30000</f>
        <v>24402.799999999872</v>
      </c>
      <c r="L25" s="318">
        <v>1235</v>
      </c>
      <c r="M25" s="26">
        <v>0</v>
      </c>
      <c r="N25" s="35">
        <v>990</v>
      </c>
      <c r="O25" s="35">
        <f t="shared" si="3"/>
        <v>0</v>
      </c>
      <c r="P25" s="26">
        <f t="shared" si="9"/>
        <v>2623</v>
      </c>
      <c r="Q25" s="66">
        <v>782</v>
      </c>
      <c r="R25" s="26">
        <f t="shared" si="4"/>
        <v>27412625.99999956</v>
      </c>
      <c r="S25" s="5">
        <f t="shared" si="5"/>
        <v>25330413.359999597</v>
      </c>
      <c r="T25" s="28">
        <f t="shared" si="6"/>
        <v>2082212.6399999633</v>
      </c>
      <c r="U25" s="26">
        <v>1948239</v>
      </c>
      <c r="V25" s="26">
        <v>112000</v>
      </c>
      <c r="W25" s="26">
        <f t="shared" si="0"/>
        <v>1363767.2999999998</v>
      </c>
      <c r="X25" s="117">
        <f t="shared" si="7"/>
        <v>3557979.9399999632</v>
      </c>
    </row>
    <row r="26" spans="1:24" x14ac:dyDescent="0.3">
      <c r="A26" s="25">
        <v>43606</v>
      </c>
      <c r="B26" s="327" t="s">
        <v>56</v>
      </c>
      <c r="C26" s="35">
        <v>3986.6000000005588</v>
      </c>
      <c r="D26" s="312">
        <v>1485</v>
      </c>
      <c r="E26" s="35">
        <f t="shared" si="1"/>
        <v>5920101.0000008298</v>
      </c>
      <c r="F26" s="26">
        <f t="shared" si="10"/>
        <v>25371.999999999069</v>
      </c>
      <c r="G26" s="67">
        <v>1366.6</v>
      </c>
      <c r="H26" s="7">
        <v>15344.499999999796</v>
      </c>
      <c r="I26" s="35">
        <v>1335</v>
      </c>
      <c r="J26" s="35">
        <f t="shared" si="2"/>
        <v>20484907.499999728</v>
      </c>
      <c r="K26" s="26">
        <f t="shared" ref="K26:K36" si="12">K25-H26</f>
        <v>9058.3000000000757</v>
      </c>
      <c r="L26" s="318">
        <v>1235</v>
      </c>
      <c r="M26" s="26">
        <v>0</v>
      </c>
      <c r="N26" s="35">
        <v>990</v>
      </c>
      <c r="O26" s="35">
        <f t="shared" si="3"/>
        <v>0</v>
      </c>
      <c r="P26" s="26">
        <f t="shared" si="9"/>
        <v>2623</v>
      </c>
      <c r="Q26" s="66">
        <v>782</v>
      </c>
      <c r="R26" s="26">
        <f t="shared" si="4"/>
        <v>26405008.500000559</v>
      </c>
      <c r="S26" s="5">
        <f t="shared" si="5"/>
        <v>24398545.060000509</v>
      </c>
      <c r="T26" s="28">
        <f t="shared" si="6"/>
        <v>2006463.4400000498</v>
      </c>
      <c r="U26" s="26">
        <v>2109177</v>
      </c>
      <c r="V26" s="26">
        <v>143000</v>
      </c>
      <c r="W26" s="26">
        <f t="shared" si="0"/>
        <v>1476423.9</v>
      </c>
      <c r="X26" s="117">
        <f t="shared" si="7"/>
        <v>3625887.3400000497</v>
      </c>
    </row>
    <row r="27" spans="1:24" x14ac:dyDescent="0.3">
      <c r="A27" s="25">
        <v>43607</v>
      </c>
      <c r="B27" s="327" t="s">
        <v>57</v>
      </c>
      <c r="C27" s="35">
        <v>3842.4999999990687</v>
      </c>
      <c r="D27" s="312">
        <v>1485</v>
      </c>
      <c r="E27" s="35">
        <f t="shared" si="1"/>
        <v>5706112.499998617</v>
      </c>
      <c r="F27" s="35">
        <f>F26-C27</f>
        <v>21529.5</v>
      </c>
      <c r="G27" s="67">
        <v>1366.6</v>
      </c>
      <c r="H27" s="7">
        <v>16237.800000000454</v>
      </c>
      <c r="I27" s="35">
        <v>1335</v>
      </c>
      <c r="J27" s="35">
        <f t="shared" si="2"/>
        <v>21677463.000000607</v>
      </c>
      <c r="K27" s="565">
        <f>K26-H27+30000</f>
        <v>22820.499999999622</v>
      </c>
      <c r="L27" s="318">
        <v>1235</v>
      </c>
      <c r="M27" s="26">
        <v>420.20000000018626</v>
      </c>
      <c r="N27" s="35">
        <v>990</v>
      </c>
      <c r="O27" s="35">
        <f t="shared" si="3"/>
        <v>415998.0000001844</v>
      </c>
      <c r="P27" s="26">
        <f t="shared" si="9"/>
        <v>2202.7999999998137</v>
      </c>
      <c r="Q27" s="66">
        <v>782</v>
      </c>
      <c r="R27" s="26">
        <f t="shared" si="4"/>
        <v>27799573.499999411</v>
      </c>
      <c r="S27" s="5">
        <f t="shared" si="5"/>
        <v>25633439.899999432</v>
      </c>
      <c r="T27" s="28">
        <f t="shared" si="6"/>
        <v>2166133.5999999791</v>
      </c>
      <c r="U27" s="26">
        <v>2291318</v>
      </c>
      <c r="V27" s="26">
        <v>156000</v>
      </c>
      <c r="W27" s="26">
        <f t="shared" si="0"/>
        <v>1603922.5999999999</v>
      </c>
      <c r="X27" s="117">
        <f t="shared" si="7"/>
        <v>3926056.1999999788</v>
      </c>
    </row>
    <row r="28" spans="1:24" x14ac:dyDescent="0.3">
      <c r="A28" s="25">
        <v>43608</v>
      </c>
      <c r="B28" s="327" t="s">
        <v>58</v>
      </c>
      <c r="C28" s="35">
        <v>5077.0000000009313</v>
      </c>
      <c r="D28" s="312">
        <v>1485</v>
      </c>
      <c r="E28" s="35">
        <f t="shared" si="1"/>
        <v>7539345.000001383</v>
      </c>
      <c r="F28" s="35">
        <f>F27-C28</f>
        <v>16452.499999999069</v>
      </c>
      <c r="G28" s="67">
        <v>1366.6</v>
      </c>
      <c r="H28" s="7">
        <v>17886.69999999975</v>
      </c>
      <c r="I28" s="35">
        <v>1335</v>
      </c>
      <c r="J28" s="35">
        <f t="shared" si="2"/>
        <v>23878744.499999665</v>
      </c>
      <c r="K28" s="565">
        <f>K27-H28</f>
        <v>4933.7999999998719</v>
      </c>
      <c r="L28" s="318">
        <v>1235</v>
      </c>
      <c r="M28" s="26">
        <v>0</v>
      </c>
      <c r="N28" s="35">
        <v>990</v>
      </c>
      <c r="O28" s="35">
        <f t="shared" si="3"/>
        <v>0</v>
      </c>
      <c r="P28" s="26">
        <f t="shared" si="9"/>
        <v>2202.7999999998137</v>
      </c>
      <c r="Q28" s="66">
        <v>782</v>
      </c>
      <c r="R28" s="26">
        <f t="shared" si="4"/>
        <v>31418089.500001047</v>
      </c>
      <c r="S28" s="5">
        <f t="shared" si="5"/>
        <v>29028302.700000964</v>
      </c>
      <c r="T28" s="28">
        <f t="shared" si="6"/>
        <v>2389786.8000000827</v>
      </c>
      <c r="U28" s="26">
        <v>2440778</v>
      </c>
      <c r="V28" s="26">
        <v>209000</v>
      </c>
      <c r="W28" s="26">
        <f t="shared" si="0"/>
        <v>1708544.5999999999</v>
      </c>
      <c r="X28" s="117">
        <f t="shared" si="7"/>
        <v>4307331.4000000823</v>
      </c>
    </row>
    <row r="29" spans="1:24" x14ac:dyDescent="0.3">
      <c r="A29" s="25">
        <v>43609</v>
      </c>
      <c r="B29" s="327" t="s">
        <v>59</v>
      </c>
      <c r="C29" s="35">
        <v>4320.0999999996275</v>
      </c>
      <c r="D29" s="312">
        <v>1485</v>
      </c>
      <c r="E29" s="35">
        <f t="shared" si="1"/>
        <v>6415348.4999994468</v>
      </c>
      <c r="F29" s="26">
        <f>F28-C29</f>
        <v>12132.399999999441</v>
      </c>
      <c r="G29" s="67">
        <v>1366.6</v>
      </c>
      <c r="H29" s="7">
        <v>17870.500000000204</v>
      </c>
      <c r="I29" s="35">
        <v>1335</v>
      </c>
      <c r="J29" s="35">
        <f t="shared" si="2"/>
        <v>23857117.500000272</v>
      </c>
      <c r="K29" s="565">
        <f>K28-H29+30000</f>
        <v>17063.299999999668</v>
      </c>
      <c r="L29" s="318">
        <v>1235</v>
      </c>
      <c r="M29" s="26">
        <v>415.20000000018626</v>
      </c>
      <c r="N29" s="35">
        <v>990</v>
      </c>
      <c r="O29" s="35">
        <f t="shared" si="3"/>
        <v>411048.0000001844</v>
      </c>
      <c r="P29" s="26">
        <f t="shared" si="9"/>
        <v>1787.5999999996275</v>
      </c>
      <c r="Q29" s="66">
        <v>782</v>
      </c>
      <c r="R29" s="26">
        <f t="shared" si="4"/>
        <v>30683513.999999903</v>
      </c>
      <c r="S29" s="5">
        <f t="shared" si="5"/>
        <v>28298602.559999891</v>
      </c>
      <c r="T29" s="28">
        <f t="shared" si="6"/>
        <v>2384911.4400000125</v>
      </c>
      <c r="U29" s="26">
        <v>2589838</v>
      </c>
      <c r="V29" s="26">
        <v>177000</v>
      </c>
      <c r="W29" s="26">
        <f t="shared" si="0"/>
        <v>1812886.5999999999</v>
      </c>
      <c r="X29" s="117">
        <f>T29+V29+W29</f>
        <v>4374798.0400000121</v>
      </c>
    </row>
    <row r="30" spans="1:24" x14ac:dyDescent="0.3">
      <c r="A30" s="25">
        <v>43610</v>
      </c>
      <c r="B30" s="327" t="s">
        <v>53</v>
      </c>
      <c r="C30" s="35">
        <v>5172.6000000005588</v>
      </c>
      <c r="D30" s="312">
        <v>1485</v>
      </c>
      <c r="E30" s="35">
        <f t="shared" si="1"/>
        <v>7681311.0000008298</v>
      </c>
      <c r="F30" s="26">
        <f>F29-C30</f>
        <v>6959.7999999988824</v>
      </c>
      <c r="G30" s="67">
        <v>1366.6</v>
      </c>
      <c r="H30" s="7">
        <v>13235.500000000087</v>
      </c>
      <c r="I30" s="35">
        <v>1345</v>
      </c>
      <c r="J30" s="35">
        <f t="shared" si="2"/>
        <v>17801747.500000119</v>
      </c>
      <c r="K30" s="35">
        <f>K29-H30</f>
        <v>3827.7999999995809</v>
      </c>
      <c r="L30" s="318">
        <v>1235</v>
      </c>
      <c r="M30" s="26">
        <v>400</v>
      </c>
      <c r="N30" s="35">
        <v>990</v>
      </c>
      <c r="O30" s="35">
        <f t="shared" si="3"/>
        <v>396000</v>
      </c>
      <c r="P30" s="26">
        <f t="shared" si="9"/>
        <v>1387.5999999996275</v>
      </c>
      <c r="Q30" s="66">
        <v>782</v>
      </c>
      <c r="R30" s="26">
        <f t="shared" si="4"/>
        <v>25879058.50000095</v>
      </c>
      <c r="S30" s="5">
        <f t="shared" si="5"/>
        <v>23727517.660000872</v>
      </c>
      <c r="T30" s="28">
        <f t="shared" si="6"/>
        <v>2151540.8400000781</v>
      </c>
      <c r="U30" s="26">
        <v>2664838</v>
      </c>
      <c r="V30" s="26">
        <v>197000</v>
      </c>
      <c r="W30" s="26">
        <f t="shared" si="0"/>
        <v>1865386.5999999999</v>
      </c>
      <c r="X30" s="117">
        <f t="shared" si="7"/>
        <v>4213927.4400000777</v>
      </c>
    </row>
    <row r="31" spans="1:24" x14ac:dyDescent="0.3">
      <c r="A31" s="25">
        <v>43611</v>
      </c>
      <c r="B31" s="327" t="s">
        <v>54</v>
      </c>
      <c r="C31" s="35">
        <v>3913.2999999998137</v>
      </c>
      <c r="D31" s="312">
        <v>1485</v>
      </c>
      <c r="E31" s="35">
        <f t="shared" si="1"/>
        <v>5811250.4999997234</v>
      </c>
      <c r="F31" s="26">
        <f>F30-C31</f>
        <v>3046.4999999990687</v>
      </c>
      <c r="G31" s="67">
        <v>1366.6</v>
      </c>
      <c r="H31" s="7">
        <v>6180.6000000000349</v>
      </c>
      <c r="I31" s="35">
        <v>1345</v>
      </c>
      <c r="J31" s="35">
        <f t="shared" si="2"/>
        <v>8312907.0000000466</v>
      </c>
      <c r="K31" s="565">
        <f>K30-H31+20000</f>
        <v>17647.199999999546</v>
      </c>
      <c r="L31" s="566">
        <f>(3828*1235)/H31+(2353*1245)/H31</f>
        <v>1238.8870012620064</v>
      </c>
      <c r="M31" s="26">
        <v>20.200000000186265</v>
      </c>
      <c r="N31" s="35">
        <v>990</v>
      </c>
      <c r="O31" s="35">
        <f t="shared" si="3"/>
        <v>19998.000000184402</v>
      </c>
      <c r="P31" s="26">
        <f t="shared" si="9"/>
        <v>1367.3999999994412</v>
      </c>
      <c r="Q31" s="66">
        <v>782</v>
      </c>
      <c r="R31" s="26">
        <f t="shared" si="4"/>
        <v>14144155.499999953</v>
      </c>
      <c r="S31" s="5">
        <f t="shared" si="5"/>
        <v>13020777.17999989</v>
      </c>
      <c r="T31" s="28">
        <f t="shared" si="6"/>
        <v>1123378.3200000636</v>
      </c>
      <c r="U31" s="26">
        <v>2717649</v>
      </c>
      <c r="V31" s="26">
        <v>167000</v>
      </c>
      <c r="W31" s="26">
        <f t="shared" si="0"/>
        <v>1902354.2999999998</v>
      </c>
      <c r="X31" s="117">
        <f t="shared" si="7"/>
        <v>3192732.6200000634</v>
      </c>
    </row>
    <row r="32" spans="1:24" x14ac:dyDescent="0.3">
      <c r="A32" s="25">
        <v>43612</v>
      </c>
      <c r="B32" s="327" t="s">
        <v>55</v>
      </c>
      <c r="C32" s="35">
        <v>3676.9000000003725</v>
      </c>
      <c r="D32" s="567">
        <f>+'[6]27'!$Y$3</f>
        <v>1485</v>
      </c>
      <c r="E32" s="35">
        <f t="shared" si="1"/>
        <v>5460196.5000005532</v>
      </c>
      <c r="F32" s="569">
        <f>F31-C32+내유동_재고!F71</f>
        <v>19369.599999998696</v>
      </c>
      <c r="G32" s="570">
        <f>(3046*1366.6)/C32+(631*1390)/C32</f>
        <v>1370.6528869426661</v>
      </c>
      <c r="H32" s="7">
        <v>13744.099999999831</v>
      </c>
      <c r="I32" s="35">
        <v>1345</v>
      </c>
      <c r="J32" s="35">
        <f t="shared" si="2"/>
        <v>18485814.499999773</v>
      </c>
      <c r="K32" s="26">
        <f t="shared" si="12"/>
        <v>3903.0999999997148</v>
      </c>
      <c r="L32" s="319">
        <v>1245</v>
      </c>
      <c r="M32" s="26">
        <v>0</v>
      </c>
      <c r="N32" s="35">
        <v>0</v>
      </c>
      <c r="O32" s="35">
        <f t="shared" si="3"/>
        <v>0</v>
      </c>
      <c r="P32" s="26">
        <f t="shared" si="9"/>
        <v>1367.3999999994412</v>
      </c>
      <c r="Q32" s="66">
        <v>782</v>
      </c>
      <c r="R32" s="26">
        <f t="shared" si="4"/>
        <v>23946011.000000328</v>
      </c>
      <c r="S32" s="5">
        <f t="shared" si="5"/>
        <v>22151158.099999793</v>
      </c>
      <c r="T32" s="28">
        <f t="shared" si="6"/>
        <v>1794852.900000535</v>
      </c>
      <c r="U32" s="26">
        <v>2835371</v>
      </c>
      <c r="V32" s="26">
        <v>0</v>
      </c>
      <c r="W32" s="26">
        <f t="shared" si="0"/>
        <v>1984759.7</v>
      </c>
      <c r="X32" s="117">
        <f t="shared" si="7"/>
        <v>3779612.6000005351</v>
      </c>
    </row>
    <row r="33" spans="1:24" x14ac:dyDescent="0.3">
      <c r="A33" s="25">
        <v>43613</v>
      </c>
      <c r="B33" s="327" t="s">
        <v>56</v>
      </c>
      <c r="C33" s="35">
        <v>0</v>
      </c>
      <c r="D33" s="35"/>
      <c r="E33" s="35">
        <f t="shared" si="1"/>
        <v>0</v>
      </c>
      <c r="F33" s="26">
        <f>F32-C33</f>
        <v>19369.599999998696</v>
      </c>
      <c r="G33" s="67">
        <v>1316.04</v>
      </c>
      <c r="H33" s="7">
        <v>0</v>
      </c>
      <c r="I33" s="35">
        <v>0</v>
      </c>
      <c r="J33" s="35">
        <f t="shared" si="2"/>
        <v>0</v>
      </c>
      <c r="K33" s="26">
        <f t="shared" si="12"/>
        <v>3903.0999999997148</v>
      </c>
      <c r="L33" s="319"/>
      <c r="M33" s="26">
        <v>0</v>
      </c>
      <c r="N33" s="35">
        <v>0</v>
      </c>
      <c r="O33" s="35">
        <f t="shared" si="3"/>
        <v>0</v>
      </c>
      <c r="P33" s="26"/>
      <c r="Q33" s="66"/>
      <c r="R33" s="26">
        <f t="shared" si="4"/>
        <v>0</v>
      </c>
      <c r="S33" s="5">
        <f t="shared" si="5"/>
        <v>0</v>
      </c>
      <c r="T33" s="28">
        <f t="shared" si="6"/>
        <v>0</v>
      </c>
      <c r="U33" s="26"/>
      <c r="V33" s="26"/>
      <c r="W33" s="26">
        <f t="shared" si="0"/>
        <v>0</v>
      </c>
      <c r="X33" s="117">
        <f>T33+V33+W33</f>
        <v>0</v>
      </c>
    </row>
    <row r="34" spans="1:24" x14ac:dyDescent="0.3">
      <c r="A34" s="25">
        <v>43614</v>
      </c>
      <c r="B34" s="327" t="s">
        <v>57</v>
      </c>
      <c r="C34" s="35">
        <v>0</v>
      </c>
      <c r="D34" s="35"/>
      <c r="E34" s="35">
        <f t="shared" si="1"/>
        <v>0</v>
      </c>
      <c r="F34" s="26">
        <f>F33-C34</f>
        <v>19369.599999998696</v>
      </c>
      <c r="G34" s="67">
        <v>1316.04</v>
      </c>
      <c r="H34" s="7">
        <v>0</v>
      </c>
      <c r="I34" s="35">
        <v>0</v>
      </c>
      <c r="J34" s="35">
        <f t="shared" si="2"/>
        <v>0</v>
      </c>
      <c r="K34" s="26">
        <f t="shared" si="12"/>
        <v>3903.0999999997148</v>
      </c>
      <c r="L34" s="319"/>
      <c r="M34" s="26">
        <v>0</v>
      </c>
      <c r="N34" s="35">
        <v>0</v>
      </c>
      <c r="O34" s="35">
        <f t="shared" si="3"/>
        <v>0</v>
      </c>
      <c r="P34" s="26"/>
      <c r="Q34" s="66"/>
      <c r="R34" s="26">
        <f t="shared" si="4"/>
        <v>0</v>
      </c>
      <c r="S34" s="5">
        <f t="shared" si="5"/>
        <v>0</v>
      </c>
      <c r="T34" s="28">
        <f t="shared" si="6"/>
        <v>0</v>
      </c>
      <c r="U34" s="26"/>
      <c r="V34" s="26"/>
      <c r="W34" s="26">
        <f t="shared" si="0"/>
        <v>0</v>
      </c>
      <c r="X34" s="117">
        <f>T34+V34+W34</f>
        <v>0</v>
      </c>
    </row>
    <row r="35" spans="1:24" x14ac:dyDescent="0.3">
      <c r="A35" s="25">
        <v>43615</v>
      </c>
      <c r="B35" s="327" t="s">
        <v>58</v>
      </c>
      <c r="C35" s="35"/>
      <c r="D35" s="35"/>
      <c r="E35" s="35"/>
      <c r="F35" s="26">
        <f t="shared" ref="F35:F36" si="13">F34-C35</f>
        <v>19369.599999998696</v>
      </c>
      <c r="G35" s="67">
        <v>1316.04</v>
      </c>
      <c r="H35" s="7">
        <v>0</v>
      </c>
      <c r="I35" s="35">
        <v>0</v>
      </c>
      <c r="J35" s="35">
        <f t="shared" si="2"/>
        <v>0</v>
      </c>
      <c r="K35" s="26">
        <f t="shared" si="12"/>
        <v>3903.0999999997148</v>
      </c>
      <c r="L35" s="319"/>
      <c r="M35" s="26">
        <v>0</v>
      </c>
      <c r="N35" s="35">
        <v>0</v>
      </c>
      <c r="O35" s="35">
        <f t="shared" si="3"/>
        <v>0</v>
      </c>
      <c r="P35" s="26"/>
      <c r="Q35" s="66"/>
      <c r="R35" s="26">
        <f t="shared" si="4"/>
        <v>0</v>
      </c>
      <c r="S35" s="5">
        <f t="shared" si="5"/>
        <v>0</v>
      </c>
      <c r="T35" s="28">
        <f t="shared" si="6"/>
        <v>0</v>
      </c>
      <c r="U35" s="26"/>
      <c r="V35" s="26"/>
      <c r="W35" s="26">
        <f t="shared" si="0"/>
        <v>0</v>
      </c>
      <c r="X35" s="117">
        <f t="shared" si="7"/>
        <v>0</v>
      </c>
    </row>
    <row r="36" spans="1:24" x14ac:dyDescent="0.3">
      <c r="A36" s="25">
        <v>43616</v>
      </c>
      <c r="B36" s="327" t="s">
        <v>59</v>
      </c>
      <c r="C36" s="35"/>
      <c r="D36" s="35"/>
      <c r="E36" s="35"/>
      <c r="F36" s="26">
        <f t="shared" si="13"/>
        <v>19369.599999998696</v>
      </c>
      <c r="G36" s="67">
        <v>1316.04</v>
      </c>
      <c r="H36" s="7">
        <v>0</v>
      </c>
      <c r="I36" s="35">
        <v>0</v>
      </c>
      <c r="J36" s="35">
        <f t="shared" si="2"/>
        <v>0</v>
      </c>
      <c r="K36" s="26">
        <f t="shared" si="12"/>
        <v>3903.0999999997148</v>
      </c>
      <c r="L36" s="319"/>
      <c r="M36" s="26">
        <v>0</v>
      </c>
      <c r="N36" s="35">
        <v>0</v>
      </c>
      <c r="O36" s="35">
        <f t="shared" si="3"/>
        <v>0</v>
      </c>
      <c r="P36" s="26"/>
      <c r="Q36" s="66"/>
      <c r="R36" s="26">
        <f t="shared" si="4"/>
        <v>0</v>
      </c>
      <c r="S36" s="5">
        <f t="shared" si="5"/>
        <v>0</v>
      </c>
      <c r="T36" s="28">
        <f t="shared" si="6"/>
        <v>0</v>
      </c>
      <c r="U36" s="26"/>
      <c r="V36" s="26"/>
      <c r="W36" s="26">
        <f t="shared" si="0"/>
        <v>0</v>
      </c>
      <c r="X36" s="117">
        <f t="shared" si="7"/>
        <v>0</v>
      </c>
    </row>
    <row r="37" spans="1:24" x14ac:dyDescent="0.3">
      <c r="A37" s="25"/>
      <c r="B37" s="327"/>
      <c r="C37" s="437" t="s">
        <v>37</v>
      </c>
      <c r="D37" s="438"/>
      <c r="E37" s="438"/>
      <c r="F37" s="438"/>
      <c r="G37" s="439"/>
      <c r="H37" s="440" t="s">
        <v>38</v>
      </c>
      <c r="I37" s="441"/>
      <c r="J37" s="441"/>
      <c r="K37" s="441"/>
      <c r="L37" s="442"/>
      <c r="M37" s="443" t="s">
        <v>50</v>
      </c>
      <c r="N37" s="443"/>
      <c r="O37" s="443"/>
      <c r="P37" s="443"/>
      <c r="Q37" s="443"/>
      <c r="R37" s="418" t="s">
        <v>99</v>
      </c>
      <c r="S37" s="444" t="s">
        <v>106</v>
      </c>
      <c r="T37" s="444" t="s">
        <v>107</v>
      </c>
      <c r="U37" s="420" t="s">
        <v>98</v>
      </c>
      <c r="V37" s="420" t="s">
        <v>105</v>
      </c>
      <c r="W37" s="421" t="s">
        <v>85</v>
      </c>
      <c r="X37" s="423" t="s">
        <v>103</v>
      </c>
    </row>
    <row r="38" spans="1:24" s="17" customFormat="1" x14ac:dyDescent="0.3">
      <c r="A38" s="425"/>
      <c r="B38" s="426"/>
      <c r="C38" s="116" t="s">
        <v>96</v>
      </c>
      <c r="D38" s="429"/>
      <c r="E38" s="116" t="s">
        <v>97</v>
      </c>
      <c r="F38" s="431"/>
      <c r="G38" s="418"/>
      <c r="H38" s="116" t="s">
        <v>96</v>
      </c>
      <c r="I38" s="418"/>
      <c r="J38" s="116" t="s">
        <v>97</v>
      </c>
      <c r="K38" s="431" t="s">
        <v>38</v>
      </c>
      <c r="L38" s="416"/>
      <c r="M38" s="116" t="s">
        <v>96</v>
      </c>
      <c r="N38" s="418"/>
      <c r="O38" s="116" t="s">
        <v>97</v>
      </c>
      <c r="P38" s="418"/>
      <c r="Q38" s="418"/>
      <c r="R38" s="419"/>
      <c r="S38" s="444"/>
      <c r="T38" s="444"/>
      <c r="U38" s="420"/>
      <c r="V38" s="420"/>
      <c r="W38" s="422"/>
      <c r="X38" s="424"/>
    </row>
    <row r="39" spans="1:24" s="17" customFormat="1" x14ac:dyDescent="0.3">
      <c r="A39" s="427"/>
      <c r="B39" s="428"/>
      <c r="C39" s="116">
        <f>SUM(C6:C38)</f>
        <v>117215.4000000013</v>
      </c>
      <c r="D39" s="430"/>
      <c r="E39" s="116">
        <f>SUM(E6:E37)</f>
        <v>171760379.40000191</v>
      </c>
      <c r="F39" s="432"/>
      <c r="G39" s="419"/>
      <c r="H39" s="116">
        <f>SUM(H6:H38)</f>
        <v>373626.90000000037</v>
      </c>
      <c r="I39" s="419"/>
      <c r="J39" s="116">
        <f>SUM(J6:J37)</f>
        <v>496030467.50000036</v>
      </c>
      <c r="K39" s="432"/>
      <c r="L39" s="417"/>
      <c r="M39" s="116">
        <f>SUM(M6:M37)</f>
        <v>7847.6000000005588</v>
      </c>
      <c r="N39" s="419"/>
      <c r="O39" s="116">
        <f>SUM(O6:O37)</f>
        <v>7769124.0000005532</v>
      </c>
      <c r="P39" s="419"/>
      <c r="Q39" s="419"/>
      <c r="R39" s="116">
        <f>SUM(R6:R37)</f>
        <v>675559970.90000296</v>
      </c>
      <c r="S39" s="116">
        <f>SUM(S6:S37)</f>
        <v>621599865.32707894</v>
      </c>
      <c r="T39" s="116">
        <f t="shared" ref="T39" si="14">SUM(T6:T37)</f>
        <v>53960105.57292404</v>
      </c>
      <c r="U39" s="116">
        <f>SUM(U6:U37)</f>
        <v>36547940</v>
      </c>
      <c r="V39" s="116">
        <f>SUM(V6:V37)</f>
        <v>5319000</v>
      </c>
      <c r="W39" s="116">
        <f>SUM(W6:W37)</f>
        <v>25583558.000000004</v>
      </c>
      <c r="X39" s="127">
        <f t="shared" ref="X39" si="15">SUM(X6:X37)</f>
        <v>84862663.572924018</v>
      </c>
    </row>
  </sheetData>
  <mergeCells count="30">
    <mergeCell ref="L38:L39"/>
    <mergeCell ref="N38:N39"/>
    <mergeCell ref="P38:P39"/>
    <mergeCell ref="Q38:Q39"/>
    <mergeCell ref="U37:U38"/>
    <mergeCell ref="V37:V38"/>
    <mergeCell ref="W37:W38"/>
    <mergeCell ref="X37:X38"/>
    <mergeCell ref="A38:B39"/>
    <mergeCell ref="D38:D39"/>
    <mergeCell ref="F38:F39"/>
    <mergeCell ref="G38:G39"/>
    <mergeCell ref="I38:I39"/>
    <mergeCell ref="K38:K39"/>
    <mergeCell ref="S4:S5"/>
    <mergeCell ref="T4:T5"/>
    <mergeCell ref="W4:W5"/>
    <mergeCell ref="X4:X5"/>
    <mergeCell ref="C37:G37"/>
    <mergeCell ref="H37:L37"/>
    <mergeCell ref="M37:Q37"/>
    <mergeCell ref="R37:R38"/>
    <mergeCell ref="S37:S38"/>
    <mergeCell ref="T37:T38"/>
    <mergeCell ref="A4:A5"/>
    <mergeCell ref="B4:B5"/>
    <mergeCell ref="C4:G4"/>
    <mergeCell ref="H4:L4"/>
    <mergeCell ref="M4:Q4"/>
    <mergeCell ref="R4:R5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933B9-1A76-498B-80D0-EF21C67442E9}">
  <dimension ref="A1:M124"/>
  <sheetViews>
    <sheetView topLeftCell="A67" workbookViewId="0">
      <selection activeCell="U65" sqref="U65"/>
    </sheetView>
  </sheetViews>
  <sheetFormatPr defaultRowHeight="16.5" x14ac:dyDescent="0.3"/>
  <cols>
    <col min="1" max="1" width="9" style="75"/>
    <col min="2" max="2" width="14.125" style="75" customWidth="1"/>
    <col min="3" max="4" width="9" style="75"/>
    <col min="5" max="5" width="11.75" style="75" customWidth="1"/>
    <col min="6" max="6" width="12.25" style="75" customWidth="1"/>
    <col min="7" max="7" width="9" style="629"/>
    <col min="8" max="9" width="9" style="75"/>
    <col min="10" max="10" width="10.625" style="75" bestFit="1" customWidth="1"/>
    <col min="11" max="16384" width="9" style="75"/>
  </cols>
  <sheetData>
    <row r="1" spans="1:10" x14ac:dyDescent="0.3">
      <c r="A1" s="631" t="s">
        <v>175</v>
      </c>
      <c r="B1" s="631"/>
      <c r="C1" s="632" t="s">
        <v>176</v>
      </c>
      <c r="D1" s="632"/>
      <c r="I1" s="633" t="s">
        <v>177</v>
      </c>
      <c r="J1" s="633"/>
    </row>
    <row r="4" spans="1:10" x14ac:dyDescent="0.3">
      <c r="D4" s="477" t="s">
        <v>111</v>
      </c>
      <c r="E4" s="477"/>
      <c r="F4" s="477"/>
      <c r="G4" s="477"/>
      <c r="H4" s="477"/>
      <c r="I4" s="477"/>
      <c r="J4" s="477"/>
    </row>
    <row r="5" spans="1:10" x14ac:dyDescent="0.3">
      <c r="A5" s="74" t="s">
        <v>112</v>
      </c>
      <c r="C5" s="571" t="s">
        <v>113</v>
      </c>
      <c r="D5" s="571"/>
      <c r="E5" s="571"/>
      <c r="F5" s="571" t="s">
        <v>113</v>
      </c>
      <c r="G5" s="634" t="s">
        <v>113</v>
      </c>
      <c r="H5" s="635" t="s">
        <v>113</v>
      </c>
      <c r="I5" s="635" t="s">
        <v>113</v>
      </c>
      <c r="J5" s="571" t="s">
        <v>71</v>
      </c>
    </row>
    <row r="6" spans="1:10" ht="17.25" thickBot="1" x14ac:dyDescent="0.35">
      <c r="A6" s="636" t="s">
        <v>114</v>
      </c>
      <c r="B6" s="637">
        <f>275573121/1.1</f>
        <v>250521019.09090906</v>
      </c>
      <c r="C6" s="571"/>
      <c r="D6" s="638" t="s">
        <v>115</v>
      </c>
      <c r="E6" s="638"/>
      <c r="F6" s="638"/>
      <c r="G6" s="639" t="s">
        <v>89</v>
      </c>
      <c r="H6" s="638" t="s">
        <v>116</v>
      </c>
      <c r="I6" s="638"/>
      <c r="J6" s="638"/>
    </row>
    <row r="7" spans="1:10" ht="18" thickTop="1" thickBot="1" x14ac:dyDescent="0.35">
      <c r="A7" s="636" t="s">
        <v>117</v>
      </c>
      <c r="B7" s="585">
        <f>B6/31</f>
        <v>8081323.1964809373</v>
      </c>
      <c r="C7" s="571"/>
      <c r="D7" s="640">
        <f>F86</f>
        <v>0</v>
      </c>
      <c r="E7" s="635" t="s">
        <v>113</v>
      </c>
      <c r="F7" s="635" t="s">
        <v>113</v>
      </c>
      <c r="G7" s="572"/>
      <c r="H7" s="640">
        <f>F89</f>
        <v>0</v>
      </c>
      <c r="I7" s="635" t="s">
        <v>113</v>
      </c>
      <c r="J7" s="635" t="s">
        <v>113</v>
      </c>
    </row>
    <row r="8" spans="1:10" ht="17.25" thickTop="1" x14ac:dyDescent="0.3">
      <c r="A8" s="641"/>
      <c r="B8" s="642"/>
      <c r="C8" s="571"/>
      <c r="D8" s="643" t="s">
        <v>118</v>
      </c>
      <c r="E8" s="574" t="s">
        <v>119</v>
      </c>
      <c r="F8" s="574" t="s">
        <v>120</v>
      </c>
      <c r="G8" s="572"/>
      <c r="H8" s="643" t="s">
        <v>118</v>
      </c>
      <c r="I8" s="574" t="s">
        <v>119</v>
      </c>
      <c r="J8" s="574" t="s">
        <v>120</v>
      </c>
    </row>
    <row r="9" spans="1:10" x14ac:dyDescent="0.3">
      <c r="A9" s="644" t="s">
        <v>121</v>
      </c>
      <c r="B9" s="644" t="s">
        <v>113</v>
      </c>
      <c r="C9" s="571"/>
      <c r="D9" s="645"/>
      <c r="E9" s="646"/>
      <c r="F9" s="647">
        <f>D9*E9</f>
        <v>0</v>
      </c>
      <c r="G9" s="572"/>
      <c r="H9" s="645">
        <f>H7</f>
        <v>0</v>
      </c>
      <c r="I9" s="646"/>
      <c r="J9" s="647">
        <f>H9*I9</f>
        <v>0</v>
      </c>
    </row>
    <row r="10" spans="1:10" x14ac:dyDescent="0.3">
      <c r="A10" s="648" t="s">
        <v>79</v>
      </c>
      <c r="B10" s="630">
        <f>D7</f>
        <v>0</v>
      </c>
      <c r="C10" s="571"/>
      <c r="D10" s="589">
        <v>0</v>
      </c>
      <c r="E10" s="649">
        <v>0</v>
      </c>
      <c r="F10" s="650">
        <f>D10*E10</f>
        <v>0</v>
      </c>
      <c r="G10" s="572"/>
      <c r="H10" s="589">
        <v>0</v>
      </c>
      <c r="I10" s="589">
        <v>0</v>
      </c>
      <c r="J10" s="650">
        <f>H10*I10</f>
        <v>0</v>
      </c>
    </row>
    <row r="11" spans="1:10" ht="17.25" thickBot="1" x14ac:dyDescent="0.35">
      <c r="A11" s="651" t="s">
        <v>122</v>
      </c>
      <c r="B11" s="652">
        <f>D16</f>
        <v>96610</v>
      </c>
      <c r="C11" s="571"/>
      <c r="D11" s="599">
        <v>0</v>
      </c>
      <c r="E11" s="653">
        <v>0</v>
      </c>
      <c r="F11" s="654">
        <f>D11*E11</f>
        <v>0</v>
      </c>
      <c r="G11" s="572"/>
      <c r="H11" s="599">
        <v>0</v>
      </c>
      <c r="I11" s="599">
        <v>0</v>
      </c>
      <c r="J11" s="654">
        <f>H11*I11</f>
        <v>0</v>
      </c>
    </row>
    <row r="12" spans="1:10" ht="17.25" thickBot="1" x14ac:dyDescent="0.35">
      <c r="A12" s="651" t="s">
        <v>123</v>
      </c>
      <c r="B12" s="652">
        <f>H16</f>
        <v>108816</v>
      </c>
      <c r="C12" s="571"/>
      <c r="D12" s="151">
        <f>SUM(D9:D11)</f>
        <v>0</v>
      </c>
      <c r="E12" s="152"/>
      <c r="F12" s="153">
        <f>SUM(F9:F11)</f>
        <v>0</v>
      </c>
      <c r="H12" s="151">
        <f>SUM(H9:H11)</f>
        <v>0</v>
      </c>
      <c r="I12" s="152"/>
      <c r="J12" s="153">
        <f>SUM(J9:J11)</f>
        <v>0</v>
      </c>
    </row>
    <row r="13" spans="1:10" x14ac:dyDescent="0.3">
      <c r="A13" s="655" t="s">
        <v>124</v>
      </c>
      <c r="B13" s="656">
        <f>H7</f>
        <v>0</v>
      </c>
      <c r="C13" s="571"/>
    </row>
    <row r="14" spans="1:10" x14ac:dyDescent="0.3">
      <c r="A14" s="636" t="s">
        <v>125</v>
      </c>
      <c r="B14" s="585">
        <f>SUM(B10:B13)</f>
        <v>205426</v>
      </c>
      <c r="C14" s="571"/>
    </row>
    <row r="15" spans="1:10" ht="17.25" thickBot="1" x14ac:dyDescent="0.35">
      <c r="A15" s="641"/>
      <c r="B15" s="642"/>
      <c r="C15" s="571"/>
      <c r="D15" s="635" t="s">
        <v>126</v>
      </c>
      <c r="E15" s="571" t="s">
        <v>89</v>
      </c>
      <c r="F15" s="571"/>
      <c r="G15" s="572"/>
      <c r="H15" s="635" t="s">
        <v>127</v>
      </c>
      <c r="I15" s="571" t="s">
        <v>89</v>
      </c>
      <c r="J15" s="571"/>
    </row>
    <row r="16" spans="1:10" ht="18" thickTop="1" thickBot="1" x14ac:dyDescent="0.35">
      <c r="A16" s="636" t="s">
        <v>128</v>
      </c>
      <c r="B16" s="585">
        <f>(F12+J12+F28+J28)/1.1</f>
        <v>230789545.20727271</v>
      </c>
      <c r="C16" s="571"/>
      <c r="D16" s="657">
        <f>F87</f>
        <v>96610</v>
      </c>
      <c r="E16" s="635" t="s">
        <v>113</v>
      </c>
      <c r="F16" s="635" t="s">
        <v>113</v>
      </c>
      <c r="G16" s="572"/>
      <c r="H16" s="640">
        <f>F88</f>
        <v>108816</v>
      </c>
      <c r="I16" s="635" t="s">
        <v>113</v>
      </c>
      <c r="J16" s="635" t="s">
        <v>113</v>
      </c>
    </row>
    <row r="17" spans="1:13" ht="17.25" thickTop="1" x14ac:dyDescent="0.3">
      <c r="A17" s="636" t="s">
        <v>79</v>
      </c>
      <c r="B17" s="585">
        <f>F12/1.1</f>
        <v>0</v>
      </c>
      <c r="C17" s="571"/>
      <c r="D17" s="658" t="s">
        <v>118</v>
      </c>
      <c r="E17" s="574" t="s">
        <v>119</v>
      </c>
      <c r="F17" s="574" t="s">
        <v>120</v>
      </c>
      <c r="G17" s="572"/>
      <c r="H17" s="643" t="s">
        <v>118</v>
      </c>
      <c r="I17" s="574" t="s">
        <v>119</v>
      </c>
      <c r="J17" s="574" t="s">
        <v>120</v>
      </c>
      <c r="K17" s="95"/>
      <c r="L17" s="95"/>
      <c r="M17" s="95"/>
    </row>
    <row r="18" spans="1:13" x14ac:dyDescent="0.3">
      <c r="A18" s="636" t="s">
        <v>122</v>
      </c>
      <c r="B18" s="585">
        <f>F28/1.1</f>
        <v>114303712.16363636</v>
      </c>
      <c r="C18" s="571"/>
      <c r="D18" s="659">
        <v>4159</v>
      </c>
      <c r="E18" s="660">
        <v>1286.6400000000001</v>
      </c>
      <c r="F18" s="661">
        <f>D18*E18</f>
        <v>5351135.7600000007</v>
      </c>
      <c r="G18" s="572"/>
      <c r="H18" s="597">
        <v>10743</v>
      </c>
      <c r="I18" s="662">
        <v>1171.6400000000001</v>
      </c>
      <c r="J18" s="663">
        <f>H18*I18</f>
        <v>12586928.520000001</v>
      </c>
      <c r="K18" s="86"/>
      <c r="L18" s="86"/>
      <c r="M18" s="74"/>
    </row>
    <row r="19" spans="1:13" x14ac:dyDescent="0.3">
      <c r="A19" s="636" t="s">
        <v>123</v>
      </c>
      <c r="B19" s="585">
        <f>J28/1.1</f>
        <v>116485833.04363635</v>
      </c>
      <c r="C19" s="571"/>
      <c r="D19" s="589">
        <v>16000</v>
      </c>
      <c r="E19" s="660">
        <v>1286.6400000000001</v>
      </c>
      <c r="F19" s="664">
        <f t="shared" ref="F19:F25" si="0">D19*E19</f>
        <v>20586240</v>
      </c>
      <c r="G19" s="572"/>
      <c r="H19" s="597">
        <v>15848</v>
      </c>
      <c r="I19" s="662">
        <v>1171.6400000000001</v>
      </c>
      <c r="J19" s="650">
        <f t="shared" ref="J19:J24" si="1">H19*I19</f>
        <v>18568150.720000003</v>
      </c>
      <c r="K19" s="86"/>
      <c r="L19" s="86"/>
      <c r="M19" s="74"/>
    </row>
    <row r="20" spans="1:13" x14ac:dyDescent="0.3">
      <c r="A20" s="636" t="s">
        <v>124</v>
      </c>
      <c r="B20" s="585">
        <f>J12/1.1</f>
        <v>0</v>
      </c>
      <c r="C20" s="571"/>
      <c r="D20" s="589">
        <v>19999</v>
      </c>
      <c r="E20" s="665">
        <v>1296.6400000000001</v>
      </c>
      <c r="F20" s="664">
        <f t="shared" si="0"/>
        <v>25931503.360000003</v>
      </c>
      <c r="G20" s="572"/>
      <c r="H20" s="666">
        <v>31766</v>
      </c>
      <c r="I20" s="662">
        <v>1171.6400000000001</v>
      </c>
      <c r="J20" s="650">
        <f t="shared" si="1"/>
        <v>37218316.240000002</v>
      </c>
      <c r="K20" s="86"/>
      <c r="L20" s="86"/>
      <c r="M20" s="74"/>
    </row>
    <row r="21" spans="1:13" x14ac:dyDescent="0.3">
      <c r="A21" s="636" t="s">
        <v>113</v>
      </c>
      <c r="B21" s="585"/>
      <c r="C21" s="571"/>
      <c r="D21" s="589">
        <v>31999</v>
      </c>
      <c r="E21" s="665">
        <v>1296.6400000000001</v>
      </c>
      <c r="F21" s="664">
        <f t="shared" si="0"/>
        <v>41491183.360000007</v>
      </c>
      <c r="G21" s="572"/>
      <c r="H21" s="667">
        <v>19826</v>
      </c>
      <c r="I21" s="665">
        <v>1171.6400000000001</v>
      </c>
      <c r="J21" s="650">
        <f t="shared" si="1"/>
        <v>23228934.640000001</v>
      </c>
    </row>
    <row r="22" spans="1:13" x14ac:dyDescent="0.3">
      <c r="A22" s="668" t="s">
        <v>132</v>
      </c>
      <c r="B22" s="669">
        <f>B6-B16</f>
        <v>19731473.883636355</v>
      </c>
      <c r="C22" s="571"/>
      <c r="D22" s="667">
        <v>793</v>
      </c>
      <c r="E22" s="665">
        <v>1296.6400000000001</v>
      </c>
      <c r="F22" s="664">
        <f t="shared" si="0"/>
        <v>1028235.5200000001</v>
      </c>
      <c r="G22" s="572"/>
      <c r="H22" s="589">
        <v>2997</v>
      </c>
      <c r="I22" s="665">
        <v>1171.6400000000001</v>
      </c>
      <c r="J22" s="650">
        <f t="shared" si="1"/>
        <v>3511405.08</v>
      </c>
    </row>
    <row r="23" spans="1:13" x14ac:dyDescent="0.3">
      <c r="A23" s="636" t="s">
        <v>133</v>
      </c>
      <c r="B23" s="658">
        <f>B22/B14</f>
        <v>96.051492428594017</v>
      </c>
      <c r="C23" s="571"/>
      <c r="D23" s="667">
        <v>20000</v>
      </c>
      <c r="E23" s="665">
        <v>1324.8430000000001</v>
      </c>
      <c r="F23" s="664">
        <f t="shared" si="0"/>
        <v>26496860</v>
      </c>
      <c r="G23" s="572"/>
      <c r="H23" s="589">
        <v>19804</v>
      </c>
      <c r="I23" s="665">
        <v>1194.8430000000001</v>
      </c>
      <c r="J23" s="650">
        <f t="shared" si="1"/>
        <v>23662670.772</v>
      </c>
    </row>
    <row r="24" spans="1:13" x14ac:dyDescent="0.3">
      <c r="A24" s="571"/>
      <c r="B24" s="670"/>
      <c r="C24" s="571"/>
      <c r="D24" s="667">
        <v>3660</v>
      </c>
      <c r="E24" s="665">
        <v>1324.8430000000001</v>
      </c>
      <c r="F24" s="664">
        <f t="shared" si="0"/>
        <v>4848925.38</v>
      </c>
      <c r="G24" s="572"/>
      <c r="H24" s="589">
        <v>3962</v>
      </c>
      <c r="I24" s="671">
        <v>1194.8430000000001</v>
      </c>
      <c r="J24" s="650">
        <f t="shared" si="1"/>
        <v>4733967.966</v>
      </c>
    </row>
    <row r="25" spans="1:13" x14ac:dyDescent="0.3">
      <c r="A25" s="571"/>
      <c r="B25" s="670"/>
      <c r="C25" s="571"/>
      <c r="D25" s="667"/>
      <c r="E25" s="665"/>
      <c r="F25" s="664">
        <f t="shared" si="0"/>
        <v>0</v>
      </c>
      <c r="G25" s="572"/>
      <c r="H25" s="589">
        <v>3870</v>
      </c>
      <c r="I25" s="671">
        <v>1194.8430000000001</v>
      </c>
      <c r="J25" s="650">
        <f>H25*I25</f>
        <v>4624042.41</v>
      </c>
    </row>
    <row r="26" spans="1:13" x14ac:dyDescent="0.3">
      <c r="A26" s="571"/>
      <c r="B26" s="670"/>
      <c r="C26" s="571"/>
      <c r="D26" s="667"/>
      <c r="E26" s="665"/>
      <c r="F26" s="664">
        <f>D26*E26</f>
        <v>0</v>
      </c>
      <c r="G26" s="572"/>
      <c r="H26" s="589"/>
      <c r="I26" s="671"/>
      <c r="J26" s="650">
        <f>H26*I26</f>
        <v>0</v>
      </c>
    </row>
    <row r="27" spans="1:13" ht="17.25" thickBot="1" x14ac:dyDescent="0.35">
      <c r="A27" s="571"/>
      <c r="B27" s="670"/>
      <c r="C27" s="571"/>
      <c r="D27" s="672"/>
      <c r="E27" s="673"/>
      <c r="F27" s="674">
        <f>D27*E27</f>
        <v>0</v>
      </c>
      <c r="G27" s="572"/>
      <c r="H27" s="589"/>
      <c r="I27" s="671"/>
      <c r="J27" s="650">
        <f>H27*I27</f>
        <v>0</v>
      </c>
    </row>
    <row r="28" spans="1:13" ht="17.25" thickBot="1" x14ac:dyDescent="0.35">
      <c r="A28" s="571"/>
      <c r="B28" s="670"/>
      <c r="C28" s="571"/>
      <c r="D28" s="168">
        <f>SUM(D18:D27)</f>
        <v>96610</v>
      </c>
      <c r="E28" s="675"/>
      <c r="F28" s="170">
        <f>SUM(F18:F27)</f>
        <v>125734083.38000001</v>
      </c>
      <c r="G28" s="572"/>
      <c r="H28" s="171">
        <f>SUM(H18:H27)</f>
        <v>108816</v>
      </c>
      <c r="I28" s="172" t="s">
        <v>89</v>
      </c>
      <c r="J28" s="173">
        <f>SUM(J18:J27)</f>
        <v>128134416.348</v>
      </c>
    </row>
    <row r="29" spans="1:13" x14ac:dyDescent="0.3">
      <c r="A29" s="571"/>
      <c r="B29" s="670"/>
      <c r="C29" s="571"/>
      <c r="D29" s="573"/>
      <c r="E29" s="571"/>
      <c r="F29" s="571"/>
      <c r="G29" s="572"/>
      <c r="H29" s="573"/>
      <c r="I29" s="571"/>
      <c r="J29" s="571"/>
    </row>
    <row r="30" spans="1:13" x14ac:dyDescent="0.3">
      <c r="A30" s="571"/>
      <c r="B30" s="670"/>
      <c r="C30" s="571"/>
      <c r="D30" s="473" t="s">
        <v>178</v>
      </c>
      <c r="E30" s="473"/>
      <c r="F30" s="473"/>
      <c r="G30" s="473"/>
      <c r="H30" s="473"/>
      <c r="I30" s="473"/>
      <c r="J30" s="571"/>
    </row>
    <row r="31" spans="1:13" x14ac:dyDescent="0.3">
      <c r="A31" s="571"/>
      <c r="B31" s="670"/>
      <c r="C31" s="571"/>
      <c r="D31" s="37" t="s">
        <v>71</v>
      </c>
      <c r="E31" s="571"/>
      <c r="F31" s="571"/>
      <c r="G31" s="572"/>
      <c r="H31" s="573"/>
      <c r="I31" s="571" t="s">
        <v>72</v>
      </c>
      <c r="J31" s="571"/>
    </row>
    <row r="32" spans="1:13" x14ac:dyDescent="0.3">
      <c r="A32" s="571"/>
      <c r="B32" s="670"/>
      <c r="C32" s="571"/>
      <c r="D32" s="574" t="s">
        <v>73</v>
      </c>
      <c r="E32" s="575" t="s">
        <v>74</v>
      </c>
      <c r="F32" s="574" t="s">
        <v>75</v>
      </c>
      <c r="G32" s="576" t="s">
        <v>76</v>
      </c>
      <c r="H32" s="577" t="s">
        <v>77</v>
      </c>
      <c r="I32" s="577"/>
      <c r="J32" s="571"/>
    </row>
    <row r="33" spans="1:9" x14ac:dyDescent="0.3">
      <c r="C33" s="571"/>
      <c r="D33" s="577" t="s">
        <v>78</v>
      </c>
      <c r="E33" s="578" t="s">
        <v>79</v>
      </c>
      <c r="F33" s="579"/>
      <c r="G33" s="580"/>
      <c r="H33" s="581">
        <f>F33*G33</f>
        <v>0</v>
      </c>
      <c r="I33" s="581"/>
    </row>
    <row r="34" spans="1:9" x14ac:dyDescent="0.3">
      <c r="A34" s="571"/>
      <c r="B34" s="571"/>
      <c r="C34" s="571"/>
      <c r="D34" s="577"/>
      <c r="E34" s="578"/>
      <c r="F34" s="601">
        <f>'[7]3월매출및재고수불'!F95</f>
        <v>0</v>
      </c>
      <c r="G34" s="602">
        <f>'[7]3월매출및재고수불'!G95</f>
        <v>0</v>
      </c>
      <c r="H34" s="584">
        <f>F34*G34</f>
        <v>0</v>
      </c>
      <c r="I34" s="584"/>
    </row>
    <row r="35" spans="1:9" x14ac:dyDescent="0.3">
      <c r="A35" s="571"/>
      <c r="B35" s="571"/>
      <c r="C35" s="571"/>
      <c r="D35" s="577"/>
      <c r="E35" s="575" t="s">
        <v>80</v>
      </c>
      <c r="F35" s="658">
        <f>SUM(F33:F34)</f>
        <v>0</v>
      </c>
      <c r="G35" s="676"/>
      <c r="H35" s="587">
        <f>SUM(H33:H34)</f>
        <v>0</v>
      </c>
      <c r="I35" s="588"/>
    </row>
    <row r="36" spans="1:9" x14ac:dyDescent="0.3">
      <c r="A36" s="571"/>
      <c r="B36" s="571"/>
      <c r="C36" s="571"/>
      <c r="D36" s="577"/>
      <c r="E36" s="577" t="s">
        <v>81</v>
      </c>
      <c r="F36" s="589">
        <v>4159</v>
      </c>
      <c r="G36" s="660">
        <v>1296.6400000000001</v>
      </c>
      <c r="H36" s="581">
        <f>F36*G36</f>
        <v>5392725.7600000007</v>
      </c>
      <c r="I36" s="581"/>
    </row>
    <row r="37" spans="1:9" x14ac:dyDescent="0.3">
      <c r="A37" s="571"/>
      <c r="B37" s="571"/>
      <c r="C37" s="571"/>
      <c r="D37" s="577"/>
      <c r="E37" s="577"/>
      <c r="F37" s="589">
        <v>16000</v>
      </c>
      <c r="G37" s="660">
        <v>1296.6400000000001</v>
      </c>
      <c r="H37" s="591">
        <f>F37*G37</f>
        <v>20746240</v>
      </c>
      <c r="I37" s="591"/>
    </row>
    <row r="38" spans="1:9" x14ac:dyDescent="0.3">
      <c r="A38" s="571"/>
      <c r="B38" s="571"/>
      <c r="C38" s="571"/>
      <c r="D38" s="577"/>
      <c r="E38" s="577"/>
      <c r="F38" s="589">
        <v>19999</v>
      </c>
      <c r="G38" s="660">
        <v>1296.6400000000001</v>
      </c>
      <c r="H38" s="591">
        <f>F38*G38</f>
        <v>25931503.360000003</v>
      </c>
      <c r="I38" s="591"/>
    </row>
    <row r="39" spans="1:9" x14ac:dyDescent="0.3">
      <c r="A39" s="677"/>
      <c r="B39" s="677"/>
      <c r="C39" s="677"/>
      <c r="D39" s="577"/>
      <c r="E39" s="577"/>
      <c r="F39" s="589">
        <v>31999</v>
      </c>
      <c r="G39" s="660">
        <v>1296.6400000000001</v>
      </c>
      <c r="H39" s="591">
        <f>F39*G39</f>
        <v>41491183.360000007</v>
      </c>
      <c r="I39" s="591"/>
    </row>
    <row r="40" spans="1:9" x14ac:dyDescent="0.3">
      <c r="D40" s="577"/>
      <c r="E40" s="577"/>
      <c r="F40" s="589">
        <v>793</v>
      </c>
      <c r="G40" s="660">
        <v>1296.6400000000001</v>
      </c>
      <c r="H40" s="592">
        <f>F40*G40</f>
        <v>1028235.5200000001</v>
      </c>
      <c r="I40" s="592"/>
    </row>
    <row r="41" spans="1:9" x14ac:dyDescent="0.3">
      <c r="D41" s="577"/>
      <c r="E41" s="575" t="s">
        <v>80</v>
      </c>
      <c r="F41" s="678">
        <f>SUM(F36:F40)</f>
        <v>72950</v>
      </c>
      <c r="G41" s="679"/>
      <c r="H41" s="595">
        <f>SUM(H36:H40)</f>
        <v>94589888.000000015</v>
      </c>
      <c r="I41" s="595"/>
    </row>
    <row r="42" spans="1:9" x14ac:dyDescent="0.3">
      <c r="D42" s="577"/>
      <c r="E42" s="577" t="s">
        <v>82</v>
      </c>
      <c r="F42" s="597">
        <v>10743</v>
      </c>
      <c r="G42" s="662">
        <v>1171.6400000000001</v>
      </c>
      <c r="H42" s="581">
        <f>F42*G42</f>
        <v>12586928.520000001</v>
      </c>
      <c r="I42" s="581"/>
    </row>
    <row r="43" spans="1:9" x14ac:dyDescent="0.3">
      <c r="D43" s="577"/>
      <c r="E43" s="577"/>
      <c r="F43" s="597">
        <v>15848</v>
      </c>
      <c r="G43" s="662">
        <v>1171.6400000000001</v>
      </c>
      <c r="H43" s="591">
        <f>F43*G43</f>
        <v>18568150.720000003</v>
      </c>
      <c r="I43" s="591"/>
    </row>
    <row r="44" spans="1:9" x14ac:dyDescent="0.3">
      <c r="D44" s="577"/>
      <c r="E44" s="577"/>
      <c r="F44" s="597">
        <v>31766</v>
      </c>
      <c r="G44" s="662">
        <v>1171.6400000000001</v>
      </c>
      <c r="H44" s="591">
        <f>F44*G44</f>
        <v>37218316.240000002</v>
      </c>
      <c r="I44" s="591"/>
    </row>
    <row r="45" spans="1:9" x14ac:dyDescent="0.3">
      <c r="D45" s="577"/>
      <c r="E45" s="577"/>
      <c r="F45" s="597">
        <v>19826</v>
      </c>
      <c r="G45" s="662">
        <v>1171.6400000000001</v>
      </c>
      <c r="H45" s="591">
        <f>F45*G45</f>
        <v>23228934.640000001</v>
      </c>
      <c r="I45" s="591"/>
    </row>
    <row r="46" spans="1:9" x14ac:dyDescent="0.3">
      <c r="D46" s="577"/>
      <c r="E46" s="577"/>
      <c r="F46" s="600">
        <v>2997</v>
      </c>
      <c r="G46" s="680">
        <v>1171.6400000000001</v>
      </c>
      <c r="H46" s="592">
        <f>F46*G46</f>
        <v>3511405.08</v>
      </c>
      <c r="I46" s="592"/>
    </row>
    <row r="47" spans="1:9" x14ac:dyDescent="0.3">
      <c r="D47" s="577"/>
      <c r="E47" s="575" t="s">
        <v>80</v>
      </c>
      <c r="F47" s="678">
        <f>SUM(F42:F46)</f>
        <v>81180</v>
      </c>
      <c r="G47" s="679"/>
      <c r="H47" s="595">
        <f>SUM(H42:H46)</f>
        <v>95113735.200000003</v>
      </c>
      <c r="I47" s="595"/>
    </row>
    <row r="48" spans="1:9" x14ac:dyDescent="0.3">
      <c r="D48" s="577"/>
      <c r="E48" s="577" t="s">
        <v>83</v>
      </c>
      <c r="F48" s="579"/>
      <c r="G48" s="580"/>
      <c r="H48" s="581">
        <f>F48*G48</f>
        <v>0</v>
      </c>
      <c r="I48" s="581"/>
    </row>
    <row r="49" spans="4:10" x14ac:dyDescent="0.3">
      <c r="D49" s="577"/>
      <c r="E49" s="577"/>
      <c r="F49" s="601">
        <f>'[7]3월매출및재고수불'!F110</f>
        <v>0</v>
      </c>
      <c r="G49" s="602"/>
      <c r="H49" s="584">
        <f>F49*G49</f>
        <v>0</v>
      </c>
      <c r="I49" s="584"/>
    </row>
    <row r="50" spans="4:10" ht="17.25" thickBot="1" x14ac:dyDescent="0.35">
      <c r="D50" s="577"/>
      <c r="E50" s="603" t="s">
        <v>80</v>
      </c>
      <c r="F50" s="681">
        <f>SUM(F48:F49)</f>
        <v>0</v>
      </c>
      <c r="G50" s="682"/>
      <c r="H50" s="606">
        <f>SUM(H48:H49)</f>
        <v>0</v>
      </c>
      <c r="I50" s="607"/>
    </row>
    <row r="51" spans="4:10" ht="18" thickTop="1" thickBot="1" x14ac:dyDescent="0.35">
      <c r="D51" s="608"/>
      <c r="E51" s="63" t="s">
        <v>84</v>
      </c>
      <c r="F51" s="64">
        <f>F35+F41+F47+F50</f>
        <v>154130</v>
      </c>
      <c r="G51" s="65"/>
      <c r="H51" s="523">
        <f>H35+H41+H47+H50</f>
        <v>189703623.20000002</v>
      </c>
      <c r="I51" s="524"/>
      <c r="J51" s="77" t="s">
        <v>87</v>
      </c>
    </row>
    <row r="52" spans="4:10" x14ac:dyDescent="0.3">
      <c r="D52" s="577" t="s">
        <v>88</v>
      </c>
      <c r="E52" s="578" t="s">
        <v>79</v>
      </c>
      <c r="F52" s="579">
        <v>0</v>
      </c>
      <c r="G52" s="683"/>
      <c r="H52" s="609">
        <f>F52*G52</f>
        <v>0</v>
      </c>
      <c r="I52" s="609"/>
      <c r="J52" s="610" t="s">
        <v>89</v>
      </c>
    </row>
    <row r="53" spans="4:10" x14ac:dyDescent="0.3">
      <c r="D53" s="577"/>
      <c r="E53" s="578"/>
      <c r="F53" s="582"/>
      <c r="G53" s="583"/>
      <c r="H53" s="611">
        <f>F53*G53</f>
        <v>0</v>
      </c>
      <c r="I53" s="611"/>
      <c r="J53" s="612" t="s">
        <v>89</v>
      </c>
    </row>
    <row r="54" spans="4:10" x14ac:dyDescent="0.3">
      <c r="D54" s="577"/>
      <c r="E54" s="575" t="s">
        <v>80</v>
      </c>
      <c r="F54" s="585">
        <f>SUM(F52:F53)</f>
        <v>0</v>
      </c>
      <c r="G54" s="586"/>
      <c r="H54" s="587">
        <f>SUM(H52:H53)</f>
        <v>0</v>
      </c>
      <c r="I54" s="588"/>
      <c r="J54" s="82" t="s">
        <v>89</v>
      </c>
    </row>
    <row r="55" spans="4:10" x14ac:dyDescent="0.3">
      <c r="D55" s="577"/>
      <c r="E55" s="577" t="s">
        <v>81</v>
      </c>
      <c r="F55" s="613">
        <v>20000</v>
      </c>
      <c r="G55" s="614">
        <v>1324.8430000000001</v>
      </c>
      <c r="H55" s="609">
        <f t="shared" ref="H55:H68" si="2">F55*G55</f>
        <v>26496860</v>
      </c>
      <c r="I55" s="609"/>
      <c r="J55" s="610">
        <v>43565</v>
      </c>
    </row>
    <row r="56" spans="4:10" x14ac:dyDescent="0.3">
      <c r="D56" s="577"/>
      <c r="E56" s="577"/>
      <c r="F56" s="589">
        <v>4000</v>
      </c>
      <c r="G56" s="590">
        <v>1324.8430000000001</v>
      </c>
      <c r="H56" s="615">
        <f t="shared" si="2"/>
        <v>5299372</v>
      </c>
      <c r="I56" s="615"/>
      <c r="J56" s="616">
        <v>43565</v>
      </c>
    </row>
    <row r="57" spans="4:10" x14ac:dyDescent="0.3">
      <c r="D57" s="577"/>
      <c r="E57" s="577"/>
      <c r="F57" s="589">
        <v>20000</v>
      </c>
      <c r="G57" s="590">
        <v>1324.8430000000001</v>
      </c>
      <c r="H57" s="615">
        <f t="shared" si="2"/>
        <v>26496860</v>
      </c>
      <c r="I57" s="615"/>
      <c r="J57" s="616">
        <v>43565</v>
      </c>
    </row>
    <row r="58" spans="4:10" x14ac:dyDescent="0.3">
      <c r="D58" s="577"/>
      <c r="E58" s="577"/>
      <c r="F58" s="589">
        <v>8000</v>
      </c>
      <c r="G58" s="590">
        <v>1324.8430000000001</v>
      </c>
      <c r="H58" s="615">
        <f t="shared" si="2"/>
        <v>10598744</v>
      </c>
      <c r="I58" s="615"/>
      <c r="J58" s="616">
        <v>43565</v>
      </c>
    </row>
    <row r="59" spans="4:10" x14ac:dyDescent="0.3">
      <c r="D59" s="577"/>
      <c r="E59" s="577"/>
      <c r="F59" s="589">
        <v>19999</v>
      </c>
      <c r="G59" s="590">
        <v>1374.8430000000001</v>
      </c>
      <c r="H59" s="615">
        <f t="shared" si="2"/>
        <v>27495485.157000002</v>
      </c>
      <c r="I59" s="615"/>
      <c r="J59" s="616">
        <v>43574</v>
      </c>
    </row>
    <row r="60" spans="4:10" x14ac:dyDescent="0.3">
      <c r="D60" s="577"/>
      <c r="E60" s="577"/>
      <c r="F60" s="589">
        <v>19999</v>
      </c>
      <c r="G60" s="590">
        <v>1374.8430000000001</v>
      </c>
      <c r="H60" s="615">
        <f t="shared" si="2"/>
        <v>27495485.157000002</v>
      </c>
      <c r="I60" s="615"/>
      <c r="J60" s="616">
        <v>43577</v>
      </c>
    </row>
    <row r="61" spans="4:10" x14ac:dyDescent="0.3">
      <c r="D61" s="577"/>
      <c r="E61" s="577"/>
      <c r="F61" s="589">
        <v>8000</v>
      </c>
      <c r="G61" s="684">
        <v>1394.8430000000001</v>
      </c>
      <c r="H61" s="615">
        <f t="shared" si="2"/>
        <v>11158744</v>
      </c>
      <c r="I61" s="615"/>
      <c r="J61" s="616">
        <v>43581</v>
      </c>
    </row>
    <row r="62" spans="4:10" x14ac:dyDescent="0.3">
      <c r="D62" s="577"/>
      <c r="E62" s="577"/>
      <c r="F62" s="589">
        <v>19999</v>
      </c>
      <c r="G62" s="684">
        <v>1394.8430000000001</v>
      </c>
      <c r="H62" s="615">
        <f t="shared" si="2"/>
        <v>27895465.157000002</v>
      </c>
      <c r="I62" s="615"/>
      <c r="J62" s="616">
        <v>43585</v>
      </c>
    </row>
    <row r="63" spans="4:10" x14ac:dyDescent="0.3">
      <c r="D63" s="577"/>
      <c r="E63" s="577"/>
      <c r="F63" s="589"/>
      <c r="G63" s="684"/>
      <c r="H63" s="615">
        <f t="shared" si="2"/>
        <v>0</v>
      </c>
      <c r="I63" s="615"/>
      <c r="J63" s="616" t="s">
        <v>89</v>
      </c>
    </row>
    <row r="64" spans="4:10" x14ac:dyDescent="0.3">
      <c r="D64" s="577"/>
      <c r="E64" s="577"/>
      <c r="F64" s="589"/>
      <c r="G64" s="685"/>
      <c r="H64" s="615">
        <f t="shared" si="2"/>
        <v>0</v>
      </c>
      <c r="I64" s="615"/>
      <c r="J64" s="617"/>
    </row>
    <row r="65" spans="4:10" x14ac:dyDescent="0.3">
      <c r="D65" s="577"/>
      <c r="E65" s="577"/>
      <c r="F65" s="599"/>
      <c r="G65" s="686"/>
      <c r="H65" s="615">
        <f t="shared" si="2"/>
        <v>0</v>
      </c>
      <c r="I65" s="615"/>
      <c r="J65" s="617"/>
    </row>
    <row r="66" spans="4:10" x14ac:dyDescent="0.3">
      <c r="D66" s="577"/>
      <c r="E66" s="577"/>
      <c r="F66" s="589"/>
      <c r="G66" s="685"/>
      <c r="H66" s="615">
        <f t="shared" si="2"/>
        <v>0</v>
      </c>
      <c r="I66" s="615"/>
      <c r="J66" s="617"/>
    </row>
    <row r="67" spans="4:10" x14ac:dyDescent="0.3">
      <c r="D67" s="577"/>
      <c r="E67" s="577"/>
      <c r="F67" s="597"/>
      <c r="G67" s="687"/>
      <c r="H67" s="615">
        <f t="shared" si="2"/>
        <v>0</v>
      </c>
      <c r="I67" s="615"/>
      <c r="J67" s="617"/>
    </row>
    <row r="68" spans="4:10" x14ac:dyDescent="0.3">
      <c r="D68" s="577"/>
      <c r="E68" s="577"/>
      <c r="F68" s="600"/>
      <c r="G68" s="688"/>
      <c r="H68" s="618">
        <f t="shared" si="2"/>
        <v>0</v>
      </c>
      <c r="I68" s="618"/>
      <c r="J68" s="619"/>
    </row>
    <row r="69" spans="4:10" x14ac:dyDescent="0.3">
      <c r="D69" s="577"/>
      <c r="E69" s="575" t="s">
        <v>80</v>
      </c>
      <c r="F69" s="593">
        <f>SUM(F55:F68)</f>
        <v>119997</v>
      </c>
      <c r="G69" s="594"/>
      <c r="H69" s="595">
        <f>SUM(H55:H68)</f>
        <v>162937015.47100002</v>
      </c>
      <c r="I69" s="595"/>
      <c r="J69" s="82"/>
    </row>
    <row r="70" spans="4:10" x14ac:dyDescent="0.3">
      <c r="D70" s="577"/>
      <c r="E70" s="577" t="s">
        <v>82</v>
      </c>
      <c r="F70" s="579">
        <v>19804</v>
      </c>
      <c r="G70" s="596">
        <v>1194.8430000000001</v>
      </c>
      <c r="H70" s="609">
        <f t="shared" ref="H70:H80" si="3">F70*G70</f>
        <v>23662670.772</v>
      </c>
      <c r="I70" s="609"/>
      <c r="J70" s="610">
        <v>43565</v>
      </c>
    </row>
    <row r="71" spans="4:10" x14ac:dyDescent="0.3">
      <c r="D71" s="577"/>
      <c r="E71" s="577"/>
      <c r="F71" s="597">
        <v>3962</v>
      </c>
      <c r="G71" s="598">
        <v>1194.8430000000001</v>
      </c>
      <c r="H71" s="615">
        <f t="shared" si="3"/>
        <v>4733967.966</v>
      </c>
      <c r="I71" s="615"/>
      <c r="J71" s="616">
        <v>43565</v>
      </c>
    </row>
    <row r="72" spans="4:10" x14ac:dyDescent="0.3">
      <c r="D72" s="577"/>
      <c r="E72" s="577"/>
      <c r="F72" s="597">
        <v>7926</v>
      </c>
      <c r="G72" s="598">
        <v>1194.8430000000001</v>
      </c>
      <c r="H72" s="615">
        <f t="shared" si="3"/>
        <v>9470325.6180000007</v>
      </c>
      <c r="I72" s="615"/>
      <c r="J72" s="616">
        <v>43565</v>
      </c>
    </row>
    <row r="73" spans="4:10" x14ac:dyDescent="0.3">
      <c r="D73" s="577"/>
      <c r="E73" s="577"/>
      <c r="F73" s="597">
        <v>19814</v>
      </c>
      <c r="G73" s="598">
        <v>1194.8430000000001</v>
      </c>
      <c r="H73" s="615">
        <f t="shared" si="3"/>
        <v>23674619.202000003</v>
      </c>
      <c r="I73" s="615"/>
      <c r="J73" s="616">
        <v>43565</v>
      </c>
    </row>
    <row r="74" spans="4:10" x14ac:dyDescent="0.3">
      <c r="D74" s="577"/>
      <c r="E74" s="577"/>
      <c r="F74" s="597">
        <v>27668</v>
      </c>
      <c r="G74" s="598">
        <v>1209.8430000000001</v>
      </c>
      <c r="H74" s="615">
        <f t="shared" si="3"/>
        <v>33473936.124000002</v>
      </c>
      <c r="I74" s="615"/>
      <c r="J74" s="616">
        <v>43574</v>
      </c>
    </row>
    <row r="75" spans="4:10" x14ac:dyDescent="0.3">
      <c r="D75" s="577"/>
      <c r="E75" s="577"/>
      <c r="F75" s="589">
        <v>11888</v>
      </c>
      <c r="G75" s="598">
        <v>1209.8430000000001</v>
      </c>
      <c r="H75" s="615">
        <f t="shared" si="3"/>
        <v>14382613.584000001</v>
      </c>
      <c r="I75" s="615"/>
      <c r="J75" s="612">
        <v>43577</v>
      </c>
    </row>
    <row r="76" spans="4:10" x14ac:dyDescent="0.3">
      <c r="D76" s="577"/>
      <c r="E76" s="577"/>
      <c r="F76" s="589">
        <v>19742</v>
      </c>
      <c r="G76" s="598">
        <v>1209.8430000000001</v>
      </c>
      <c r="H76" s="615">
        <f t="shared" si="3"/>
        <v>23884720.506000001</v>
      </c>
      <c r="I76" s="615"/>
      <c r="J76" s="612">
        <v>43577</v>
      </c>
    </row>
    <row r="77" spans="4:10" x14ac:dyDescent="0.3">
      <c r="D77" s="577"/>
      <c r="E77" s="577"/>
      <c r="F77" s="599">
        <v>19754</v>
      </c>
      <c r="G77" s="598">
        <v>1209.8430000000001</v>
      </c>
      <c r="H77" s="615">
        <f t="shared" si="3"/>
        <v>23899238.622000001</v>
      </c>
      <c r="I77" s="615"/>
      <c r="J77" s="612">
        <v>43577</v>
      </c>
    </row>
    <row r="78" spans="4:10" x14ac:dyDescent="0.3">
      <c r="D78" s="577"/>
      <c r="E78" s="577"/>
      <c r="F78" s="589">
        <v>15802</v>
      </c>
      <c r="G78" s="598">
        <v>1209.8430000000001</v>
      </c>
      <c r="H78" s="615">
        <f t="shared" si="3"/>
        <v>19117939.086000003</v>
      </c>
      <c r="I78" s="615"/>
      <c r="J78" s="612">
        <v>43577</v>
      </c>
    </row>
    <row r="79" spans="4:10" x14ac:dyDescent="0.3">
      <c r="D79" s="577"/>
      <c r="E79" s="577"/>
      <c r="F79" s="597">
        <v>19886</v>
      </c>
      <c r="G79" s="598">
        <v>1224.8430000000001</v>
      </c>
      <c r="H79" s="615">
        <f t="shared" si="3"/>
        <v>24357227.898000002</v>
      </c>
      <c r="I79" s="615"/>
      <c r="J79" s="612">
        <v>43584</v>
      </c>
    </row>
    <row r="80" spans="4:10" x14ac:dyDescent="0.3">
      <c r="D80" s="577"/>
      <c r="E80" s="577"/>
      <c r="F80" s="600"/>
      <c r="G80" s="598"/>
      <c r="H80" s="618">
        <f t="shared" si="3"/>
        <v>0</v>
      </c>
      <c r="I80" s="618"/>
      <c r="J80" s="612"/>
    </row>
    <row r="81" spans="4:11" x14ac:dyDescent="0.3">
      <c r="D81" s="577"/>
      <c r="E81" s="575" t="s">
        <v>80</v>
      </c>
      <c r="F81" s="593">
        <f>SUM(F70:F80)</f>
        <v>166246</v>
      </c>
      <c r="G81" s="594"/>
      <c r="H81" s="595">
        <f>SUM(H70:H80)</f>
        <v>200657259.37799999</v>
      </c>
      <c r="I81" s="595"/>
      <c r="J81" s="82"/>
    </row>
    <row r="82" spans="4:11" x14ac:dyDescent="0.3">
      <c r="D82" s="577"/>
      <c r="E82" s="577" t="s">
        <v>83</v>
      </c>
      <c r="F82" s="579"/>
      <c r="G82" s="580"/>
      <c r="H82" s="609">
        <f>F82*G82</f>
        <v>0</v>
      </c>
      <c r="I82" s="609"/>
      <c r="J82" s="620"/>
    </row>
    <row r="83" spans="4:11" x14ac:dyDescent="0.3">
      <c r="D83" s="577"/>
      <c r="E83" s="577"/>
      <c r="F83" s="601"/>
      <c r="G83" s="602"/>
      <c r="H83" s="611">
        <f>F83*G83</f>
        <v>0</v>
      </c>
      <c r="I83" s="611"/>
      <c r="J83" s="93"/>
    </row>
    <row r="84" spans="4:11" ht="17.25" thickBot="1" x14ac:dyDescent="0.35">
      <c r="D84" s="577"/>
      <c r="E84" s="603" t="s">
        <v>80</v>
      </c>
      <c r="F84" s="604">
        <f>SUM(F82+F83)</f>
        <v>0</v>
      </c>
      <c r="G84" s="605"/>
      <c r="H84" s="606">
        <f>SUM(H82:H83)</f>
        <v>0</v>
      </c>
      <c r="I84" s="607"/>
      <c r="J84" s="94"/>
    </row>
    <row r="85" spans="4:11" ht="18" thickTop="1" thickBot="1" x14ac:dyDescent="0.35">
      <c r="D85" s="608"/>
      <c r="E85" s="63" t="s">
        <v>84</v>
      </c>
      <c r="F85" s="64">
        <f>F54+F69+F81+F84</f>
        <v>286243</v>
      </c>
      <c r="G85" s="65"/>
      <c r="H85" s="523">
        <f>H54+H69+H81+H84</f>
        <v>363594274.84899998</v>
      </c>
      <c r="I85" s="524"/>
    </row>
    <row r="86" spans="4:11" x14ac:dyDescent="0.3">
      <c r="D86" s="577" t="s">
        <v>91</v>
      </c>
      <c r="E86" s="95" t="s">
        <v>79</v>
      </c>
      <c r="F86" s="621"/>
      <c r="G86" s="97" t="e">
        <f>H86/F86</f>
        <v>#DIV/0!</v>
      </c>
      <c r="H86" s="581">
        <f>F12</f>
        <v>0</v>
      </c>
      <c r="I86" s="581"/>
    </row>
    <row r="87" spans="4:11" x14ac:dyDescent="0.3">
      <c r="D87" s="577"/>
      <c r="E87" s="98" t="s">
        <v>81</v>
      </c>
      <c r="F87" s="622">
        <v>96610</v>
      </c>
      <c r="G87" s="105">
        <f>H87/F87</f>
        <v>1301.4603393023497</v>
      </c>
      <c r="H87" s="591">
        <f>F28</f>
        <v>125734083.38000001</v>
      </c>
      <c r="I87" s="591"/>
      <c r="K87" s="623"/>
    </row>
    <row r="88" spans="4:11" x14ac:dyDescent="0.3">
      <c r="D88" s="577"/>
      <c r="E88" s="98" t="s">
        <v>82</v>
      </c>
      <c r="F88" s="597">
        <v>108816</v>
      </c>
      <c r="G88" s="105">
        <f>H88/F88</f>
        <v>1177.5328660123512</v>
      </c>
      <c r="H88" s="591">
        <f>J28</f>
        <v>128134416.348</v>
      </c>
      <c r="I88" s="591"/>
    </row>
    <row r="89" spans="4:11" ht="17.25" thickBot="1" x14ac:dyDescent="0.35">
      <c r="D89" s="577"/>
      <c r="E89" s="95" t="s">
        <v>83</v>
      </c>
      <c r="F89" s="624"/>
      <c r="G89" s="625" t="e">
        <f>H89/F89</f>
        <v>#DIV/0!</v>
      </c>
      <c r="H89" s="626">
        <f>J12</f>
        <v>0</v>
      </c>
      <c r="I89" s="626"/>
    </row>
    <row r="90" spans="4:11" ht="17.25" thickBot="1" x14ac:dyDescent="0.35">
      <c r="D90" s="608"/>
      <c r="E90" s="103" t="s">
        <v>84</v>
      </c>
      <c r="F90" s="64">
        <f>SUM(F86:F89)</f>
        <v>205426</v>
      </c>
      <c r="G90" s="65"/>
      <c r="H90" s="529">
        <f>SUM(H86:H89)</f>
        <v>253868499.72800002</v>
      </c>
      <c r="I90" s="530"/>
    </row>
    <row r="91" spans="4:11" x14ac:dyDescent="0.3">
      <c r="D91" s="577" t="s">
        <v>92</v>
      </c>
      <c r="E91" s="95" t="s">
        <v>79</v>
      </c>
      <c r="F91" s="104">
        <f>F35+F54-F86</f>
        <v>0</v>
      </c>
      <c r="G91" s="97" t="e">
        <f>H91/F91</f>
        <v>#DIV/0!</v>
      </c>
      <c r="H91" s="609">
        <f>H35+H54-H86</f>
        <v>0</v>
      </c>
      <c r="I91" s="609"/>
      <c r="K91" s="95"/>
    </row>
    <row r="92" spans="4:11" x14ac:dyDescent="0.3">
      <c r="D92" s="577"/>
      <c r="E92" s="98" t="s">
        <v>81</v>
      </c>
      <c r="F92" s="105">
        <f>F41+F69-F87</f>
        <v>96337</v>
      </c>
      <c r="G92" s="100">
        <f>H92/F92</f>
        <v>1368.0394873309322</v>
      </c>
      <c r="H92" s="615">
        <f>H41+H69-H87</f>
        <v>131792820.09100001</v>
      </c>
      <c r="I92" s="615"/>
      <c r="K92" s="86"/>
    </row>
    <row r="93" spans="4:11" x14ac:dyDescent="0.3">
      <c r="D93" s="577"/>
      <c r="E93" s="98" t="s">
        <v>82</v>
      </c>
      <c r="F93" s="105">
        <f>F47+F81-F88</f>
        <v>138610</v>
      </c>
      <c r="G93" s="100">
        <f>H93/F93</f>
        <v>1209.4118622754493</v>
      </c>
      <c r="H93" s="615">
        <f>H47+H81-H88</f>
        <v>167636578.23000002</v>
      </c>
      <c r="I93" s="615"/>
      <c r="K93" s="86"/>
    </row>
    <row r="94" spans="4:11" ht="17.25" thickBot="1" x14ac:dyDescent="0.35">
      <c r="D94" s="577"/>
      <c r="E94" s="95" t="s">
        <v>83</v>
      </c>
      <c r="F94" s="106">
        <f>F50+F84-F89</f>
        <v>0</v>
      </c>
      <c r="G94" s="625" t="e">
        <f>H94/F94</f>
        <v>#DIV/0!</v>
      </c>
      <c r="H94" s="626">
        <f>H50+H84-H89</f>
        <v>0</v>
      </c>
      <c r="I94" s="626"/>
      <c r="K94" s="86"/>
    </row>
    <row r="95" spans="4:11" ht="17.25" thickBot="1" x14ac:dyDescent="0.35">
      <c r="D95" s="608"/>
      <c r="E95" s="103" t="s">
        <v>84</v>
      </c>
      <c r="F95" s="64">
        <f>SUM(F91:F94)</f>
        <v>234947</v>
      </c>
      <c r="G95" s="65">
        <f>H95/F95</f>
        <v>1274.4550827250403</v>
      </c>
      <c r="H95" s="529">
        <f>SUM(H91:H94)</f>
        <v>299429398.32100004</v>
      </c>
      <c r="I95" s="530"/>
      <c r="K95" s="689"/>
    </row>
    <row r="96" spans="4:11" x14ac:dyDescent="0.3">
      <c r="F96" s="86"/>
      <c r="G96" s="107"/>
      <c r="H96" s="86"/>
      <c r="I96" s="86"/>
    </row>
    <row r="97" spans="4:9" x14ac:dyDescent="0.3">
      <c r="F97" s="86"/>
      <c r="G97" s="107"/>
      <c r="H97" s="86"/>
      <c r="I97" s="86"/>
    </row>
    <row r="98" spans="4:9" x14ac:dyDescent="0.3">
      <c r="D98" s="574" t="s">
        <v>73</v>
      </c>
      <c r="E98" s="575" t="s">
        <v>74</v>
      </c>
      <c r="F98" s="627" t="s">
        <v>75</v>
      </c>
      <c r="G98" s="628" t="s">
        <v>76</v>
      </c>
      <c r="H98" s="595" t="s">
        <v>77</v>
      </c>
      <c r="I98" s="595"/>
    </row>
    <row r="99" spans="4:9" x14ac:dyDescent="0.3">
      <c r="D99" s="577" t="s">
        <v>93</v>
      </c>
      <c r="E99" s="578" t="s">
        <v>79</v>
      </c>
      <c r="F99" s="579">
        <v>0</v>
      </c>
      <c r="G99" s="580"/>
      <c r="H99" s="609">
        <f>F99*G99</f>
        <v>0</v>
      </c>
      <c r="I99" s="609"/>
    </row>
    <row r="100" spans="4:9" x14ac:dyDescent="0.3">
      <c r="D100" s="577"/>
      <c r="E100" s="578"/>
      <c r="F100" s="582"/>
      <c r="G100" s="583"/>
      <c r="H100" s="611">
        <f>F100*G100</f>
        <v>0</v>
      </c>
      <c r="I100" s="611"/>
    </row>
    <row r="101" spans="4:9" x14ac:dyDescent="0.3">
      <c r="D101" s="577"/>
      <c r="E101" s="575" t="s">
        <v>80</v>
      </c>
      <c r="F101" s="585">
        <f>SUM(F99:F100)</f>
        <v>0</v>
      </c>
      <c r="G101" s="586"/>
      <c r="H101" s="587">
        <f>SUM(H99:H100)</f>
        <v>0</v>
      </c>
      <c r="I101" s="588"/>
    </row>
    <row r="102" spans="4:9" x14ac:dyDescent="0.3">
      <c r="D102" s="577"/>
      <c r="E102" s="577" t="s">
        <v>81</v>
      </c>
      <c r="F102" s="589">
        <v>340</v>
      </c>
      <c r="G102" s="590">
        <v>1324.8430000000001</v>
      </c>
      <c r="H102" s="609">
        <f t="shared" ref="H102:H108" si="4">F102*G102</f>
        <v>450446.62000000005</v>
      </c>
      <c r="I102" s="609"/>
    </row>
    <row r="103" spans="4:9" x14ac:dyDescent="0.3">
      <c r="D103" s="577"/>
      <c r="E103" s="577"/>
      <c r="F103" s="589">
        <v>20000</v>
      </c>
      <c r="G103" s="590">
        <v>1324.8430000000001</v>
      </c>
      <c r="H103" s="615">
        <f t="shared" si="4"/>
        <v>26496860</v>
      </c>
      <c r="I103" s="615"/>
    </row>
    <row r="104" spans="4:9" x14ac:dyDescent="0.3">
      <c r="D104" s="577"/>
      <c r="E104" s="577"/>
      <c r="F104" s="589">
        <v>8000</v>
      </c>
      <c r="G104" s="590">
        <v>1324.8430000000001</v>
      </c>
      <c r="H104" s="615">
        <f t="shared" si="4"/>
        <v>10598744</v>
      </c>
      <c r="I104" s="615"/>
    </row>
    <row r="105" spans="4:9" x14ac:dyDescent="0.3">
      <c r="D105" s="577"/>
      <c r="E105" s="577"/>
      <c r="F105" s="589">
        <v>19999</v>
      </c>
      <c r="G105" s="590">
        <v>1374.8430000000001</v>
      </c>
      <c r="H105" s="615">
        <f t="shared" si="4"/>
        <v>27495485.157000002</v>
      </c>
      <c r="I105" s="615"/>
    </row>
    <row r="106" spans="4:9" x14ac:dyDescent="0.3">
      <c r="D106" s="577"/>
      <c r="E106" s="577"/>
      <c r="F106" s="589">
        <v>19999</v>
      </c>
      <c r="G106" s="590">
        <v>1374.8430000000001</v>
      </c>
      <c r="H106" s="615">
        <f t="shared" si="4"/>
        <v>27495485.157000002</v>
      </c>
      <c r="I106" s="615"/>
    </row>
    <row r="107" spans="4:9" x14ac:dyDescent="0.3">
      <c r="D107" s="577"/>
      <c r="E107" s="577"/>
      <c r="F107" s="589">
        <v>8000</v>
      </c>
      <c r="G107" s="590">
        <v>1394.8430000000001</v>
      </c>
      <c r="H107" s="615">
        <f t="shared" si="4"/>
        <v>11158744</v>
      </c>
      <c r="I107" s="615"/>
    </row>
    <row r="108" spans="4:9" x14ac:dyDescent="0.3">
      <c r="D108" s="577"/>
      <c r="E108" s="577"/>
      <c r="F108" s="589">
        <v>19999</v>
      </c>
      <c r="G108" s="590">
        <v>1394.8430000000001</v>
      </c>
      <c r="H108" s="618">
        <f t="shared" si="4"/>
        <v>27895465.157000002</v>
      </c>
      <c r="I108" s="618"/>
    </row>
    <row r="109" spans="4:9" x14ac:dyDescent="0.3">
      <c r="D109" s="577"/>
      <c r="E109" s="575" t="s">
        <v>80</v>
      </c>
      <c r="F109" s="593">
        <f>SUM(F102:F108)</f>
        <v>96337</v>
      </c>
      <c r="G109" s="594"/>
      <c r="H109" s="595">
        <f>SUM(H102:H108)</f>
        <v>131591230.09100002</v>
      </c>
      <c r="I109" s="595"/>
    </row>
    <row r="110" spans="4:9" x14ac:dyDescent="0.3">
      <c r="D110" s="577"/>
      <c r="E110" s="577" t="s">
        <v>82</v>
      </c>
      <c r="F110" s="579">
        <v>4056</v>
      </c>
      <c r="G110" s="596">
        <v>1194.8430000000001</v>
      </c>
      <c r="H110" s="609">
        <f t="shared" ref="H110:H117" si="5">F110*G110</f>
        <v>4846283.2080000006</v>
      </c>
      <c r="I110" s="609"/>
    </row>
    <row r="111" spans="4:9" x14ac:dyDescent="0.3">
      <c r="D111" s="577"/>
      <c r="E111" s="577"/>
      <c r="F111" s="597">
        <v>19814</v>
      </c>
      <c r="G111" s="598">
        <v>1194.8430000000001</v>
      </c>
      <c r="H111" s="615">
        <f t="shared" si="5"/>
        <v>23674619.202000003</v>
      </c>
      <c r="I111" s="615"/>
    </row>
    <row r="112" spans="4:9" x14ac:dyDescent="0.3">
      <c r="D112" s="577"/>
      <c r="E112" s="577"/>
      <c r="F112" s="597">
        <v>27668</v>
      </c>
      <c r="G112" s="598">
        <v>1209.8430000000001</v>
      </c>
      <c r="H112" s="615">
        <f t="shared" si="5"/>
        <v>33473936.124000002</v>
      </c>
      <c r="I112" s="615"/>
    </row>
    <row r="113" spans="4:9" x14ac:dyDescent="0.3">
      <c r="D113" s="577"/>
      <c r="E113" s="577"/>
      <c r="F113" s="589">
        <v>11888</v>
      </c>
      <c r="G113" s="598">
        <v>1209.8430000000001</v>
      </c>
      <c r="H113" s="615">
        <f t="shared" si="5"/>
        <v>14382613.584000001</v>
      </c>
      <c r="I113" s="615"/>
    </row>
    <row r="114" spans="4:9" x14ac:dyDescent="0.3">
      <c r="D114" s="577"/>
      <c r="E114" s="577"/>
      <c r="F114" s="589">
        <v>19742</v>
      </c>
      <c r="G114" s="598">
        <v>1209.8430000000001</v>
      </c>
      <c r="H114" s="615">
        <f t="shared" si="5"/>
        <v>23884720.506000001</v>
      </c>
      <c r="I114" s="615"/>
    </row>
    <row r="115" spans="4:9" x14ac:dyDescent="0.3">
      <c r="D115" s="577"/>
      <c r="E115" s="577"/>
      <c r="F115" s="599">
        <v>19754</v>
      </c>
      <c r="G115" s="598">
        <v>1209.8430000000001</v>
      </c>
      <c r="H115" s="615">
        <f t="shared" si="5"/>
        <v>23899238.622000001</v>
      </c>
      <c r="I115" s="615"/>
    </row>
    <row r="116" spans="4:9" x14ac:dyDescent="0.3">
      <c r="D116" s="577"/>
      <c r="E116" s="577"/>
      <c r="F116" s="589">
        <v>15802</v>
      </c>
      <c r="G116" s="598">
        <v>1209.8430000000001</v>
      </c>
      <c r="H116" s="615">
        <f t="shared" si="5"/>
        <v>19117939.086000003</v>
      </c>
      <c r="I116" s="615"/>
    </row>
    <row r="117" spans="4:9" x14ac:dyDescent="0.3">
      <c r="D117" s="577"/>
      <c r="E117" s="577"/>
      <c r="F117" s="600">
        <v>19886</v>
      </c>
      <c r="G117" s="598">
        <v>1224.8430000000001</v>
      </c>
      <c r="H117" s="615">
        <f t="shared" si="5"/>
        <v>24357227.898000002</v>
      </c>
      <c r="I117" s="615"/>
    </row>
    <row r="118" spans="4:9" x14ac:dyDescent="0.3">
      <c r="D118" s="577"/>
      <c r="E118" s="575" t="s">
        <v>80</v>
      </c>
      <c r="F118" s="593">
        <f>SUM(F110:F117)</f>
        <v>138610</v>
      </c>
      <c r="G118" s="594"/>
      <c r="H118" s="595">
        <f>SUM(H110:H117)</f>
        <v>167636578.23000002</v>
      </c>
      <c r="I118" s="595"/>
    </row>
    <row r="119" spans="4:9" x14ac:dyDescent="0.3">
      <c r="D119" s="577"/>
      <c r="E119" s="577" t="s">
        <v>83</v>
      </c>
      <c r="F119" s="579">
        <v>0</v>
      </c>
      <c r="G119" s="580"/>
      <c r="H119" s="609">
        <f>F119*G119</f>
        <v>0</v>
      </c>
      <c r="I119" s="609"/>
    </row>
    <row r="120" spans="4:9" x14ac:dyDescent="0.3">
      <c r="D120" s="577"/>
      <c r="E120" s="577"/>
      <c r="F120" s="601">
        <v>0</v>
      </c>
      <c r="G120" s="602"/>
      <c r="H120" s="611">
        <f>F120*G120</f>
        <v>0</v>
      </c>
      <c r="I120" s="611"/>
    </row>
    <row r="121" spans="4:9" ht="17.25" thickBot="1" x14ac:dyDescent="0.35">
      <c r="D121" s="577"/>
      <c r="E121" s="603" t="s">
        <v>80</v>
      </c>
      <c r="F121" s="604">
        <f>SUM(F119:F120)</f>
        <v>0</v>
      </c>
      <c r="G121" s="605"/>
      <c r="H121" s="606">
        <f>SUM(H119:H120)</f>
        <v>0</v>
      </c>
      <c r="I121" s="607"/>
    </row>
    <row r="122" spans="4:9" ht="17.25" thickBot="1" x14ac:dyDescent="0.35">
      <c r="D122" s="608"/>
      <c r="E122" s="63" t="s">
        <v>84</v>
      </c>
      <c r="F122" s="64">
        <f>F101+F109+F118+F121</f>
        <v>234947</v>
      </c>
      <c r="G122" s="65"/>
      <c r="H122" s="523">
        <f>H101+H109+H118+H121</f>
        <v>299227808.32100004</v>
      </c>
      <c r="I122" s="524"/>
    </row>
    <row r="124" spans="4:9" x14ac:dyDescent="0.3">
      <c r="D124" s="75" t="s">
        <v>179</v>
      </c>
    </row>
  </sheetData>
  <mergeCells count="113">
    <mergeCell ref="H121:I121"/>
    <mergeCell ref="H122:I122"/>
    <mergeCell ref="H114:I114"/>
    <mergeCell ref="H115:I115"/>
    <mergeCell ref="H116:I116"/>
    <mergeCell ref="H117:I117"/>
    <mergeCell ref="H118:I118"/>
    <mergeCell ref="E119:E120"/>
    <mergeCell ref="H119:I119"/>
    <mergeCell ref="H120:I120"/>
    <mergeCell ref="H105:I105"/>
    <mergeCell ref="H106:I106"/>
    <mergeCell ref="H107:I107"/>
    <mergeCell ref="H108:I108"/>
    <mergeCell ref="H109:I109"/>
    <mergeCell ref="E110:E117"/>
    <mergeCell ref="H110:I110"/>
    <mergeCell ref="H111:I111"/>
    <mergeCell ref="H112:I112"/>
    <mergeCell ref="H113:I113"/>
    <mergeCell ref="H98:I98"/>
    <mergeCell ref="D99:D122"/>
    <mergeCell ref="E99:E100"/>
    <mergeCell ref="H99:I99"/>
    <mergeCell ref="H100:I100"/>
    <mergeCell ref="H101:I101"/>
    <mergeCell ref="E102:E108"/>
    <mergeCell ref="H102:I102"/>
    <mergeCell ref="H103:I103"/>
    <mergeCell ref="H104:I104"/>
    <mergeCell ref="D91:D95"/>
    <mergeCell ref="H91:I91"/>
    <mergeCell ref="H92:I92"/>
    <mergeCell ref="H93:I93"/>
    <mergeCell ref="H94:I94"/>
    <mergeCell ref="H95:I95"/>
    <mergeCell ref="H82:I82"/>
    <mergeCell ref="H83:I83"/>
    <mergeCell ref="H84:I84"/>
    <mergeCell ref="H85:I85"/>
    <mergeCell ref="D86:D90"/>
    <mergeCell ref="H86:I86"/>
    <mergeCell ref="H87:I87"/>
    <mergeCell ref="H88:I88"/>
    <mergeCell ref="H89:I89"/>
    <mergeCell ref="H90:I90"/>
    <mergeCell ref="H75:I75"/>
    <mergeCell ref="H76:I76"/>
    <mergeCell ref="H77:I77"/>
    <mergeCell ref="H78:I78"/>
    <mergeCell ref="H79:I79"/>
    <mergeCell ref="H80:I80"/>
    <mergeCell ref="H66:I66"/>
    <mergeCell ref="H67:I67"/>
    <mergeCell ref="H68:I68"/>
    <mergeCell ref="H69:I69"/>
    <mergeCell ref="E70:E80"/>
    <mergeCell ref="H70:I70"/>
    <mergeCell ref="H71:I71"/>
    <mergeCell ref="H72:I72"/>
    <mergeCell ref="H73:I73"/>
    <mergeCell ref="H74:I74"/>
    <mergeCell ref="H60:I60"/>
    <mergeCell ref="H61:I61"/>
    <mergeCell ref="H62:I62"/>
    <mergeCell ref="H63:I63"/>
    <mergeCell ref="H64:I64"/>
    <mergeCell ref="H65:I65"/>
    <mergeCell ref="H47:I47"/>
    <mergeCell ref="E48:E49"/>
    <mergeCell ref="H48:I48"/>
    <mergeCell ref="H49:I49"/>
    <mergeCell ref="H50:I50"/>
    <mergeCell ref="H51:I51"/>
    <mergeCell ref="H41:I41"/>
    <mergeCell ref="E42:E46"/>
    <mergeCell ref="H42:I42"/>
    <mergeCell ref="H43:I43"/>
    <mergeCell ref="H44:I44"/>
    <mergeCell ref="H45:I45"/>
    <mergeCell ref="H46:I46"/>
    <mergeCell ref="D30:I30"/>
    <mergeCell ref="H32:I32"/>
    <mergeCell ref="D33:D51"/>
    <mergeCell ref="E33:E34"/>
    <mergeCell ref="H33:I33"/>
    <mergeCell ref="H34:I34"/>
    <mergeCell ref="H35:I35"/>
    <mergeCell ref="E36:E40"/>
    <mergeCell ref="H36:I36"/>
    <mergeCell ref="H37:I37"/>
    <mergeCell ref="A1:B1"/>
    <mergeCell ref="C1:D1"/>
    <mergeCell ref="I1:J1"/>
    <mergeCell ref="D4:J4"/>
    <mergeCell ref="D6:F6"/>
    <mergeCell ref="H6:J6"/>
    <mergeCell ref="D52:D85"/>
    <mergeCell ref="E52:E53"/>
    <mergeCell ref="H52:I52"/>
    <mergeCell ref="H53:I53"/>
    <mergeCell ref="H81:I81"/>
    <mergeCell ref="E82:E83"/>
    <mergeCell ref="E55:E68"/>
    <mergeCell ref="H55:I55"/>
    <mergeCell ref="H56:I56"/>
    <mergeCell ref="H57:I57"/>
    <mergeCell ref="H58:I58"/>
    <mergeCell ref="H59:I59"/>
    <mergeCell ref="H54:I54"/>
    <mergeCell ref="H38:I38"/>
    <mergeCell ref="H39:I39"/>
    <mergeCell ref="H40:I40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CFEE-CF08-4D83-8FB6-E66117C0E362}">
  <dimension ref="A1:Y39"/>
  <sheetViews>
    <sheetView zoomScale="77" zoomScaleNormal="77" workbookViewId="0">
      <selection activeCell="Y30" sqref="Y30"/>
    </sheetView>
  </sheetViews>
  <sheetFormatPr defaultRowHeight="16.5" x14ac:dyDescent="0.3"/>
  <cols>
    <col min="1" max="1" width="9.75" customWidth="1"/>
    <col min="2" max="2" width="5.375" customWidth="1"/>
    <col min="3" max="3" width="12.25" style="114" customWidth="1"/>
    <col min="4" max="4" width="9" style="114"/>
    <col min="5" max="5" width="15.375" style="114" customWidth="1"/>
    <col min="7" max="7" width="9.875" customWidth="1"/>
    <col min="8" max="9" width="12.5" style="115" customWidth="1"/>
    <col min="10" max="10" width="14.25" style="114" customWidth="1"/>
    <col min="11" max="11" width="10.75" customWidth="1"/>
    <col min="12" max="12" width="9.75" style="114" bestFit="1" customWidth="1"/>
    <col min="13" max="13" width="10.25" customWidth="1"/>
    <col min="14" max="14" width="9.125" style="114" customWidth="1"/>
    <col min="15" max="15" width="11.625" style="114" customWidth="1"/>
    <col min="16" max="16" width="9" style="114" customWidth="1"/>
    <col min="17" max="17" width="9" customWidth="1"/>
    <col min="18" max="18" width="14.75" customWidth="1"/>
    <col min="19" max="19" width="16.625" customWidth="1"/>
    <col min="20" max="20" width="14.25" customWidth="1"/>
    <col min="21" max="21" width="13" customWidth="1"/>
    <col min="22" max="22" width="13.25" customWidth="1"/>
    <col min="23" max="23" width="13" customWidth="1"/>
    <col min="24" max="24" width="18.125" customWidth="1"/>
    <col min="25" max="25" width="16.5" customWidth="1"/>
  </cols>
  <sheetData>
    <row r="1" spans="1:25" ht="20.25" x14ac:dyDescent="0.3">
      <c r="A1" s="1" t="s">
        <v>173</v>
      </c>
    </row>
    <row r="3" spans="1:25" s="32" customFormat="1" x14ac:dyDescent="0.3">
      <c r="C3" s="124">
        <f>내유동_재고!F51</f>
        <v>86585</v>
      </c>
      <c r="D3" s="125" t="s">
        <v>69</v>
      </c>
      <c r="F3" s="36"/>
      <c r="H3" s="7">
        <f>내유동_재고!F62</f>
        <v>197530</v>
      </c>
      <c r="I3" s="124" t="s">
        <v>69</v>
      </c>
      <c r="K3" s="129"/>
      <c r="L3" s="33"/>
      <c r="M3" s="124">
        <f>내유동_재고!F63</f>
        <v>9215</v>
      </c>
      <c r="N3" s="35" t="s">
        <v>69</v>
      </c>
      <c r="O3" s="36"/>
      <c r="U3" s="126">
        <v>0.3</v>
      </c>
      <c r="V3" s="126">
        <v>1</v>
      </c>
    </row>
    <row r="4" spans="1:25" x14ac:dyDescent="0.3">
      <c r="A4" s="445" t="s">
        <v>40</v>
      </c>
      <c r="B4" s="445" t="s">
        <v>41</v>
      </c>
      <c r="C4" s="437" t="s">
        <v>37</v>
      </c>
      <c r="D4" s="438"/>
      <c r="E4" s="438"/>
      <c r="F4" s="438"/>
      <c r="G4" s="439"/>
      <c r="H4" s="440" t="s">
        <v>38</v>
      </c>
      <c r="I4" s="441"/>
      <c r="J4" s="441"/>
      <c r="K4" s="441"/>
      <c r="L4" s="442"/>
      <c r="M4" s="446" t="s">
        <v>50</v>
      </c>
      <c r="N4" s="446"/>
      <c r="O4" s="446"/>
      <c r="P4" s="446"/>
      <c r="Q4" s="446"/>
      <c r="R4" s="433" t="s">
        <v>86</v>
      </c>
      <c r="S4" s="433" t="s">
        <v>94</v>
      </c>
      <c r="T4" s="435" t="s">
        <v>48</v>
      </c>
      <c r="U4" s="34" t="s">
        <v>67</v>
      </c>
      <c r="V4" s="34" t="s">
        <v>68</v>
      </c>
      <c r="W4" s="421" t="s">
        <v>85</v>
      </c>
      <c r="X4" s="423" t="s">
        <v>103</v>
      </c>
    </row>
    <row r="5" spans="1:25" x14ac:dyDescent="0.3">
      <c r="A5" s="445"/>
      <c r="B5" s="445"/>
      <c r="C5" s="7" t="s">
        <v>43</v>
      </c>
      <c r="D5" s="7" t="s">
        <v>66</v>
      </c>
      <c r="E5" s="7" t="s">
        <v>95</v>
      </c>
      <c r="F5" s="23" t="s">
        <v>64</v>
      </c>
      <c r="G5" s="123" t="s">
        <v>65</v>
      </c>
      <c r="H5" s="7" t="s">
        <v>43</v>
      </c>
      <c r="I5" s="7" t="s">
        <v>66</v>
      </c>
      <c r="J5" s="7" t="s">
        <v>95</v>
      </c>
      <c r="K5" s="23" t="s">
        <v>64</v>
      </c>
      <c r="L5" s="7" t="s">
        <v>65</v>
      </c>
      <c r="M5" s="123" t="s">
        <v>43</v>
      </c>
      <c r="N5" s="7" t="s">
        <v>66</v>
      </c>
      <c r="O5" s="7" t="s">
        <v>95</v>
      </c>
      <c r="P5" s="23" t="s">
        <v>64</v>
      </c>
      <c r="Q5" s="123" t="s">
        <v>65</v>
      </c>
      <c r="R5" s="434"/>
      <c r="S5" s="434"/>
      <c r="T5" s="436"/>
      <c r="U5" s="123" t="s">
        <v>46</v>
      </c>
      <c r="V5" s="123" t="s">
        <v>46</v>
      </c>
      <c r="W5" s="422"/>
      <c r="X5" s="424"/>
    </row>
    <row r="6" spans="1:25" x14ac:dyDescent="0.3">
      <c r="A6" s="25">
        <v>43586</v>
      </c>
      <c r="B6" s="123" t="s">
        <v>60</v>
      </c>
      <c r="C6" s="35">
        <v>5136.8999999994412</v>
      </c>
      <c r="D6" s="312">
        <v>1415</v>
      </c>
      <c r="E6" s="35">
        <f>C6*D6</f>
        <v>7268713.4999992093</v>
      </c>
      <c r="F6" s="35">
        <f>16585-C6</f>
        <v>11448.100000000559</v>
      </c>
      <c r="G6" s="68">
        <v>1344.1</v>
      </c>
      <c r="H6" s="7">
        <v>10754.600000000471</v>
      </c>
      <c r="I6" s="35">
        <v>1295</v>
      </c>
      <c r="J6" s="35">
        <f>H6*I6</f>
        <v>13927207.000000611</v>
      </c>
      <c r="K6" s="26">
        <f>내유동_재고!F52-내유동_손익!H6+내유동_재고!F53</f>
        <v>16775.399999999529</v>
      </c>
      <c r="L6" s="319">
        <f>(7530*1195.4)/10775+(3225*1201.6)/10755</f>
        <v>1195.705637889246</v>
      </c>
      <c r="M6" s="26">
        <v>15.200000000186265</v>
      </c>
      <c r="N6" s="35">
        <v>990</v>
      </c>
      <c r="O6" s="35">
        <f>M6*N6</f>
        <v>15048.000000184402</v>
      </c>
      <c r="P6" s="26">
        <f>내유동_재고!F63-내유동_손익!M6</f>
        <v>9199.7999999998137</v>
      </c>
      <c r="Q6" s="66">
        <v>782</v>
      </c>
      <c r="R6" s="26">
        <f>E6+J6+O6</f>
        <v>21210968.500000007</v>
      </c>
      <c r="S6" s="5">
        <f>C6*G6+H6*L6+M6*Q6</f>
        <v>19775729.543243647</v>
      </c>
      <c r="T6" s="28">
        <f>R6-S6</f>
        <v>1435238.9567563608</v>
      </c>
      <c r="U6" s="26">
        <v>88000</v>
      </c>
      <c r="V6" s="26">
        <v>273000</v>
      </c>
      <c r="W6" s="26">
        <f t="shared" ref="W6:W36" si="0">U6*0.7</f>
        <v>61599.999999999993</v>
      </c>
      <c r="X6" s="117">
        <f>T6+V6+W6</f>
        <v>1769838.9567563608</v>
      </c>
      <c r="Y6" t="s">
        <v>174</v>
      </c>
    </row>
    <row r="7" spans="1:25" x14ac:dyDescent="0.3">
      <c r="A7" s="25">
        <v>43587</v>
      </c>
      <c r="B7" s="123" t="s">
        <v>61</v>
      </c>
      <c r="C7" s="35">
        <v>3866</v>
      </c>
      <c r="D7" s="312">
        <v>1415</v>
      </c>
      <c r="E7" s="35">
        <f t="shared" ref="E7:E34" si="1">C7*D7</f>
        <v>5470390</v>
      </c>
      <c r="F7" s="26">
        <f>F6-C7</f>
        <v>7582.1000000005588</v>
      </c>
      <c r="G7" s="68">
        <v>1344.1</v>
      </c>
      <c r="H7" s="7">
        <v>14614.399999999645</v>
      </c>
      <c r="I7" s="35">
        <v>1295</v>
      </c>
      <c r="J7" s="35">
        <f t="shared" ref="J7:J36" si="2">H7*I7</f>
        <v>18925647.999999542</v>
      </c>
      <c r="K7" s="26">
        <f>K6-H7</f>
        <v>2160.9999999998836</v>
      </c>
      <c r="L7" s="319">
        <v>1201.5999999999999</v>
      </c>
      <c r="M7" s="26">
        <v>20</v>
      </c>
      <c r="N7" s="35">
        <v>990</v>
      </c>
      <c r="O7" s="35">
        <f t="shared" ref="O7:O36" si="3">M7*N7</f>
        <v>19800</v>
      </c>
      <c r="P7" s="26">
        <f>P6-M7</f>
        <v>9179.7999999998137</v>
      </c>
      <c r="Q7" s="66">
        <v>782</v>
      </c>
      <c r="R7" s="26">
        <f t="shared" ref="R7:R36" si="4">E7+J7+O7</f>
        <v>24415837.999999542</v>
      </c>
      <c r="S7" s="5">
        <f t="shared" ref="S7:S36" si="5">C7*G7+H7*L7+M7*Q7</f>
        <v>22772593.639999568</v>
      </c>
      <c r="T7" s="28">
        <f t="shared" ref="T7:T36" si="6">R7-S7</f>
        <v>1643244.3599999733</v>
      </c>
      <c r="U7" s="26">
        <v>224000</v>
      </c>
      <c r="V7" s="72">
        <v>203000</v>
      </c>
      <c r="W7" s="26">
        <f t="shared" si="0"/>
        <v>156800</v>
      </c>
      <c r="X7" s="117">
        <f t="shared" ref="X7:X36" si="7">T7+V7+W7</f>
        <v>2003044.3599999733</v>
      </c>
    </row>
    <row r="8" spans="1:25" x14ac:dyDescent="0.3">
      <c r="A8" s="25">
        <v>43588</v>
      </c>
      <c r="B8" s="123" t="s">
        <v>52</v>
      </c>
      <c r="C8" s="35">
        <v>5633.9000000013039</v>
      </c>
      <c r="D8" s="312">
        <v>1419</v>
      </c>
      <c r="E8" s="35">
        <f t="shared" si="1"/>
        <v>7994504.1000018502</v>
      </c>
      <c r="F8" s="26">
        <f t="shared" ref="F8:F10" si="8">F7-C8</f>
        <v>1948.1999999992549</v>
      </c>
      <c r="G8" s="68">
        <v>1344.1</v>
      </c>
      <c r="H8" s="7">
        <v>16411.000000000728</v>
      </c>
      <c r="I8" s="35">
        <v>1299</v>
      </c>
      <c r="J8" s="35">
        <f t="shared" si="2"/>
        <v>21317889.000000946</v>
      </c>
      <c r="K8" s="131">
        <f>K7-H8+20000</f>
        <v>5749.999999999156</v>
      </c>
      <c r="L8" s="562">
        <v>1201.5999999999999</v>
      </c>
      <c r="M8" s="26">
        <v>900.20000000018626</v>
      </c>
      <c r="N8" s="35">
        <v>990</v>
      </c>
      <c r="O8" s="35">
        <f t="shared" si="3"/>
        <v>891198.0000001844</v>
      </c>
      <c r="P8" s="26">
        <f t="shared" ref="P8:P32" si="9">P7-M8</f>
        <v>8279.5999999996275</v>
      </c>
      <c r="Q8" s="66">
        <v>782</v>
      </c>
      <c r="R8" s="26">
        <f t="shared" si="4"/>
        <v>30203591.100002982</v>
      </c>
      <c r="S8" s="5">
        <f t="shared" si="5"/>
        <v>27995938.990002774</v>
      </c>
      <c r="T8" s="28">
        <f t="shared" si="6"/>
        <v>2207652.110000208</v>
      </c>
      <c r="U8" s="26">
        <v>347000</v>
      </c>
      <c r="V8" s="26">
        <v>250000</v>
      </c>
      <c r="W8" s="26">
        <f t="shared" si="0"/>
        <v>242899.99999999997</v>
      </c>
      <c r="X8" s="117">
        <f t="shared" si="7"/>
        <v>2700552.110000208</v>
      </c>
    </row>
    <row r="9" spans="1:25" x14ac:dyDescent="0.3">
      <c r="A9" s="25">
        <v>43589</v>
      </c>
      <c r="B9" s="123" t="s">
        <v>62</v>
      </c>
      <c r="C9" s="35">
        <v>6527.2000000011176</v>
      </c>
      <c r="D9" s="312">
        <v>1419</v>
      </c>
      <c r="E9" s="35">
        <f t="shared" si="1"/>
        <v>9262096.8000015859</v>
      </c>
      <c r="F9" s="311">
        <f>F8-C9+내유동_재고!F45</f>
        <v>25420.999999998137</v>
      </c>
      <c r="G9" s="414">
        <f>(1948*1344.1)/C9+(4579*1349.8)/C9</f>
        <v>1348.0575131754035</v>
      </c>
      <c r="H9" s="7">
        <v>12262.299999998941</v>
      </c>
      <c r="I9" s="35">
        <v>1299</v>
      </c>
      <c r="J9" s="35">
        <f t="shared" si="2"/>
        <v>15928727.699998625</v>
      </c>
      <c r="K9" s="26">
        <f>K8-H9+20000</f>
        <v>13487.700000000215</v>
      </c>
      <c r="L9" s="319">
        <v>1201.5999999999999</v>
      </c>
      <c r="M9" s="26">
        <v>60.200000000186265</v>
      </c>
      <c r="N9" s="35">
        <v>990</v>
      </c>
      <c r="O9" s="35">
        <f t="shared" si="3"/>
        <v>59598.000000184402</v>
      </c>
      <c r="P9" s="26">
        <f t="shared" si="9"/>
        <v>8219.3999999994412</v>
      </c>
      <c r="Q9" s="66">
        <v>782</v>
      </c>
      <c r="R9" s="26">
        <f t="shared" si="4"/>
        <v>25250422.500000395</v>
      </c>
      <c r="S9" s="5">
        <f t="shared" si="5"/>
        <v>23580497.079998873</v>
      </c>
      <c r="T9" s="28">
        <f t="shared" si="6"/>
        <v>1669925.4200015217</v>
      </c>
      <c r="U9" s="26">
        <v>379000</v>
      </c>
      <c r="V9" s="26">
        <v>288000</v>
      </c>
      <c r="W9" s="26">
        <f t="shared" si="0"/>
        <v>265300</v>
      </c>
      <c r="X9" s="117">
        <f t="shared" si="7"/>
        <v>2223225.4200015217</v>
      </c>
    </row>
    <row r="10" spans="1:25" x14ac:dyDescent="0.3">
      <c r="A10" s="25">
        <v>43590</v>
      </c>
      <c r="B10" s="123" t="s">
        <v>63</v>
      </c>
      <c r="C10" s="35">
        <v>4953.3999999975786</v>
      </c>
      <c r="D10" s="312">
        <v>1429</v>
      </c>
      <c r="E10" s="35">
        <f t="shared" si="1"/>
        <v>7078408.5999965398</v>
      </c>
      <c r="F10" s="26">
        <f t="shared" si="8"/>
        <v>20467.600000000559</v>
      </c>
      <c r="G10" s="68">
        <v>1349.8</v>
      </c>
      <c r="H10" s="7">
        <v>6334.9000000003434</v>
      </c>
      <c r="I10" s="35">
        <v>1299</v>
      </c>
      <c r="J10" s="35">
        <f t="shared" si="2"/>
        <v>8229035.1000004457</v>
      </c>
      <c r="K10" s="557">
        <f>K9-H10</f>
        <v>7152.7999999998719</v>
      </c>
      <c r="L10" s="318">
        <v>1201.5999999999999</v>
      </c>
      <c r="M10" s="26">
        <v>20.199999999254942</v>
      </c>
      <c r="N10" s="35">
        <v>990</v>
      </c>
      <c r="O10" s="35">
        <f t="shared" si="3"/>
        <v>19997.999999262393</v>
      </c>
      <c r="P10" s="26">
        <f t="shared" si="9"/>
        <v>8199.2000000001863</v>
      </c>
      <c r="Q10" s="66">
        <v>782</v>
      </c>
      <c r="R10" s="26">
        <f t="shared" si="4"/>
        <v>15327441.699996248</v>
      </c>
      <c r="S10" s="5">
        <f t="shared" si="5"/>
        <v>14313911.55999656</v>
      </c>
      <c r="T10" s="28">
        <f t="shared" si="6"/>
        <v>1013530.1399996877</v>
      </c>
      <c r="U10" s="26">
        <v>429000</v>
      </c>
      <c r="V10" s="26">
        <v>196000</v>
      </c>
      <c r="W10" s="26">
        <f t="shared" si="0"/>
        <v>300300</v>
      </c>
      <c r="X10" s="117">
        <f t="shared" si="7"/>
        <v>1509830.1399996877</v>
      </c>
    </row>
    <row r="11" spans="1:25" x14ac:dyDescent="0.3">
      <c r="A11" s="25">
        <v>43591</v>
      </c>
      <c r="B11" s="123" t="s">
        <v>55</v>
      </c>
      <c r="C11" s="35">
        <v>6036.1000000014901</v>
      </c>
      <c r="D11" s="312">
        <v>1429</v>
      </c>
      <c r="E11" s="35">
        <f t="shared" si="1"/>
        <v>8625586.9000021294</v>
      </c>
      <c r="F11" s="35">
        <f>F10-C11</f>
        <v>14431.499999999069</v>
      </c>
      <c r="G11" s="68">
        <v>1349.8</v>
      </c>
      <c r="H11" s="7">
        <v>14316.300000000076</v>
      </c>
      <c r="I11" s="35">
        <v>1299</v>
      </c>
      <c r="J11" s="35">
        <f t="shared" si="2"/>
        <v>18596873.7000001</v>
      </c>
      <c r="K11" s="131">
        <f>K10-H11+20000</f>
        <v>12836.499999999796</v>
      </c>
      <c r="L11" s="562">
        <f>(7153*1201.6)/14316+(7163*1207.3)/14316</f>
        <v>1204.4519907795473</v>
      </c>
      <c r="M11" s="26">
        <v>15.100000000558794</v>
      </c>
      <c r="N11" s="35">
        <v>990</v>
      </c>
      <c r="O11" s="35">
        <f t="shared" si="3"/>
        <v>14949.000000553206</v>
      </c>
      <c r="P11" s="26">
        <f t="shared" si="9"/>
        <v>8184.0999999996275</v>
      </c>
      <c r="Q11" s="66">
        <v>782</v>
      </c>
      <c r="R11" s="26">
        <f t="shared" si="4"/>
        <v>27237409.600002781</v>
      </c>
      <c r="S11" s="5">
        <f t="shared" si="5"/>
        <v>25402632.015599772</v>
      </c>
      <c r="T11" s="28">
        <f t="shared" si="6"/>
        <v>1834777.5844030082</v>
      </c>
      <c r="U11" s="26">
        <v>483000</v>
      </c>
      <c r="V11" s="26">
        <v>292000</v>
      </c>
      <c r="W11" s="26">
        <f t="shared" si="0"/>
        <v>338100</v>
      </c>
      <c r="X11" s="117">
        <f t="shared" si="7"/>
        <v>2464877.5844030082</v>
      </c>
    </row>
    <row r="12" spans="1:25" x14ac:dyDescent="0.3">
      <c r="A12" s="25">
        <v>43592</v>
      </c>
      <c r="B12" s="123" t="s">
        <v>56</v>
      </c>
      <c r="C12" s="35">
        <v>3614.4999999990687</v>
      </c>
      <c r="D12" s="312">
        <v>1435</v>
      </c>
      <c r="E12" s="35">
        <f t="shared" si="1"/>
        <v>5186807.4999986636</v>
      </c>
      <c r="F12" s="35">
        <f>F11-C12</f>
        <v>10817</v>
      </c>
      <c r="G12" s="68">
        <v>1349.8</v>
      </c>
      <c r="H12" s="7">
        <v>15130.199999999924</v>
      </c>
      <c r="I12" s="35">
        <v>1315</v>
      </c>
      <c r="J12" s="35">
        <f t="shared" si="2"/>
        <v>19896212.999999899</v>
      </c>
      <c r="K12" s="131">
        <f>K11-H12+30000</f>
        <v>27706.299999999872</v>
      </c>
      <c r="L12" s="320">
        <v>1207.3</v>
      </c>
      <c r="M12" s="26">
        <v>300</v>
      </c>
      <c r="N12" s="35">
        <v>990</v>
      </c>
      <c r="O12" s="35">
        <f t="shared" si="3"/>
        <v>297000</v>
      </c>
      <c r="P12" s="26">
        <f t="shared" si="9"/>
        <v>7884.0999999996275</v>
      </c>
      <c r="Q12" s="66">
        <v>782</v>
      </c>
      <c r="R12" s="26">
        <f t="shared" si="4"/>
        <v>25380020.499998562</v>
      </c>
      <c r="S12" s="5">
        <f t="shared" si="5"/>
        <v>23380142.55999865</v>
      </c>
      <c r="T12" s="28">
        <f t="shared" si="6"/>
        <v>1999877.9399999119</v>
      </c>
      <c r="U12" s="26">
        <v>589000</v>
      </c>
      <c r="V12" s="26">
        <v>195000</v>
      </c>
      <c r="W12" s="26">
        <f t="shared" si="0"/>
        <v>412300</v>
      </c>
      <c r="X12" s="117">
        <f t="shared" si="7"/>
        <v>2607177.9399999119</v>
      </c>
    </row>
    <row r="13" spans="1:25" x14ac:dyDescent="0.3">
      <c r="A13" s="25">
        <v>43593</v>
      </c>
      <c r="B13" s="123" t="s">
        <v>57</v>
      </c>
      <c r="C13" s="35">
        <v>4239.2000000001863</v>
      </c>
      <c r="D13" s="312">
        <v>1485</v>
      </c>
      <c r="E13" s="35">
        <f t="shared" si="1"/>
        <v>6295212.0000002766</v>
      </c>
      <c r="F13" s="35">
        <f>F12-C13</f>
        <v>6577.7999999998137</v>
      </c>
      <c r="G13" s="68">
        <v>1349.8</v>
      </c>
      <c r="H13" s="7">
        <v>13931.700000000477</v>
      </c>
      <c r="I13" s="35">
        <v>1335</v>
      </c>
      <c r="J13" s="35">
        <f t="shared" si="2"/>
        <v>18598819.500000637</v>
      </c>
      <c r="K13" s="26">
        <f>K12-H13</f>
        <v>13774.599999999395</v>
      </c>
      <c r="L13" s="319">
        <v>1207.3</v>
      </c>
      <c r="M13" s="26">
        <v>420.20000000018626</v>
      </c>
      <c r="N13" s="35">
        <v>990</v>
      </c>
      <c r="O13" s="35">
        <f t="shared" si="3"/>
        <v>415998.0000001844</v>
      </c>
      <c r="P13" s="26">
        <f t="shared" si="9"/>
        <v>7463.8999999994412</v>
      </c>
      <c r="Q13" s="66">
        <v>782</v>
      </c>
      <c r="R13" s="26">
        <f t="shared" si="4"/>
        <v>25310029.500001095</v>
      </c>
      <c r="S13" s="5">
        <f t="shared" si="5"/>
        <v>22870409.970000975</v>
      </c>
      <c r="T13" s="28">
        <f t="shared" si="6"/>
        <v>2439619.5300001204</v>
      </c>
      <c r="U13" s="26">
        <v>690000</v>
      </c>
      <c r="V13" s="325">
        <v>210000</v>
      </c>
      <c r="W13" s="326">
        <f t="shared" si="0"/>
        <v>482999.99999999994</v>
      </c>
      <c r="X13" s="117">
        <f t="shared" si="7"/>
        <v>3132619.5300001204</v>
      </c>
    </row>
    <row r="14" spans="1:25" x14ac:dyDescent="0.3">
      <c r="A14" s="25">
        <v>43594</v>
      </c>
      <c r="B14" s="123" t="s">
        <v>58</v>
      </c>
      <c r="C14" s="35">
        <v>3691.1000000014901</v>
      </c>
      <c r="D14" s="312">
        <v>1475</v>
      </c>
      <c r="E14" s="35">
        <f t="shared" si="1"/>
        <v>5444372.5000021979</v>
      </c>
      <c r="F14" s="35">
        <f t="shared" ref="F14:F26" si="10">F13-C14</f>
        <v>2886.6999999983236</v>
      </c>
      <c r="G14" s="68">
        <v>1349.8</v>
      </c>
      <c r="H14" s="7">
        <v>14651.799999999668</v>
      </c>
      <c r="I14" s="35">
        <v>1335</v>
      </c>
      <c r="J14" s="35">
        <f t="shared" si="2"/>
        <v>19560152.999999557</v>
      </c>
      <c r="K14" s="131">
        <f>K13-H14+20000</f>
        <v>19122.799999999726</v>
      </c>
      <c r="L14" s="319">
        <f>(13775*1207.3)/14652+(877*1201.6)/14652</f>
        <v>1206.9588247338249</v>
      </c>
      <c r="M14" s="26">
        <v>20.099999999627471</v>
      </c>
      <c r="N14" s="35">
        <v>990</v>
      </c>
      <c r="O14" s="35">
        <f t="shared" si="3"/>
        <v>19898.999999631196</v>
      </c>
      <c r="P14" s="26">
        <f t="shared" si="9"/>
        <v>7443.7999999998137</v>
      </c>
      <c r="Q14" s="66">
        <v>782</v>
      </c>
      <c r="R14" s="26">
        <f t="shared" si="4"/>
        <v>25024424.500001386</v>
      </c>
      <c r="S14" s="5">
        <f t="shared" si="5"/>
        <v>22682084.288236376</v>
      </c>
      <c r="T14" s="28">
        <f t="shared" si="6"/>
        <v>2342340.2117650099</v>
      </c>
      <c r="U14" s="26">
        <v>739000</v>
      </c>
      <c r="V14" s="26">
        <v>200000</v>
      </c>
      <c r="W14" s="26">
        <f t="shared" si="0"/>
        <v>517299.99999999994</v>
      </c>
      <c r="X14" s="117">
        <f t="shared" si="7"/>
        <v>3059640.2117650099</v>
      </c>
    </row>
    <row r="15" spans="1:25" x14ac:dyDescent="0.3">
      <c r="A15" s="25">
        <v>43595</v>
      </c>
      <c r="B15" s="123" t="s">
        <v>59</v>
      </c>
      <c r="C15" s="35">
        <v>3860.5999999977648</v>
      </c>
      <c r="D15" s="312">
        <v>1475</v>
      </c>
      <c r="E15" s="35">
        <f t="shared" si="1"/>
        <v>5694384.9999967031</v>
      </c>
      <c r="F15" s="311">
        <f>F14-C15+20000</f>
        <v>19026.100000000559</v>
      </c>
      <c r="G15" s="414">
        <f>(2887*1349.8)/C15+(974*1372.3)/C15</f>
        <v>1355.6164326796431</v>
      </c>
      <c r="H15" s="7">
        <v>15575.399999999849</v>
      </c>
      <c r="I15" s="35">
        <v>1335</v>
      </c>
      <c r="J15" s="35">
        <f t="shared" si="2"/>
        <v>20793158.999999799</v>
      </c>
      <c r="K15" s="26">
        <f t="shared" ref="K14:K17" si="11">K14-H15</f>
        <v>3547.3999999998778</v>
      </c>
      <c r="L15" s="319">
        <v>1201.5999999999999</v>
      </c>
      <c r="M15" s="26">
        <v>9.999999962747097E-2</v>
      </c>
      <c r="N15" s="35">
        <v>990</v>
      </c>
      <c r="O15" s="35">
        <f t="shared" si="3"/>
        <v>98.99999963119626</v>
      </c>
      <c r="P15" s="26">
        <f t="shared" si="9"/>
        <v>7443.7000000001863</v>
      </c>
      <c r="Q15" s="66">
        <v>782</v>
      </c>
      <c r="R15" s="26">
        <f t="shared" si="4"/>
        <v>26487642.999996133</v>
      </c>
      <c r="S15" s="5">
        <f t="shared" si="5"/>
        <v>23948971.639999527</v>
      </c>
      <c r="T15" s="28">
        <f t="shared" si="6"/>
        <v>2538671.3599966057</v>
      </c>
      <c r="U15" s="26">
        <v>835140</v>
      </c>
      <c r="V15" s="26">
        <v>215000</v>
      </c>
      <c r="W15" s="26">
        <f t="shared" si="0"/>
        <v>584598</v>
      </c>
      <c r="X15" s="117">
        <f t="shared" si="7"/>
        <v>3338269.3599966057</v>
      </c>
    </row>
    <row r="16" spans="1:25" x14ac:dyDescent="0.3">
      <c r="A16" s="25">
        <v>43596</v>
      </c>
      <c r="B16" s="123" t="s">
        <v>53</v>
      </c>
      <c r="C16" s="35">
        <v>5365.9000000013039</v>
      </c>
      <c r="D16" s="312">
        <v>1485</v>
      </c>
      <c r="E16" s="35">
        <f t="shared" si="1"/>
        <v>7968361.5000019362</v>
      </c>
      <c r="F16" s="35">
        <f>F15-C16</f>
        <v>13660.199999999255</v>
      </c>
      <c r="G16" s="67">
        <v>1372.3</v>
      </c>
      <c r="H16" s="7">
        <v>12728.000000000116</v>
      </c>
      <c r="I16" s="35">
        <v>1335</v>
      </c>
      <c r="J16" s="35">
        <f t="shared" si="2"/>
        <v>16991880.000000156</v>
      </c>
      <c r="K16" s="131">
        <f>K15-H16+30000</f>
        <v>20819.399999999761</v>
      </c>
      <c r="L16" s="562">
        <f>(3541*1201.6)/12728+(9181*1222.3)/12728</f>
        <v>1215.9649512884978</v>
      </c>
      <c r="M16" s="26">
        <v>310.10000000055879</v>
      </c>
      <c r="N16" s="35">
        <v>990</v>
      </c>
      <c r="O16" s="35">
        <f t="shared" si="3"/>
        <v>306999.00000055321</v>
      </c>
      <c r="P16" s="26">
        <f t="shared" si="9"/>
        <v>7133.5999999996275</v>
      </c>
      <c r="Q16" s="66">
        <v>782</v>
      </c>
      <c r="R16" s="26">
        <f t="shared" si="4"/>
        <v>25267240.500002645</v>
      </c>
      <c r="S16" s="5">
        <f t="shared" si="5"/>
        <v>23082924.670002371</v>
      </c>
      <c r="T16" s="28">
        <f t="shared" si="6"/>
        <v>2184315.8300002739</v>
      </c>
      <c r="U16" s="26">
        <v>918490</v>
      </c>
      <c r="V16" s="26">
        <v>331000</v>
      </c>
      <c r="W16" s="26">
        <f t="shared" si="0"/>
        <v>642943</v>
      </c>
      <c r="X16" s="117">
        <f t="shared" si="7"/>
        <v>3158258.8300002739</v>
      </c>
    </row>
    <row r="17" spans="1:24" x14ac:dyDescent="0.3">
      <c r="A17" s="25">
        <v>43597</v>
      </c>
      <c r="B17" s="123" t="s">
        <v>54</v>
      </c>
      <c r="C17" s="35">
        <v>3983.8999999994412</v>
      </c>
      <c r="D17" s="312">
        <v>1485</v>
      </c>
      <c r="E17" s="35">
        <f t="shared" si="1"/>
        <v>5916091.4999991702</v>
      </c>
      <c r="F17" s="26">
        <f t="shared" si="10"/>
        <v>9676.2999999998137</v>
      </c>
      <c r="G17" s="67">
        <v>1372.3</v>
      </c>
      <c r="H17" s="7">
        <v>6207.0999999997439</v>
      </c>
      <c r="I17" s="35">
        <v>1335</v>
      </c>
      <c r="J17" s="35">
        <f t="shared" si="2"/>
        <v>8286478.4999996582</v>
      </c>
      <c r="K17" s="35">
        <f t="shared" si="11"/>
        <v>14612.300000000017</v>
      </c>
      <c r="L17" s="318">
        <v>1222.3</v>
      </c>
      <c r="M17" s="26">
        <v>0</v>
      </c>
      <c r="N17" s="35">
        <v>990</v>
      </c>
      <c r="O17" s="35">
        <f t="shared" si="3"/>
        <v>0</v>
      </c>
      <c r="P17" s="26">
        <f t="shared" si="9"/>
        <v>7133.5999999996275</v>
      </c>
      <c r="Q17" s="66">
        <v>782</v>
      </c>
      <c r="R17" s="26">
        <f t="shared" si="4"/>
        <v>14202569.999998828</v>
      </c>
      <c r="S17" s="5">
        <f t="shared" si="5"/>
        <v>13054044.29999892</v>
      </c>
      <c r="T17" s="28">
        <f t="shared" si="6"/>
        <v>1148525.699999908</v>
      </c>
      <c r="U17" s="26">
        <v>962090</v>
      </c>
      <c r="V17" s="26">
        <v>283000</v>
      </c>
      <c r="W17" s="26">
        <f t="shared" si="0"/>
        <v>673463</v>
      </c>
      <c r="X17" s="117">
        <f t="shared" si="7"/>
        <v>2104988.699999908</v>
      </c>
    </row>
    <row r="18" spans="1:24" x14ac:dyDescent="0.3">
      <c r="A18" s="25">
        <v>43598</v>
      </c>
      <c r="B18" s="123" t="s">
        <v>55</v>
      </c>
      <c r="C18" s="35">
        <v>3061</v>
      </c>
      <c r="D18" s="312">
        <v>1485</v>
      </c>
      <c r="E18" s="35">
        <f t="shared" si="1"/>
        <v>4545585</v>
      </c>
      <c r="F18" s="26">
        <f t="shared" si="10"/>
        <v>6615.2999999998137</v>
      </c>
      <c r="G18" s="67">
        <v>1372.3</v>
      </c>
      <c r="H18" s="7">
        <v>15038.499999999796</v>
      </c>
      <c r="I18" s="35">
        <v>1335</v>
      </c>
      <c r="J18" s="35">
        <f t="shared" si="2"/>
        <v>20076397.499999728</v>
      </c>
      <c r="K18" s="131">
        <f>K17-H18+20000</f>
        <v>19573.800000000221</v>
      </c>
      <c r="L18" s="318">
        <v>1222.3</v>
      </c>
      <c r="M18" s="26">
        <v>400</v>
      </c>
      <c r="N18" s="35">
        <v>990</v>
      </c>
      <c r="O18" s="35">
        <f t="shared" si="3"/>
        <v>396000</v>
      </c>
      <c r="P18" s="26">
        <f t="shared" si="9"/>
        <v>6733.5999999996275</v>
      </c>
      <c r="Q18" s="66">
        <v>782</v>
      </c>
      <c r="R18" s="26">
        <f t="shared" si="4"/>
        <v>25017982.499999728</v>
      </c>
      <c r="S18" s="5">
        <f t="shared" si="5"/>
        <v>22894968.849999752</v>
      </c>
      <c r="T18" s="28">
        <f t="shared" si="6"/>
        <v>2123013.6499999762</v>
      </c>
      <c r="U18" s="26">
        <v>1077211</v>
      </c>
      <c r="V18" s="26">
        <v>113000</v>
      </c>
      <c r="W18" s="26">
        <f t="shared" si="0"/>
        <v>754047.7</v>
      </c>
      <c r="X18" s="117">
        <f t="shared" si="7"/>
        <v>2990061.3499999763</v>
      </c>
    </row>
    <row r="19" spans="1:24" x14ac:dyDescent="0.3">
      <c r="A19" s="25">
        <v>43599</v>
      </c>
      <c r="B19" s="123" t="s">
        <v>56</v>
      </c>
      <c r="C19" s="35">
        <v>3384.9000000013039</v>
      </c>
      <c r="D19" s="312">
        <v>1485</v>
      </c>
      <c r="E19" s="35">
        <f t="shared" si="1"/>
        <v>5026576.5000019362</v>
      </c>
      <c r="F19" s="26">
        <f t="shared" si="10"/>
        <v>3230.3999999985099</v>
      </c>
      <c r="G19" s="67">
        <v>1372.3</v>
      </c>
      <c r="H19" s="7">
        <v>17860.10000000018</v>
      </c>
      <c r="I19" s="35">
        <v>1335</v>
      </c>
      <c r="J19" s="35">
        <f t="shared" si="2"/>
        <v>23843233.500000242</v>
      </c>
      <c r="K19" s="26">
        <f>K18-H19</f>
        <v>1713.7000000000407</v>
      </c>
      <c r="L19" s="318">
        <v>1222.3</v>
      </c>
      <c r="M19" s="26">
        <v>1050</v>
      </c>
      <c r="N19" s="35">
        <v>990</v>
      </c>
      <c r="O19" s="35">
        <f t="shared" si="3"/>
        <v>1039500</v>
      </c>
      <c r="P19" s="26">
        <f t="shared" si="9"/>
        <v>5683.5999999996275</v>
      </c>
      <c r="Q19" s="66">
        <v>782</v>
      </c>
      <c r="R19" s="26">
        <f t="shared" si="4"/>
        <v>29909310.000002179</v>
      </c>
      <c r="S19" s="5">
        <f t="shared" si="5"/>
        <v>27296598.500002012</v>
      </c>
      <c r="T19" s="28">
        <f t="shared" si="6"/>
        <v>2612711.5000001676</v>
      </c>
      <c r="U19" s="26">
        <v>1232737</v>
      </c>
      <c r="V19" s="26">
        <v>260000</v>
      </c>
      <c r="W19" s="26">
        <f t="shared" si="0"/>
        <v>862915.89999999991</v>
      </c>
      <c r="X19" s="117">
        <f t="shared" si="7"/>
        <v>3735627.4000001675</v>
      </c>
    </row>
    <row r="20" spans="1:24" x14ac:dyDescent="0.3">
      <c r="A20" s="25">
        <v>43600</v>
      </c>
      <c r="B20" s="123" t="s">
        <v>57</v>
      </c>
      <c r="C20" s="35">
        <v>3157.3999999994412</v>
      </c>
      <c r="D20" s="312">
        <v>1485</v>
      </c>
      <c r="E20" s="35">
        <f t="shared" si="1"/>
        <v>4688738.9999991702</v>
      </c>
      <c r="F20" s="26">
        <f t="shared" si="10"/>
        <v>72.999999999068677</v>
      </c>
      <c r="G20" s="67">
        <v>1372.3</v>
      </c>
      <c r="H20" s="7">
        <v>16977.000000000378</v>
      </c>
      <c r="I20" s="35">
        <v>1335</v>
      </c>
      <c r="J20" s="35">
        <f t="shared" si="2"/>
        <v>22664295.000000507</v>
      </c>
      <c r="K20" s="131">
        <f>K19-H20+30000</f>
        <v>14736.699999999662</v>
      </c>
      <c r="L20" s="320">
        <f>(1714*1222.3)/H20+(15263*1216.6)/H20</f>
        <v>1217.1754726983293</v>
      </c>
      <c r="M20" s="26">
        <v>1620.2000000001863</v>
      </c>
      <c r="N20" s="35">
        <v>990</v>
      </c>
      <c r="O20" s="35">
        <f t="shared" si="3"/>
        <v>1603998.0000001844</v>
      </c>
      <c r="P20" s="26">
        <f t="shared" si="9"/>
        <v>4063.3999999994412</v>
      </c>
      <c r="Q20" s="66">
        <v>782</v>
      </c>
      <c r="R20" s="26">
        <f t="shared" si="4"/>
        <v>28957031.999999858</v>
      </c>
      <c r="S20" s="5">
        <f t="shared" si="5"/>
        <v>26263884.419999376</v>
      </c>
      <c r="T20" s="28">
        <f t="shared" si="6"/>
        <v>2693147.5800004825</v>
      </c>
      <c r="U20" s="26">
        <v>1378154</v>
      </c>
      <c r="V20" s="26">
        <v>180000</v>
      </c>
      <c r="W20" s="26">
        <f t="shared" si="0"/>
        <v>964707.79999999993</v>
      </c>
      <c r="X20" s="117">
        <f t="shared" si="7"/>
        <v>3837855.3800004823</v>
      </c>
    </row>
    <row r="21" spans="1:24" s="114" customFormat="1" x14ac:dyDescent="0.3">
      <c r="A21" s="555">
        <v>43601</v>
      </c>
      <c r="B21" s="7" t="s">
        <v>58</v>
      </c>
      <c r="C21" s="35">
        <v>4135.9999999990687</v>
      </c>
      <c r="D21" s="312">
        <v>1485</v>
      </c>
      <c r="E21" s="35">
        <f t="shared" si="1"/>
        <v>6141959.999998617</v>
      </c>
      <c r="F21" s="311">
        <f>F20-C21+20000</f>
        <v>15937</v>
      </c>
      <c r="G21" s="559">
        <f>(73*1372.3)/4136+(4063*1366.6)/4136</f>
        <v>1366.7006044487428</v>
      </c>
      <c r="H21" s="7">
        <v>15624.10000000018</v>
      </c>
      <c r="I21" s="35">
        <v>1335</v>
      </c>
      <c r="J21" s="35">
        <f t="shared" si="2"/>
        <v>20858173.500000242</v>
      </c>
      <c r="K21" s="565">
        <f>K20-H21+20000</f>
        <v>19112.599999999482</v>
      </c>
      <c r="L21" s="320">
        <f>(14737*1216.6)/H21+(887*1235)/H21</f>
        <v>1217.6368046799355</v>
      </c>
      <c r="M21" s="35">
        <v>1000</v>
      </c>
      <c r="N21" s="35">
        <v>990</v>
      </c>
      <c r="O21" s="35">
        <f t="shared" si="3"/>
        <v>990000</v>
      </c>
      <c r="P21" s="26">
        <f t="shared" si="9"/>
        <v>3063.3999999994412</v>
      </c>
      <c r="Q21" s="66">
        <v>782</v>
      </c>
      <c r="R21" s="35">
        <f t="shared" si="4"/>
        <v>27990133.49999886</v>
      </c>
      <c r="S21" s="35">
        <f t="shared" si="5"/>
        <v>25459152.899998724</v>
      </c>
      <c r="T21" s="556">
        <f t="shared" si="6"/>
        <v>2530980.6000001356</v>
      </c>
      <c r="U21" s="35">
        <v>1463784</v>
      </c>
      <c r="V21" s="35">
        <v>203000</v>
      </c>
      <c r="W21" s="35">
        <f t="shared" si="0"/>
        <v>1024648.7999999999</v>
      </c>
      <c r="X21" s="557">
        <f t="shared" si="7"/>
        <v>3758629.4000001354</v>
      </c>
    </row>
    <row r="22" spans="1:24" x14ac:dyDescent="0.3">
      <c r="A22" s="25">
        <v>43602</v>
      </c>
      <c r="B22" s="123" t="s">
        <v>59</v>
      </c>
      <c r="C22" s="35">
        <v>4795.1000000014901</v>
      </c>
      <c r="D22" s="312">
        <v>1485</v>
      </c>
      <c r="E22" s="35">
        <f t="shared" si="1"/>
        <v>7120723.5000022128</v>
      </c>
      <c r="F22" s="26">
        <f>F21-C22</f>
        <v>11141.89999999851</v>
      </c>
      <c r="G22" s="67">
        <v>1366.6</v>
      </c>
      <c r="H22" s="7">
        <v>19375.800000000367</v>
      </c>
      <c r="I22" s="35">
        <v>1335</v>
      </c>
      <c r="J22" s="35">
        <f t="shared" si="2"/>
        <v>25866693.000000488</v>
      </c>
      <c r="K22" s="565">
        <f>K21-H22+30000</f>
        <v>29736.799999999115</v>
      </c>
      <c r="L22" s="318">
        <v>1235</v>
      </c>
      <c r="M22" s="26">
        <v>400</v>
      </c>
      <c r="N22" s="35">
        <v>990</v>
      </c>
      <c r="O22" s="35">
        <f t="shared" si="3"/>
        <v>396000</v>
      </c>
      <c r="P22" s="26">
        <f t="shared" si="9"/>
        <v>2663.3999999994412</v>
      </c>
      <c r="Q22" s="66">
        <v>782</v>
      </c>
      <c r="R22" s="26">
        <f t="shared" si="4"/>
        <v>33383416.500002701</v>
      </c>
      <c r="S22" s="5">
        <f t="shared" si="5"/>
        <v>30794896.660002492</v>
      </c>
      <c r="T22" s="28">
        <f t="shared" si="6"/>
        <v>2588519.8400002085</v>
      </c>
      <c r="U22" s="26">
        <v>1619345</v>
      </c>
      <c r="V22" s="26">
        <v>221000</v>
      </c>
      <c r="W22" s="26">
        <f t="shared" si="0"/>
        <v>1133541.5</v>
      </c>
      <c r="X22" s="117">
        <f t="shared" si="7"/>
        <v>3943061.3400002085</v>
      </c>
    </row>
    <row r="23" spans="1:24" x14ac:dyDescent="0.3">
      <c r="A23" s="25">
        <v>43603</v>
      </c>
      <c r="B23" s="123" t="s">
        <v>53</v>
      </c>
      <c r="C23" s="35">
        <v>4314.4000000003725</v>
      </c>
      <c r="D23" s="312">
        <v>1485</v>
      </c>
      <c r="E23" s="35">
        <f t="shared" si="1"/>
        <v>6406884.0000005532</v>
      </c>
      <c r="F23" s="35">
        <f>F22-C23</f>
        <v>6827.4999999981374</v>
      </c>
      <c r="G23" s="67">
        <v>1366.6</v>
      </c>
      <c r="H23" s="7">
        <v>12825.999999999098</v>
      </c>
      <c r="I23" s="35">
        <v>1335</v>
      </c>
      <c r="J23" s="35">
        <f t="shared" si="2"/>
        <v>17122709.999998797</v>
      </c>
      <c r="K23" s="35">
        <f>K22-H23</f>
        <v>16910.800000000017</v>
      </c>
      <c r="L23" s="318">
        <v>1235</v>
      </c>
      <c r="M23" s="26">
        <v>40.399999999441206</v>
      </c>
      <c r="N23" s="35">
        <v>990</v>
      </c>
      <c r="O23" s="35">
        <f t="shared" si="3"/>
        <v>39995.999999446794</v>
      </c>
      <c r="P23" s="26">
        <f t="shared" si="9"/>
        <v>2623</v>
      </c>
      <c r="Q23" s="66">
        <v>782</v>
      </c>
      <c r="R23" s="26">
        <f t="shared" si="4"/>
        <v>23569589.9999988</v>
      </c>
      <c r="S23" s="5">
        <f t="shared" si="5"/>
        <v>21767761.83999896</v>
      </c>
      <c r="T23" s="28">
        <f t="shared" si="6"/>
        <v>1801828.15999984</v>
      </c>
      <c r="U23" s="26">
        <v>1724396</v>
      </c>
      <c r="V23" s="26">
        <v>245000</v>
      </c>
      <c r="W23" s="26">
        <f t="shared" si="0"/>
        <v>1207077.2</v>
      </c>
      <c r="X23" s="117">
        <f t="shared" si="7"/>
        <v>3253905.3599998401</v>
      </c>
    </row>
    <row r="24" spans="1:24" x14ac:dyDescent="0.3">
      <c r="A24" s="25">
        <v>43604</v>
      </c>
      <c r="B24" s="123" t="s">
        <v>54</v>
      </c>
      <c r="C24" s="35">
        <v>3444.2999999988824</v>
      </c>
      <c r="D24" s="312">
        <v>1485</v>
      </c>
      <c r="E24" s="35">
        <f t="shared" si="1"/>
        <v>5114785.4999983404</v>
      </c>
      <c r="F24" s="26">
        <f t="shared" si="10"/>
        <v>3383.1999999992549</v>
      </c>
      <c r="G24" s="67">
        <v>1366.6</v>
      </c>
      <c r="H24" s="7">
        <v>6451.0000000000582</v>
      </c>
      <c r="I24" s="35">
        <v>1335</v>
      </c>
      <c r="J24" s="35">
        <f t="shared" si="2"/>
        <v>8612085.0000000782</v>
      </c>
      <c r="K24" s="26">
        <f>K23-H24</f>
        <v>10459.799999999959</v>
      </c>
      <c r="L24" s="318">
        <v>1235</v>
      </c>
      <c r="M24" s="26">
        <v>0</v>
      </c>
      <c r="N24" s="35">
        <v>990</v>
      </c>
      <c r="O24" s="35">
        <f t="shared" si="3"/>
        <v>0</v>
      </c>
      <c r="P24" s="26">
        <f t="shared" si="9"/>
        <v>2623</v>
      </c>
      <c r="Q24" s="66">
        <v>782</v>
      </c>
      <c r="R24" s="26">
        <f t="shared" si="4"/>
        <v>13726870.499998419</v>
      </c>
      <c r="S24" s="5">
        <f t="shared" si="5"/>
        <v>12673965.379998544</v>
      </c>
      <c r="T24" s="28">
        <f t="shared" si="6"/>
        <v>1052905.1199998744</v>
      </c>
      <c r="U24" s="26">
        <v>1771385</v>
      </c>
      <c r="V24" s="26">
        <v>0</v>
      </c>
      <c r="W24" s="26">
        <f t="shared" si="0"/>
        <v>1239969.5</v>
      </c>
      <c r="X24" s="117">
        <f t="shared" si="7"/>
        <v>2292874.6199998744</v>
      </c>
    </row>
    <row r="25" spans="1:24" x14ac:dyDescent="0.3">
      <c r="A25" s="25">
        <v>43605</v>
      </c>
      <c r="B25" s="123" t="s">
        <v>55</v>
      </c>
      <c r="C25" s="35">
        <v>4024.5999999996275</v>
      </c>
      <c r="D25" s="312">
        <v>1485</v>
      </c>
      <c r="E25" s="35">
        <f t="shared" si="1"/>
        <v>5976530.9999994468</v>
      </c>
      <c r="F25" s="569">
        <f>F24-C25+30000</f>
        <v>29358.599999999627</v>
      </c>
      <c r="G25" s="67">
        <v>1366.6</v>
      </c>
      <c r="H25" s="7">
        <v>16057.000000000087</v>
      </c>
      <c r="I25" s="35">
        <v>1335</v>
      </c>
      <c r="J25" s="35">
        <f t="shared" si="2"/>
        <v>21436095.000000115</v>
      </c>
      <c r="K25" s="565">
        <f>K24-H25+30000</f>
        <v>24402.799999999872</v>
      </c>
      <c r="L25" s="318">
        <v>1235</v>
      </c>
      <c r="M25" s="26">
        <v>0</v>
      </c>
      <c r="N25" s="35">
        <v>990</v>
      </c>
      <c r="O25" s="35">
        <f t="shared" si="3"/>
        <v>0</v>
      </c>
      <c r="P25" s="26">
        <f t="shared" si="9"/>
        <v>2623</v>
      </c>
      <c r="Q25" s="66">
        <v>782</v>
      </c>
      <c r="R25" s="26">
        <f t="shared" si="4"/>
        <v>27412625.99999956</v>
      </c>
      <c r="S25" s="5">
        <f t="shared" si="5"/>
        <v>25330413.359999597</v>
      </c>
      <c r="T25" s="28">
        <f t="shared" si="6"/>
        <v>2082212.6399999633</v>
      </c>
      <c r="U25" s="26">
        <v>1948239</v>
      </c>
      <c r="V25" s="26">
        <v>112000</v>
      </c>
      <c r="W25" s="26">
        <f t="shared" si="0"/>
        <v>1363767.2999999998</v>
      </c>
      <c r="X25" s="117">
        <f t="shared" si="7"/>
        <v>3557979.9399999632</v>
      </c>
    </row>
    <row r="26" spans="1:24" x14ac:dyDescent="0.3">
      <c r="A26" s="25">
        <v>43606</v>
      </c>
      <c r="B26" s="123" t="s">
        <v>56</v>
      </c>
      <c r="C26" s="35">
        <v>3986.6000000005588</v>
      </c>
      <c r="D26" s="312">
        <v>1485</v>
      </c>
      <c r="E26" s="35">
        <f t="shared" si="1"/>
        <v>5920101.0000008298</v>
      </c>
      <c r="F26" s="26">
        <f t="shared" si="10"/>
        <v>25371.999999999069</v>
      </c>
      <c r="G26" s="67">
        <v>1366.6</v>
      </c>
      <c r="H26" s="7">
        <v>15344.499999999796</v>
      </c>
      <c r="I26" s="35">
        <v>1335</v>
      </c>
      <c r="J26" s="35">
        <f t="shared" si="2"/>
        <v>20484907.499999728</v>
      </c>
      <c r="K26" s="26">
        <f t="shared" ref="K26:K36" si="12">K25-H26</f>
        <v>9058.3000000000757</v>
      </c>
      <c r="L26" s="318">
        <v>1235</v>
      </c>
      <c r="M26" s="26">
        <v>0</v>
      </c>
      <c r="N26" s="35">
        <v>990</v>
      </c>
      <c r="O26" s="35">
        <f t="shared" si="3"/>
        <v>0</v>
      </c>
      <c r="P26" s="26">
        <f t="shared" si="9"/>
        <v>2623</v>
      </c>
      <c r="Q26" s="66">
        <v>782</v>
      </c>
      <c r="R26" s="26">
        <f t="shared" si="4"/>
        <v>26405008.500000559</v>
      </c>
      <c r="S26" s="5">
        <f t="shared" si="5"/>
        <v>24398545.060000509</v>
      </c>
      <c r="T26" s="28">
        <f t="shared" si="6"/>
        <v>2006463.4400000498</v>
      </c>
      <c r="U26" s="26">
        <v>2109177</v>
      </c>
      <c r="V26" s="26">
        <v>143000</v>
      </c>
      <c r="W26" s="26">
        <f t="shared" si="0"/>
        <v>1476423.9</v>
      </c>
      <c r="X26" s="117">
        <f t="shared" si="7"/>
        <v>3625887.3400000497</v>
      </c>
    </row>
    <row r="27" spans="1:24" x14ac:dyDescent="0.3">
      <c r="A27" s="25">
        <v>43607</v>
      </c>
      <c r="B27" s="123" t="s">
        <v>57</v>
      </c>
      <c r="C27" s="35">
        <v>3842.4999999990687</v>
      </c>
      <c r="D27" s="312">
        <v>1485</v>
      </c>
      <c r="E27" s="35">
        <f t="shared" si="1"/>
        <v>5706112.499998617</v>
      </c>
      <c r="F27" s="35">
        <f>F26-C27</f>
        <v>21529.5</v>
      </c>
      <c r="G27" s="67">
        <v>1366.6</v>
      </c>
      <c r="H27" s="7">
        <v>16237.800000000454</v>
      </c>
      <c r="I27" s="35">
        <v>1335</v>
      </c>
      <c r="J27" s="35">
        <f t="shared" si="2"/>
        <v>21677463.000000607</v>
      </c>
      <c r="K27" s="565">
        <f>K26-H27+30000</f>
        <v>22820.499999999622</v>
      </c>
      <c r="L27" s="318">
        <v>1235</v>
      </c>
      <c r="M27" s="26">
        <v>420.20000000018626</v>
      </c>
      <c r="N27" s="35">
        <v>990</v>
      </c>
      <c r="O27" s="35">
        <f t="shared" si="3"/>
        <v>415998.0000001844</v>
      </c>
      <c r="P27" s="26">
        <f t="shared" si="9"/>
        <v>2202.7999999998137</v>
      </c>
      <c r="Q27" s="66">
        <v>782</v>
      </c>
      <c r="R27" s="26">
        <f t="shared" si="4"/>
        <v>27799573.499999411</v>
      </c>
      <c r="S27" s="5">
        <f t="shared" si="5"/>
        <v>25633439.899999432</v>
      </c>
      <c r="T27" s="28">
        <f t="shared" si="6"/>
        <v>2166133.5999999791</v>
      </c>
      <c r="U27" s="26">
        <v>2291318</v>
      </c>
      <c r="V27" s="26">
        <v>156000</v>
      </c>
      <c r="W27" s="26">
        <f t="shared" si="0"/>
        <v>1603922.5999999999</v>
      </c>
      <c r="X27" s="117">
        <f t="shared" si="7"/>
        <v>3926056.1999999788</v>
      </c>
    </row>
    <row r="28" spans="1:24" x14ac:dyDescent="0.3">
      <c r="A28" s="25">
        <v>43608</v>
      </c>
      <c r="B28" s="123" t="s">
        <v>58</v>
      </c>
      <c r="C28" s="35">
        <v>5077.0000000009313</v>
      </c>
      <c r="D28" s="312">
        <v>1485</v>
      </c>
      <c r="E28" s="35">
        <f t="shared" si="1"/>
        <v>7539345.000001383</v>
      </c>
      <c r="F28" s="35">
        <f>F27-C28</f>
        <v>16452.499999999069</v>
      </c>
      <c r="G28" s="67">
        <v>1366.6</v>
      </c>
      <c r="H28" s="7">
        <v>17886.69999999975</v>
      </c>
      <c r="I28" s="35">
        <v>1335</v>
      </c>
      <c r="J28" s="35">
        <f t="shared" si="2"/>
        <v>23878744.499999665</v>
      </c>
      <c r="K28" s="565">
        <f>K27-H28</f>
        <v>4933.7999999998719</v>
      </c>
      <c r="L28" s="318">
        <v>1235</v>
      </c>
      <c r="M28" s="26">
        <v>0</v>
      </c>
      <c r="N28" s="35">
        <v>990</v>
      </c>
      <c r="O28" s="35">
        <f t="shared" si="3"/>
        <v>0</v>
      </c>
      <c r="P28" s="26">
        <f t="shared" si="9"/>
        <v>2202.7999999998137</v>
      </c>
      <c r="Q28" s="66">
        <v>782</v>
      </c>
      <c r="R28" s="26">
        <f t="shared" si="4"/>
        <v>31418089.500001047</v>
      </c>
      <c r="S28" s="5">
        <f t="shared" si="5"/>
        <v>29028302.700000964</v>
      </c>
      <c r="T28" s="28">
        <f t="shared" si="6"/>
        <v>2389786.8000000827</v>
      </c>
      <c r="U28" s="26">
        <v>2440778</v>
      </c>
      <c r="V28" s="26">
        <v>209000</v>
      </c>
      <c r="W28" s="26">
        <f t="shared" si="0"/>
        <v>1708544.5999999999</v>
      </c>
      <c r="X28" s="117">
        <f t="shared" si="7"/>
        <v>4307331.4000000823</v>
      </c>
    </row>
    <row r="29" spans="1:24" x14ac:dyDescent="0.3">
      <c r="A29" s="25">
        <v>43609</v>
      </c>
      <c r="B29" s="123" t="s">
        <v>59</v>
      </c>
      <c r="C29" s="35">
        <v>4320.0999999996275</v>
      </c>
      <c r="D29" s="312">
        <v>1485</v>
      </c>
      <c r="E29" s="35">
        <f t="shared" si="1"/>
        <v>6415348.4999994468</v>
      </c>
      <c r="F29" s="26">
        <f>F28-C29</f>
        <v>12132.399999999441</v>
      </c>
      <c r="G29" s="67">
        <v>1366.6</v>
      </c>
      <c r="H29" s="7">
        <v>17870.500000000204</v>
      </c>
      <c r="I29" s="35">
        <v>1335</v>
      </c>
      <c r="J29" s="35">
        <f t="shared" si="2"/>
        <v>23857117.500000272</v>
      </c>
      <c r="K29" s="565">
        <f>K28-H29+30000</f>
        <v>17063.299999999668</v>
      </c>
      <c r="L29" s="318">
        <v>1235</v>
      </c>
      <c r="M29" s="26">
        <v>415.20000000018626</v>
      </c>
      <c r="N29" s="35">
        <v>990</v>
      </c>
      <c r="O29" s="35">
        <f t="shared" si="3"/>
        <v>411048.0000001844</v>
      </c>
      <c r="P29" s="26">
        <f t="shared" si="9"/>
        <v>1787.5999999996275</v>
      </c>
      <c r="Q29" s="66">
        <v>782</v>
      </c>
      <c r="R29" s="26">
        <f t="shared" si="4"/>
        <v>30683513.999999903</v>
      </c>
      <c r="S29" s="5">
        <f t="shared" si="5"/>
        <v>28298602.559999891</v>
      </c>
      <c r="T29" s="28">
        <f t="shared" si="6"/>
        <v>2384911.4400000125</v>
      </c>
      <c r="U29" s="26">
        <v>2589838</v>
      </c>
      <c r="V29" s="26">
        <v>177000</v>
      </c>
      <c r="W29" s="26">
        <f t="shared" si="0"/>
        <v>1812886.5999999999</v>
      </c>
      <c r="X29" s="117">
        <f>T29+V29+W29</f>
        <v>4374798.0400000121</v>
      </c>
    </row>
    <row r="30" spans="1:24" x14ac:dyDescent="0.3">
      <c r="A30" s="25">
        <v>43610</v>
      </c>
      <c r="B30" s="123" t="s">
        <v>53</v>
      </c>
      <c r="C30" s="35">
        <v>5172.6000000005588</v>
      </c>
      <c r="D30" s="312">
        <v>1485</v>
      </c>
      <c r="E30" s="35">
        <f t="shared" si="1"/>
        <v>7681311.0000008298</v>
      </c>
      <c r="F30" s="26">
        <f>F29-C30</f>
        <v>6959.7999999988824</v>
      </c>
      <c r="G30" s="67">
        <v>1366.6</v>
      </c>
      <c r="H30" s="7">
        <v>13235.500000000087</v>
      </c>
      <c r="I30" s="35">
        <v>1345</v>
      </c>
      <c r="J30" s="35">
        <f t="shared" si="2"/>
        <v>17801747.500000119</v>
      </c>
      <c r="K30" s="35">
        <f>K29-H30</f>
        <v>3827.7999999995809</v>
      </c>
      <c r="L30" s="318">
        <v>1235</v>
      </c>
      <c r="M30" s="26">
        <v>400</v>
      </c>
      <c r="N30" s="35">
        <v>990</v>
      </c>
      <c r="O30" s="35">
        <f t="shared" si="3"/>
        <v>396000</v>
      </c>
      <c r="P30" s="26">
        <f t="shared" si="9"/>
        <v>1387.5999999996275</v>
      </c>
      <c r="Q30" s="66">
        <v>782</v>
      </c>
      <c r="R30" s="26">
        <f t="shared" si="4"/>
        <v>25879058.50000095</v>
      </c>
      <c r="S30" s="5">
        <f t="shared" si="5"/>
        <v>23727517.660000872</v>
      </c>
      <c r="T30" s="28">
        <f t="shared" si="6"/>
        <v>2151540.8400000781</v>
      </c>
      <c r="U30" s="26">
        <v>2664838</v>
      </c>
      <c r="V30" s="26">
        <v>197000</v>
      </c>
      <c r="W30" s="26">
        <f t="shared" si="0"/>
        <v>1865386.5999999999</v>
      </c>
      <c r="X30" s="117">
        <f t="shared" si="7"/>
        <v>4213927.4400000777</v>
      </c>
    </row>
    <row r="31" spans="1:24" x14ac:dyDescent="0.3">
      <c r="A31" s="25">
        <v>43611</v>
      </c>
      <c r="B31" s="123" t="s">
        <v>54</v>
      </c>
      <c r="C31" s="35">
        <v>3913.2999999998137</v>
      </c>
      <c r="D31" s="312">
        <v>1485</v>
      </c>
      <c r="E31" s="35">
        <f t="shared" si="1"/>
        <v>5811250.4999997234</v>
      </c>
      <c r="F31" s="26">
        <f>F30-C31</f>
        <v>3046.4999999990687</v>
      </c>
      <c r="G31" s="67">
        <v>1366.6</v>
      </c>
      <c r="H31" s="7">
        <v>6180.6000000000349</v>
      </c>
      <c r="I31" s="35">
        <v>1345</v>
      </c>
      <c r="J31" s="35">
        <f t="shared" si="2"/>
        <v>8312907.0000000466</v>
      </c>
      <c r="K31" s="565">
        <f>K30-H31+20000</f>
        <v>17647.199999999546</v>
      </c>
      <c r="L31" s="566">
        <f>(3828*1235)/H31+(2353*1245)/H31</f>
        <v>1238.8870012620064</v>
      </c>
      <c r="M31" s="26">
        <v>20.200000000186265</v>
      </c>
      <c r="N31" s="35">
        <v>990</v>
      </c>
      <c r="O31" s="35">
        <f t="shared" si="3"/>
        <v>19998.000000184402</v>
      </c>
      <c r="P31" s="26">
        <f t="shared" si="9"/>
        <v>1367.3999999994412</v>
      </c>
      <c r="Q31" s="66">
        <v>782</v>
      </c>
      <c r="R31" s="26">
        <f t="shared" si="4"/>
        <v>14144155.499999953</v>
      </c>
      <c r="S31" s="5">
        <f t="shared" si="5"/>
        <v>13020777.17999989</v>
      </c>
      <c r="T31" s="28">
        <f t="shared" si="6"/>
        <v>1123378.3200000636</v>
      </c>
      <c r="U31" s="26">
        <v>2717649</v>
      </c>
      <c r="V31" s="26">
        <v>167000</v>
      </c>
      <c r="W31" s="26">
        <f t="shared" si="0"/>
        <v>1902354.2999999998</v>
      </c>
      <c r="X31" s="117">
        <f t="shared" si="7"/>
        <v>3192732.6200000634</v>
      </c>
    </row>
    <row r="32" spans="1:24" x14ac:dyDescent="0.3">
      <c r="A32" s="25">
        <v>43612</v>
      </c>
      <c r="B32" s="123" t="s">
        <v>55</v>
      </c>
      <c r="C32" s="35">
        <v>3676.9000000003725</v>
      </c>
      <c r="D32" s="567">
        <f>+'[6]27'!$Y$3</f>
        <v>1485</v>
      </c>
      <c r="E32" s="35">
        <f t="shared" si="1"/>
        <v>5460196.5000005532</v>
      </c>
      <c r="F32" s="569">
        <f>F31-C32+내유동_재고!F71</f>
        <v>19369.599999998696</v>
      </c>
      <c r="G32" s="570">
        <f>(3046*1366.6)/C32+(631*1390)/C32</f>
        <v>1370.6528869426661</v>
      </c>
      <c r="H32" s="7">
        <v>13744.099999999831</v>
      </c>
      <c r="I32" s="35">
        <v>1345</v>
      </c>
      <c r="J32" s="35">
        <f t="shared" si="2"/>
        <v>18485814.499999773</v>
      </c>
      <c r="K32" s="26">
        <f t="shared" si="12"/>
        <v>3903.0999999997148</v>
      </c>
      <c r="L32" s="319">
        <v>1245</v>
      </c>
      <c r="M32" s="26">
        <v>0</v>
      </c>
      <c r="N32" s="35">
        <v>0</v>
      </c>
      <c r="O32" s="35">
        <f t="shared" si="3"/>
        <v>0</v>
      </c>
      <c r="P32" s="26">
        <f t="shared" si="9"/>
        <v>1367.3999999994412</v>
      </c>
      <c r="Q32" s="66">
        <v>782</v>
      </c>
      <c r="R32" s="26">
        <f t="shared" si="4"/>
        <v>23946011.000000328</v>
      </c>
      <c r="S32" s="5">
        <f t="shared" si="5"/>
        <v>22151158.099999793</v>
      </c>
      <c r="T32" s="28">
        <f t="shared" si="6"/>
        <v>1794852.900000535</v>
      </c>
      <c r="U32" s="26">
        <v>2835371</v>
      </c>
      <c r="V32" s="26">
        <v>0</v>
      </c>
      <c r="W32" s="26">
        <f t="shared" si="0"/>
        <v>1984759.7</v>
      </c>
      <c r="X32" s="117">
        <f t="shared" si="7"/>
        <v>3779612.6000005351</v>
      </c>
    </row>
    <row r="33" spans="1:24" x14ac:dyDescent="0.3">
      <c r="A33" s="25">
        <v>43613</v>
      </c>
      <c r="B33" s="123" t="s">
        <v>56</v>
      </c>
      <c r="C33" s="35">
        <v>0</v>
      </c>
      <c r="D33" s="35"/>
      <c r="E33" s="35">
        <f t="shared" si="1"/>
        <v>0</v>
      </c>
      <c r="F33" s="26">
        <f>F32-C33</f>
        <v>19369.599999998696</v>
      </c>
      <c r="G33" s="67">
        <v>1316.04</v>
      </c>
      <c r="H33" s="7">
        <v>0</v>
      </c>
      <c r="I33" s="35">
        <v>0</v>
      </c>
      <c r="J33" s="35">
        <f t="shared" si="2"/>
        <v>0</v>
      </c>
      <c r="K33" s="26">
        <f t="shared" si="12"/>
        <v>3903.0999999997148</v>
      </c>
      <c r="L33" s="319"/>
      <c r="M33" s="26">
        <v>0</v>
      </c>
      <c r="N33" s="35">
        <v>0</v>
      </c>
      <c r="O33" s="35">
        <f t="shared" si="3"/>
        <v>0</v>
      </c>
      <c r="P33" s="26"/>
      <c r="Q33" s="66"/>
      <c r="R33" s="26">
        <f t="shared" si="4"/>
        <v>0</v>
      </c>
      <c r="S33" s="5">
        <f t="shared" si="5"/>
        <v>0</v>
      </c>
      <c r="T33" s="28">
        <f t="shared" si="6"/>
        <v>0</v>
      </c>
      <c r="U33" s="26"/>
      <c r="V33" s="26"/>
      <c r="W33" s="26">
        <f t="shared" si="0"/>
        <v>0</v>
      </c>
      <c r="X33" s="117">
        <f>T33+V33+W33</f>
        <v>0</v>
      </c>
    </row>
    <row r="34" spans="1:24" x14ac:dyDescent="0.3">
      <c r="A34" s="25">
        <v>43614</v>
      </c>
      <c r="B34" s="123" t="s">
        <v>57</v>
      </c>
      <c r="C34" s="35">
        <v>0</v>
      </c>
      <c r="D34" s="35"/>
      <c r="E34" s="35">
        <f t="shared" si="1"/>
        <v>0</v>
      </c>
      <c r="F34" s="26">
        <f>F33-C34</f>
        <v>19369.599999998696</v>
      </c>
      <c r="G34" s="67">
        <v>1316.04</v>
      </c>
      <c r="H34" s="7">
        <v>0</v>
      </c>
      <c r="I34" s="35">
        <v>0</v>
      </c>
      <c r="J34" s="35">
        <f t="shared" si="2"/>
        <v>0</v>
      </c>
      <c r="K34" s="26">
        <f t="shared" si="12"/>
        <v>3903.0999999997148</v>
      </c>
      <c r="L34" s="319"/>
      <c r="M34" s="26">
        <v>0</v>
      </c>
      <c r="N34" s="35">
        <v>0</v>
      </c>
      <c r="O34" s="35">
        <f t="shared" si="3"/>
        <v>0</v>
      </c>
      <c r="P34" s="26"/>
      <c r="Q34" s="66"/>
      <c r="R34" s="26">
        <f t="shared" si="4"/>
        <v>0</v>
      </c>
      <c r="S34" s="5">
        <f t="shared" si="5"/>
        <v>0</v>
      </c>
      <c r="T34" s="28">
        <f t="shared" si="6"/>
        <v>0</v>
      </c>
      <c r="U34" s="26"/>
      <c r="V34" s="26"/>
      <c r="W34" s="26">
        <f t="shared" si="0"/>
        <v>0</v>
      </c>
      <c r="X34" s="117">
        <f>T34+V34+W34</f>
        <v>0</v>
      </c>
    </row>
    <row r="35" spans="1:24" x14ac:dyDescent="0.3">
      <c r="A35" s="25">
        <v>43615</v>
      </c>
      <c r="B35" s="123" t="s">
        <v>58</v>
      </c>
      <c r="C35" s="35"/>
      <c r="D35" s="35"/>
      <c r="E35" s="35"/>
      <c r="F35" s="26">
        <f t="shared" ref="F35:F36" si="13">F34-C35</f>
        <v>19369.599999998696</v>
      </c>
      <c r="G35" s="67">
        <v>1316.04</v>
      </c>
      <c r="H35" s="7">
        <v>0</v>
      </c>
      <c r="I35" s="35">
        <v>0</v>
      </c>
      <c r="J35" s="35">
        <f t="shared" si="2"/>
        <v>0</v>
      </c>
      <c r="K35" s="26">
        <f t="shared" si="12"/>
        <v>3903.0999999997148</v>
      </c>
      <c r="L35" s="319"/>
      <c r="M35" s="26">
        <v>0</v>
      </c>
      <c r="N35" s="35">
        <v>0</v>
      </c>
      <c r="O35" s="35">
        <f t="shared" si="3"/>
        <v>0</v>
      </c>
      <c r="P35" s="26"/>
      <c r="Q35" s="66"/>
      <c r="R35" s="26">
        <f t="shared" si="4"/>
        <v>0</v>
      </c>
      <c r="S35" s="5">
        <f t="shared" si="5"/>
        <v>0</v>
      </c>
      <c r="T35" s="28">
        <f t="shared" si="6"/>
        <v>0</v>
      </c>
      <c r="U35" s="26"/>
      <c r="V35" s="26"/>
      <c r="W35" s="26">
        <f t="shared" si="0"/>
        <v>0</v>
      </c>
      <c r="X35" s="117">
        <f t="shared" si="7"/>
        <v>0</v>
      </c>
    </row>
    <row r="36" spans="1:24" x14ac:dyDescent="0.3">
      <c r="A36" s="25">
        <v>43616</v>
      </c>
      <c r="B36" s="123" t="s">
        <v>59</v>
      </c>
      <c r="C36" s="35"/>
      <c r="D36" s="35"/>
      <c r="E36" s="35"/>
      <c r="F36" s="26">
        <f t="shared" si="13"/>
        <v>19369.599999998696</v>
      </c>
      <c r="G36" s="67">
        <v>1316.04</v>
      </c>
      <c r="H36" s="7">
        <v>0</v>
      </c>
      <c r="I36" s="35">
        <v>0</v>
      </c>
      <c r="J36" s="35">
        <f t="shared" si="2"/>
        <v>0</v>
      </c>
      <c r="K36" s="26">
        <f t="shared" si="12"/>
        <v>3903.0999999997148</v>
      </c>
      <c r="L36" s="319"/>
      <c r="M36" s="26">
        <v>0</v>
      </c>
      <c r="N36" s="35">
        <v>0</v>
      </c>
      <c r="O36" s="35">
        <f t="shared" si="3"/>
        <v>0</v>
      </c>
      <c r="P36" s="26"/>
      <c r="Q36" s="66"/>
      <c r="R36" s="26">
        <f t="shared" si="4"/>
        <v>0</v>
      </c>
      <c r="S36" s="5">
        <f t="shared" si="5"/>
        <v>0</v>
      </c>
      <c r="T36" s="28">
        <f t="shared" si="6"/>
        <v>0</v>
      </c>
      <c r="U36" s="26"/>
      <c r="V36" s="26"/>
      <c r="W36" s="26">
        <f t="shared" si="0"/>
        <v>0</v>
      </c>
      <c r="X36" s="117">
        <f t="shared" si="7"/>
        <v>0</v>
      </c>
    </row>
    <row r="37" spans="1:24" x14ac:dyDescent="0.3">
      <c r="A37" s="25"/>
      <c r="B37" s="123"/>
      <c r="C37" s="437" t="s">
        <v>37</v>
      </c>
      <c r="D37" s="438"/>
      <c r="E37" s="438"/>
      <c r="F37" s="438"/>
      <c r="G37" s="439"/>
      <c r="H37" s="440" t="s">
        <v>38</v>
      </c>
      <c r="I37" s="441"/>
      <c r="J37" s="441"/>
      <c r="K37" s="441"/>
      <c r="L37" s="442"/>
      <c r="M37" s="443" t="s">
        <v>50</v>
      </c>
      <c r="N37" s="443"/>
      <c r="O37" s="443"/>
      <c r="P37" s="443"/>
      <c r="Q37" s="443"/>
      <c r="R37" s="418" t="s">
        <v>99</v>
      </c>
      <c r="S37" s="444" t="s">
        <v>106</v>
      </c>
      <c r="T37" s="444" t="s">
        <v>107</v>
      </c>
      <c r="U37" s="420" t="s">
        <v>98</v>
      </c>
      <c r="V37" s="420" t="s">
        <v>105</v>
      </c>
      <c r="W37" s="421" t="s">
        <v>85</v>
      </c>
      <c r="X37" s="423" t="s">
        <v>103</v>
      </c>
    </row>
    <row r="38" spans="1:24" s="17" customFormat="1" x14ac:dyDescent="0.3">
      <c r="A38" s="425"/>
      <c r="B38" s="426"/>
      <c r="C38" s="116" t="s">
        <v>96</v>
      </c>
      <c r="D38" s="429"/>
      <c r="E38" s="116" t="s">
        <v>97</v>
      </c>
      <c r="F38" s="431"/>
      <c r="G38" s="418"/>
      <c r="H38" s="116" t="s">
        <v>96</v>
      </c>
      <c r="I38" s="418"/>
      <c r="J38" s="116" t="s">
        <v>97</v>
      </c>
      <c r="K38" s="431" t="s">
        <v>38</v>
      </c>
      <c r="L38" s="416"/>
      <c r="M38" s="116" t="s">
        <v>96</v>
      </c>
      <c r="N38" s="418"/>
      <c r="O38" s="116" t="s">
        <v>97</v>
      </c>
      <c r="P38" s="418"/>
      <c r="Q38" s="418"/>
      <c r="R38" s="419"/>
      <c r="S38" s="444"/>
      <c r="T38" s="444"/>
      <c r="U38" s="420"/>
      <c r="V38" s="420"/>
      <c r="W38" s="422"/>
      <c r="X38" s="424"/>
    </row>
    <row r="39" spans="1:24" s="17" customFormat="1" x14ac:dyDescent="0.3">
      <c r="A39" s="427"/>
      <c r="B39" s="428"/>
      <c r="C39" s="116">
        <f>SUM(C6:C38)</f>
        <v>117215.4000000013</v>
      </c>
      <c r="D39" s="430"/>
      <c r="E39" s="116">
        <f>SUM(E6:E37)</f>
        <v>171760379.40000191</v>
      </c>
      <c r="F39" s="432"/>
      <c r="G39" s="419"/>
      <c r="H39" s="116">
        <f>SUM(H6:H38)</f>
        <v>373626.90000000037</v>
      </c>
      <c r="I39" s="419"/>
      <c r="J39" s="116">
        <f>SUM(J6:J37)</f>
        <v>496030467.50000036</v>
      </c>
      <c r="K39" s="432"/>
      <c r="L39" s="417"/>
      <c r="M39" s="116">
        <f>SUM(M6:M37)</f>
        <v>7847.6000000005588</v>
      </c>
      <c r="N39" s="419"/>
      <c r="O39" s="116">
        <f>SUM(O6:O37)</f>
        <v>7769124.0000005532</v>
      </c>
      <c r="P39" s="419"/>
      <c r="Q39" s="419"/>
      <c r="R39" s="116">
        <f>SUM(R6:R37)</f>
        <v>675559970.90000296</v>
      </c>
      <c r="S39" s="116">
        <f>SUM(S6:S37)</f>
        <v>621599865.32707894</v>
      </c>
      <c r="T39" s="116">
        <f t="shared" ref="T39" si="14">SUM(T6:T37)</f>
        <v>53960105.57292404</v>
      </c>
      <c r="U39" s="116">
        <f>SUM(U6:U37)</f>
        <v>36547940</v>
      </c>
      <c r="V39" s="116">
        <f>SUM(V6:V37)</f>
        <v>5319000</v>
      </c>
      <c r="W39" s="116">
        <f>SUM(W6:W37)</f>
        <v>25583558.000000004</v>
      </c>
      <c r="X39" s="127">
        <f t="shared" ref="X39" si="15">SUM(X6:X37)</f>
        <v>84862663.572924018</v>
      </c>
    </row>
  </sheetData>
  <mergeCells count="30">
    <mergeCell ref="A4:A5"/>
    <mergeCell ref="B4:B5"/>
    <mergeCell ref="C4:G4"/>
    <mergeCell ref="H4:L4"/>
    <mergeCell ref="M4:Q4"/>
    <mergeCell ref="S4:S5"/>
    <mergeCell ref="T4:T5"/>
    <mergeCell ref="W4:W5"/>
    <mergeCell ref="X4:X5"/>
    <mergeCell ref="C37:G37"/>
    <mergeCell ref="H37:L37"/>
    <mergeCell ref="M37:Q37"/>
    <mergeCell ref="R37:R38"/>
    <mergeCell ref="S37:S38"/>
    <mergeCell ref="T37:T38"/>
    <mergeCell ref="R4:R5"/>
    <mergeCell ref="V37:V38"/>
    <mergeCell ref="W37:W38"/>
    <mergeCell ref="X37:X38"/>
    <mergeCell ref="A38:B39"/>
    <mergeCell ref="D38:D39"/>
    <mergeCell ref="F38:F39"/>
    <mergeCell ref="G38:G39"/>
    <mergeCell ref="I38:I39"/>
    <mergeCell ref="K38:K39"/>
    <mergeCell ref="L38:L39"/>
    <mergeCell ref="N38:N39"/>
    <mergeCell ref="P38:P39"/>
    <mergeCell ref="Q38:Q39"/>
    <mergeCell ref="U37:U38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1B2F6-7DA7-4FC2-BB0E-DE1632D68CF9}">
  <dimension ref="A1:L144"/>
  <sheetViews>
    <sheetView topLeftCell="A20" workbookViewId="0">
      <selection activeCell="F71" sqref="F71"/>
    </sheetView>
  </sheetViews>
  <sheetFormatPr defaultRowHeight="16.5" x14ac:dyDescent="0.3"/>
  <cols>
    <col min="1" max="1" width="9" style="75"/>
    <col min="2" max="2" width="14.125" style="75" customWidth="1"/>
    <col min="3" max="4" width="9" style="75"/>
    <col min="5" max="5" width="11.75" style="75" customWidth="1"/>
    <col min="6" max="6" width="12.25" style="75" customWidth="1"/>
    <col min="7" max="9" width="9" style="75"/>
    <col min="10" max="10" width="12.5" style="75" customWidth="1"/>
    <col min="11" max="257" width="9" style="75"/>
    <col min="258" max="258" width="14.125" style="75" customWidth="1"/>
    <col min="259" max="260" width="9" style="75"/>
    <col min="261" max="261" width="11.75" style="75" customWidth="1"/>
    <col min="262" max="262" width="12.25" style="75" customWidth="1"/>
    <col min="263" max="265" width="9" style="75"/>
    <col min="266" max="266" width="12.5" style="75" customWidth="1"/>
    <col min="267" max="513" width="9" style="75"/>
    <col min="514" max="514" width="14.125" style="75" customWidth="1"/>
    <col min="515" max="516" width="9" style="75"/>
    <col min="517" max="517" width="11.75" style="75" customWidth="1"/>
    <col min="518" max="518" width="12.25" style="75" customWidth="1"/>
    <col min="519" max="521" width="9" style="75"/>
    <col min="522" max="522" width="12.5" style="75" customWidth="1"/>
    <col min="523" max="769" width="9" style="75"/>
    <col min="770" max="770" width="14.125" style="75" customWidth="1"/>
    <col min="771" max="772" width="9" style="75"/>
    <col min="773" max="773" width="11.75" style="75" customWidth="1"/>
    <col min="774" max="774" width="12.25" style="75" customWidth="1"/>
    <col min="775" max="777" width="9" style="75"/>
    <col min="778" max="778" width="12.5" style="75" customWidth="1"/>
    <col min="779" max="1025" width="9" style="75"/>
    <col min="1026" max="1026" width="14.125" style="75" customWidth="1"/>
    <col min="1027" max="1028" width="9" style="75"/>
    <col min="1029" max="1029" width="11.75" style="75" customWidth="1"/>
    <col min="1030" max="1030" width="12.25" style="75" customWidth="1"/>
    <col min="1031" max="1033" width="9" style="75"/>
    <col min="1034" max="1034" width="12.5" style="75" customWidth="1"/>
    <col min="1035" max="1281" width="9" style="75"/>
    <col min="1282" max="1282" width="14.125" style="75" customWidth="1"/>
    <col min="1283" max="1284" width="9" style="75"/>
    <col min="1285" max="1285" width="11.75" style="75" customWidth="1"/>
    <col min="1286" max="1286" width="12.25" style="75" customWidth="1"/>
    <col min="1287" max="1289" width="9" style="75"/>
    <col min="1290" max="1290" width="12.5" style="75" customWidth="1"/>
    <col min="1291" max="1537" width="9" style="75"/>
    <col min="1538" max="1538" width="14.125" style="75" customWidth="1"/>
    <col min="1539" max="1540" width="9" style="75"/>
    <col min="1541" max="1541" width="11.75" style="75" customWidth="1"/>
    <col min="1542" max="1542" width="12.25" style="75" customWidth="1"/>
    <col min="1543" max="1545" width="9" style="75"/>
    <col min="1546" max="1546" width="12.5" style="75" customWidth="1"/>
    <col min="1547" max="1793" width="9" style="75"/>
    <col min="1794" max="1794" width="14.125" style="75" customWidth="1"/>
    <col min="1795" max="1796" width="9" style="75"/>
    <col min="1797" max="1797" width="11.75" style="75" customWidth="1"/>
    <col min="1798" max="1798" width="12.25" style="75" customWidth="1"/>
    <col min="1799" max="1801" width="9" style="75"/>
    <col min="1802" max="1802" width="12.5" style="75" customWidth="1"/>
    <col min="1803" max="2049" width="9" style="75"/>
    <col min="2050" max="2050" width="14.125" style="75" customWidth="1"/>
    <col min="2051" max="2052" width="9" style="75"/>
    <col min="2053" max="2053" width="11.75" style="75" customWidth="1"/>
    <col min="2054" max="2054" width="12.25" style="75" customWidth="1"/>
    <col min="2055" max="2057" width="9" style="75"/>
    <col min="2058" max="2058" width="12.5" style="75" customWidth="1"/>
    <col min="2059" max="2305" width="9" style="75"/>
    <col min="2306" max="2306" width="14.125" style="75" customWidth="1"/>
    <col min="2307" max="2308" width="9" style="75"/>
    <col min="2309" max="2309" width="11.75" style="75" customWidth="1"/>
    <col min="2310" max="2310" width="12.25" style="75" customWidth="1"/>
    <col min="2311" max="2313" width="9" style="75"/>
    <col min="2314" max="2314" width="12.5" style="75" customWidth="1"/>
    <col min="2315" max="2561" width="9" style="75"/>
    <col min="2562" max="2562" width="14.125" style="75" customWidth="1"/>
    <col min="2563" max="2564" width="9" style="75"/>
    <col min="2565" max="2565" width="11.75" style="75" customWidth="1"/>
    <col min="2566" max="2566" width="12.25" style="75" customWidth="1"/>
    <col min="2567" max="2569" width="9" style="75"/>
    <col min="2570" max="2570" width="12.5" style="75" customWidth="1"/>
    <col min="2571" max="2817" width="9" style="75"/>
    <col min="2818" max="2818" width="14.125" style="75" customWidth="1"/>
    <col min="2819" max="2820" width="9" style="75"/>
    <col min="2821" max="2821" width="11.75" style="75" customWidth="1"/>
    <col min="2822" max="2822" width="12.25" style="75" customWidth="1"/>
    <col min="2823" max="2825" width="9" style="75"/>
    <col min="2826" max="2826" width="12.5" style="75" customWidth="1"/>
    <col min="2827" max="3073" width="9" style="75"/>
    <col min="3074" max="3074" width="14.125" style="75" customWidth="1"/>
    <col min="3075" max="3076" width="9" style="75"/>
    <col min="3077" max="3077" width="11.75" style="75" customWidth="1"/>
    <col min="3078" max="3078" width="12.25" style="75" customWidth="1"/>
    <col min="3079" max="3081" width="9" style="75"/>
    <col min="3082" max="3082" width="12.5" style="75" customWidth="1"/>
    <col min="3083" max="3329" width="9" style="75"/>
    <col min="3330" max="3330" width="14.125" style="75" customWidth="1"/>
    <col min="3331" max="3332" width="9" style="75"/>
    <col min="3333" max="3333" width="11.75" style="75" customWidth="1"/>
    <col min="3334" max="3334" width="12.25" style="75" customWidth="1"/>
    <col min="3335" max="3337" width="9" style="75"/>
    <col min="3338" max="3338" width="12.5" style="75" customWidth="1"/>
    <col min="3339" max="3585" width="9" style="75"/>
    <col min="3586" max="3586" width="14.125" style="75" customWidth="1"/>
    <col min="3587" max="3588" width="9" style="75"/>
    <col min="3589" max="3589" width="11.75" style="75" customWidth="1"/>
    <col min="3590" max="3590" width="12.25" style="75" customWidth="1"/>
    <col min="3591" max="3593" width="9" style="75"/>
    <col min="3594" max="3594" width="12.5" style="75" customWidth="1"/>
    <col min="3595" max="3841" width="9" style="75"/>
    <col min="3842" max="3842" width="14.125" style="75" customWidth="1"/>
    <col min="3843" max="3844" width="9" style="75"/>
    <col min="3845" max="3845" width="11.75" style="75" customWidth="1"/>
    <col min="3846" max="3846" width="12.25" style="75" customWidth="1"/>
    <col min="3847" max="3849" width="9" style="75"/>
    <col min="3850" max="3850" width="12.5" style="75" customWidth="1"/>
    <col min="3851" max="4097" width="9" style="75"/>
    <col min="4098" max="4098" width="14.125" style="75" customWidth="1"/>
    <col min="4099" max="4100" width="9" style="75"/>
    <col min="4101" max="4101" width="11.75" style="75" customWidth="1"/>
    <col min="4102" max="4102" width="12.25" style="75" customWidth="1"/>
    <col min="4103" max="4105" width="9" style="75"/>
    <col min="4106" max="4106" width="12.5" style="75" customWidth="1"/>
    <col min="4107" max="4353" width="9" style="75"/>
    <col min="4354" max="4354" width="14.125" style="75" customWidth="1"/>
    <col min="4355" max="4356" width="9" style="75"/>
    <col min="4357" max="4357" width="11.75" style="75" customWidth="1"/>
    <col min="4358" max="4358" width="12.25" style="75" customWidth="1"/>
    <col min="4359" max="4361" width="9" style="75"/>
    <col min="4362" max="4362" width="12.5" style="75" customWidth="1"/>
    <col min="4363" max="4609" width="9" style="75"/>
    <col min="4610" max="4610" width="14.125" style="75" customWidth="1"/>
    <col min="4611" max="4612" width="9" style="75"/>
    <col min="4613" max="4613" width="11.75" style="75" customWidth="1"/>
    <col min="4614" max="4614" width="12.25" style="75" customWidth="1"/>
    <col min="4615" max="4617" width="9" style="75"/>
    <col min="4618" max="4618" width="12.5" style="75" customWidth="1"/>
    <col min="4619" max="4865" width="9" style="75"/>
    <col min="4866" max="4866" width="14.125" style="75" customWidth="1"/>
    <col min="4867" max="4868" width="9" style="75"/>
    <col min="4869" max="4869" width="11.75" style="75" customWidth="1"/>
    <col min="4870" max="4870" width="12.25" style="75" customWidth="1"/>
    <col min="4871" max="4873" width="9" style="75"/>
    <col min="4874" max="4874" width="12.5" style="75" customWidth="1"/>
    <col min="4875" max="5121" width="9" style="75"/>
    <col min="5122" max="5122" width="14.125" style="75" customWidth="1"/>
    <col min="5123" max="5124" width="9" style="75"/>
    <col min="5125" max="5125" width="11.75" style="75" customWidth="1"/>
    <col min="5126" max="5126" width="12.25" style="75" customWidth="1"/>
    <col min="5127" max="5129" width="9" style="75"/>
    <col min="5130" max="5130" width="12.5" style="75" customWidth="1"/>
    <col min="5131" max="5377" width="9" style="75"/>
    <col min="5378" max="5378" width="14.125" style="75" customWidth="1"/>
    <col min="5379" max="5380" width="9" style="75"/>
    <col min="5381" max="5381" width="11.75" style="75" customWidth="1"/>
    <col min="5382" max="5382" width="12.25" style="75" customWidth="1"/>
    <col min="5383" max="5385" width="9" style="75"/>
    <col min="5386" max="5386" width="12.5" style="75" customWidth="1"/>
    <col min="5387" max="5633" width="9" style="75"/>
    <col min="5634" max="5634" width="14.125" style="75" customWidth="1"/>
    <col min="5635" max="5636" width="9" style="75"/>
    <col min="5637" max="5637" width="11.75" style="75" customWidth="1"/>
    <col min="5638" max="5638" width="12.25" style="75" customWidth="1"/>
    <col min="5639" max="5641" width="9" style="75"/>
    <col min="5642" max="5642" width="12.5" style="75" customWidth="1"/>
    <col min="5643" max="5889" width="9" style="75"/>
    <col min="5890" max="5890" width="14.125" style="75" customWidth="1"/>
    <col min="5891" max="5892" width="9" style="75"/>
    <col min="5893" max="5893" width="11.75" style="75" customWidth="1"/>
    <col min="5894" max="5894" width="12.25" style="75" customWidth="1"/>
    <col min="5895" max="5897" width="9" style="75"/>
    <col min="5898" max="5898" width="12.5" style="75" customWidth="1"/>
    <col min="5899" max="6145" width="9" style="75"/>
    <col min="6146" max="6146" width="14.125" style="75" customWidth="1"/>
    <col min="6147" max="6148" width="9" style="75"/>
    <col min="6149" max="6149" width="11.75" style="75" customWidth="1"/>
    <col min="6150" max="6150" width="12.25" style="75" customWidth="1"/>
    <col min="6151" max="6153" width="9" style="75"/>
    <col min="6154" max="6154" width="12.5" style="75" customWidth="1"/>
    <col min="6155" max="6401" width="9" style="75"/>
    <col min="6402" max="6402" width="14.125" style="75" customWidth="1"/>
    <col min="6403" max="6404" width="9" style="75"/>
    <col min="6405" max="6405" width="11.75" style="75" customWidth="1"/>
    <col min="6406" max="6406" width="12.25" style="75" customWidth="1"/>
    <col min="6407" max="6409" width="9" style="75"/>
    <col min="6410" max="6410" width="12.5" style="75" customWidth="1"/>
    <col min="6411" max="6657" width="9" style="75"/>
    <col min="6658" max="6658" width="14.125" style="75" customWidth="1"/>
    <col min="6659" max="6660" width="9" style="75"/>
    <col min="6661" max="6661" width="11.75" style="75" customWidth="1"/>
    <col min="6662" max="6662" width="12.25" style="75" customWidth="1"/>
    <col min="6663" max="6665" width="9" style="75"/>
    <col min="6666" max="6666" width="12.5" style="75" customWidth="1"/>
    <col min="6667" max="6913" width="9" style="75"/>
    <col min="6914" max="6914" width="14.125" style="75" customWidth="1"/>
    <col min="6915" max="6916" width="9" style="75"/>
    <col min="6917" max="6917" width="11.75" style="75" customWidth="1"/>
    <col min="6918" max="6918" width="12.25" style="75" customWidth="1"/>
    <col min="6919" max="6921" width="9" style="75"/>
    <col min="6922" max="6922" width="12.5" style="75" customWidth="1"/>
    <col min="6923" max="7169" width="9" style="75"/>
    <col min="7170" max="7170" width="14.125" style="75" customWidth="1"/>
    <col min="7171" max="7172" width="9" style="75"/>
    <col min="7173" max="7173" width="11.75" style="75" customWidth="1"/>
    <col min="7174" max="7174" width="12.25" style="75" customWidth="1"/>
    <col min="7175" max="7177" width="9" style="75"/>
    <col min="7178" max="7178" width="12.5" style="75" customWidth="1"/>
    <col min="7179" max="7425" width="9" style="75"/>
    <col min="7426" max="7426" width="14.125" style="75" customWidth="1"/>
    <col min="7427" max="7428" width="9" style="75"/>
    <col min="7429" max="7429" width="11.75" style="75" customWidth="1"/>
    <col min="7430" max="7430" width="12.25" style="75" customWidth="1"/>
    <col min="7431" max="7433" width="9" style="75"/>
    <col min="7434" max="7434" width="12.5" style="75" customWidth="1"/>
    <col min="7435" max="7681" width="9" style="75"/>
    <col min="7682" max="7682" width="14.125" style="75" customWidth="1"/>
    <col min="7683" max="7684" width="9" style="75"/>
    <col min="7685" max="7685" width="11.75" style="75" customWidth="1"/>
    <col min="7686" max="7686" width="12.25" style="75" customWidth="1"/>
    <col min="7687" max="7689" width="9" style="75"/>
    <col min="7690" max="7690" width="12.5" style="75" customWidth="1"/>
    <col min="7691" max="7937" width="9" style="75"/>
    <col min="7938" max="7938" width="14.125" style="75" customWidth="1"/>
    <col min="7939" max="7940" width="9" style="75"/>
    <col min="7941" max="7941" width="11.75" style="75" customWidth="1"/>
    <col min="7942" max="7942" width="12.25" style="75" customWidth="1"/>
    <col min="7943" max="7945" width="9" style="75"/>
    <col min="7946" max="7946" width="12.5" style="75" customWidth="1"/>
    <col min="7947" max="8193" width="9" style="75"/>
    <col min="8194" max="8194" width="14.125" style="75" customWidth="1"/>
    <col min="8195" max="8196" width="9" style="75"/>
    <col min="8197" max="8197" width="11.75" style="75" customWidth="1"/>
    <col min="8198" max="8198" width="12.25" style="75" customWidth="1"/>
    <col min="8199" max="8201" width="9" style="75"/>
    <col min="8202" max="8202" width="12.5" style="75" customWidth="1"/>
    <col min="8203" max="8449" width="9" style="75"/>
    <col min="8450" max="8450" width="14.125" style="75" customWidth="1"/>
    <col min="8451" max="8452" width="9" style="75"/>
    <col min="8453" max="8453" width="11.75" style="75" customWidth="1"/>
    <col min="8454" max="8454" width="12.25" style="75" customWidth="1"/>
    <col min="8455" max="8457" width="9" style="75"/>
    <col min="8458" max="8458" width="12.5" style="75" customWidth="1"/>
    <col min="8459" max="8705" width="9" style="75"/>
    <col min="8706" max="8706" width="14.125" style="75" customWidth="1"/>
    <col min="8707" max="8708" width="9" style="75"/>
    <col min="8709" max="8709" width="11.75" style="75" customWidth="1"/>
    <col min="8710" max="8710" width="12.25" style="75" customWidth="1"/>
    <col min="8711" max="8713" width="9" style="75"/>
    <col min="8714" max="8714" width="12.5" style="75" customWidth="1"/>
    <col min="8715" max="8961" width="9" style="75"/>
    <col min="8962" max="8962" width="14.125" style="75" customWidth="1"/>
    <col min="8963" max="8964" width="9" style="75"/>
    <col min="8965" max="8965" width="11.75" style="75" customWidth="1"/>
    <col min="8966" max="8966" width="12.25" style="75" customWidth="1"/>
    <col min="8967" max="8969" width="9" style="75"/>
    <col min="8970" max="8970" width="12.5" style="75" customWidth="1"/>
    <col min="8971" max="9217" width="9" style="75"/>
    <col min="9218" max="9218" width="14.125" style="75" customWidth="1"/>
    <col min="9219" max="9220" width="9" style="75"/>
    <col min="9221" max="9221" width="11.75" style="75" customWidth="1"/>
    <col min="9222" max="9222" width="12.25" style="75" customWidth="1"/>
    <col min="9223" max="9225" width="9" style="75"/>
    <col min="9226" max="9226" width="12.5" style="75" customWidth="1"/>
    <col min="9227" max="9473" width="9" style="75"/>
    <col min="9474" max="9474" width="14.125" style="75" customWidth="1"/>
    <col min="9475" max="9476" width="9" style="75"/>
    <col min="9477" max="9477" width="11.75" style="75" customWidth="1"/>
    <col min="9478" max="9478" width="12.25" style="75" customWidth="1"/>
    <col min="9479" max="9481" width="9" style="75"/>
    <col min="9482" max="9482" width="12.5" style="75" customWidth="1"/>
    <col min="9483" max="9729" width="9" style="75"/>
    <col min="9730" max="9730" width="14.125" style="75" customWidth="1"/>
    <col min="9731" max="9732" width="9" style="75"/>
    <col min="9733" max="9733" width="11.75" style="75" customWidth="1"/>
    <col min="9734" max="9734" width="12.25" style="75" customWidth="1"/>
    <col min="9735" max="9737" width="9" style="75"/>
    <col min="9738" max="9738" width="12.5" style="75" customWidth="1"/>
    <col min="9739" max="9985" width="9" style="75"/>
    <col min="9986" max="9986" width="14.125" style="75" customWidth="1"/>
    <col min="9987" max="9988" width="9" style="75"/>
    <col min="9989" max="9989" width="11.75" style="75" customWidth="1"/>
    <col min="9990" max="9990" width="12.25" style="75" customWidth="1"/>
    <col min="9991" max="9993" width="9" style="75"/>
    <col min="9994" max="9994" width="12.5" style="75" customWidth="1"/>
    <col min="9995" max="10241" width="9" style="75"/>
    <col min="10242" max="10242" width="14.125" style="75" customWidth="1"/>
    <col min="10243" max="10244" width="9" style="75"/>
    <col min="10245" max="10245" width="11.75" style="75" customWidth="1"/>
    <col min="10246" max="10246" width="12.25" style="75" customWidth="1"/>
    <col min="10247" max="10249" width="9" style="75"/>
    <col min="10250" max="10250" width="12.5" style="75" customWidth="1"/>
    <col min="10251" max="10497" width="9" style="75"/>
    <col min="10498" max="10498" width="14.125" style="75" customWidth="1"/>
    <col min="10499" max="10500" width="9" style="75"/>
    <col min="10501" max="10501" width="11.75" style="75" customWidth="1"/>
    <col min="10502" max="10502" width="12.25" style="75" customWidth="1"/>
    <col min="10503" max="10505" width="9" style="75"/>
    <col min="10506" max="10506" width="12.5" style="75" customWidth="1"/>
    <col min="10507" max="10753" width="9" style="75"/>
    <col min="10754" max="10754" width="14.125" style="75" customWidth="1"/>
    <col min="10755" max="10756" width="9" style="75"/>
    <col min="10757" max="10757" width="11.75" style="75" customWidth="1"/>
    <col min="10758" max="10758" width="12.25" style="75" customWidth="1"/>
    <col min="10759" max="10761" width="9" style="75"/>
    <col min="10762" max="10762" width="12.5" style="75" customWidth="1"/>
    <col min="10763" max="11009" width="9" style="75"/>
    <col min="11010" max="11010" width="14.125" style="75" customWidth="1"/>
    <col min="11011" max="11012" width="9" style="75"/>
    <col min="11013" max="11013" width="11.75" style="75" customWidth="1"/>
    <col min="11014" max="11014" width="12.25" style="75" customWidth="1"/>
    <col min="11015" max="11017" width="9" style="75"/>
    <col min="11018" max="11018" width="12.5" style="75" customWidth="1"/>
    <col min="11019" max="11265" width="9" style="75"/>
    <col min="11266" max="11266" width="14.125" style="75" customWidth="1"/>
    <col min="11267" max="11268" width="9" style="75"/>
    <col min="11269" max="11269" width="11.75" style="75" customWidth="1"/>
    <col min="11270" max="11270" width="12.25" style="75" customWidth="1"/>
    <col min="11271" max="11273" width="9" style="75"/>
    <col min="11274" max="11274" width="12.5" style="75" customWidth="1"/>
    <col min="11275" max="11521" width="9" style="75"/>
    <col min="11522" max="11522" width="14.125" style="75" customWidth="1"/>
    <col min="11523" max="11524" width="9" style="75"/>
    <col min="11525" max="11525" width="11.75" style="75" customWidth="1"/>
    <col min="11526" max="11526" width="12.25" style="75" customWidth="1"/>
    <col min="11527" max="11529" width="9" style="75"/>
    <col min="11530" max="11530" width="12.5" style="75" customWidth="1"/>
    <col min="11531" max="11777" width="9" style="75"/>
    <col min="11778" max="11778" width="14.125" style="75" customWidth="1"/>
    <col min="11779" max="11780" width="9" style="75"/>
    <col min="11781" max="11781" width="11.75" style="75" customWidth="1"/>
    <col min="11782" max="11782" width="12.25" style="75" customWidth="1"/>
    <col min="11783" max="11785" width="9" style="75"/>
    <col min="11786" max="11786" width="12.5" style="75" customWidth="1"/>
    <col min="11787" max="12033" width="9" style="75"/>
    <col min="12034" max="12034" width="14.125" style="75" customWidth="1"/>
    <col min="12035" max="12036" width="9" style="75"/>
    <col min="12037" max="12037" width="11.75" style="75" customWidth="1"/>
    <col min="12038" max="12038" width="12.25" style="75" customWidth="1"/>
    <col min="12039" max="12041" width="9" style="75"/>
    <col min="12042" max="12042" width="12.5" style="75" customWidth="1"/>
    <col min="12043" max="12289" width="9" style="75"/>
    <col min="12290" max="12290" width="14.125" style="75" customWidth="1"/>
    <col min="12291" max="12292" width="9" style="75"/>
    <col min="12293" max="12293" width="11.75" style="75" customWidth="1"/>
    <col min="12294" max="12294" width="12.25" style="75" customWidth="1"/>
    <col min="12295" max="12297" width="9" style="75"/>
    <col min="12298" max="12298" width="12.5" style="75" customWidth="1"/>
    <col min="12299" max="12545" width="9" style="75"/>
    <col min="12546" max="12546" width="14.125" style="75" customWidth="1"/>
    <col min="12547" max="12548" width="9" style="75"/>
    <col min="12549" max="12549" width="11.75" style="75" customWidth="1"/>
    <col min="12550" max="12550" width="12.25" style="75" customWidth="1"/>
    <col min="12551" max="12553" width="9" style="75"/>
    <col min="12554" max="12554" width="12.5" style="75" customWidth="1"/>
    <col min="12555" max="12801" width="9" style="75"/>
    <col min="12802" max="12802" width="14.125" style="75" customWidth="1"/>
    <col min="12803" max="12804" width="9" style="75"/>
    <col min="12805" max="12805" width="11.75" style="75" customWidth="1"/>
    <col min="12806" max="12806" width="12.25" style="75" customWidth="1"/>
    <col min="12807" max="12809" width="9" style="75"/>
    <col min="12810" max="12810" width="12.5" style="75" customWidth="1"/>
    <col min="12811" max="13057" width="9" style="75"/>
    <col min="13058" max="13058" width="14.125" style="75" customWidth="1"/>
    <col min="13059" max="13060" width="9" style="75"/>
    <col min="13061" max="13061" width="11.75" style="75" customWidth="1"/>
    <col min="13062" max="13062" width="12.25" style="75" customWidth="1"/>
    <col min="13063" max="13065" width="9" style="75"/>
    <col min="13066" max="13066" width="12.5" style="75" customWidth="1"/>
    <col min="13067" max="13313" width="9" style="75"/>
    <col min="13314" max="13314" width="14.125" style="75" customWidth="1"/>
    <col min="13315" max="13316" width="9" style="75"/>
    <col min="13317" max="13317" width="11.75" style="75" customWidth="1"/>
    <col min="13318" max="13318" width="12.25" style="75" customWidth="1"/>
    <col min="13319" max="13321" width="9" style="75"/>
    <col min="13322" max="13322" width="12.5" style="75" customWidth="1"/>
    <col min="13323" max="13569" width="9" style="75"/>
    <col min="13570" max="13570" width="14.125" style="75" customWidth="1"/>
    <col min="13571" max="13572" width="9" style="75"/>
    <col min="13573" max="13573" width="11.75" style="75" customWidth="1"/>
    <col min="13574" max="13574" width="12.25" style="75" customWidth="1"/>
    <col min="13575" max="13577" width="9" style="75"/>
    <col min="13578" max="13578" width="12.5" style="75" customWidth="1"/>
    <col min="13579" max="13825" width="9" style="75"/>
    <col min="13826" max="13826" width="14.125" style="75" customWidth="1"/>
    <col min="13827" max="13828" width="9" style="75"/>
    <col min="13829" max="13829" width="11.75" style="75" customWidth="1"/>
    <col min="13830" max="13830" width="12.25" style="75" customWidth="1"/>
    <col min="13831" max="13833" width="9" style="75"/>
    <col min="13834" max="13834" width="12.5" style="75" customWidth="1"/>
    <col min="13835" max="14081" width="9" style="75"/>
    <col min="14082" max="14082" width="14.125" style="75" customWidth="1"/>
    <col min="14083" max="14084" width="9" style="75"/>
    <col min="14085" max="14085" width="11.75" style="75" customWidth="1"/>
    <col min="14086" max="14086" width="12.25" style="75" customWidth="1"/>
    <col min="14087" max="14089" width="9" style="75"/>
    <col min="14090" max="14090" width="12.5" style="75" customWidth="1"/>
    <col min="14091" max="14337" width="9" style="75"/>
    <col min="14338" max="14338" width="14.125" style="75" customWidth="1"/>
    <col min="14339" max="14340" width="9" style="75"/>
    <col min="14341" max="14341" width="11.75" style="75" customWidth="1"/>
    <col min="14342" max="14342" width="12.25" style="75" customWidth="1"/>
    <col min="14343" max="14345" width="9" style="75"/>
    <col min="14346" max="14346" width="12.5" style="75" customWidth="1"/>
    <col min="14347" max="14593" width="9" style="75"/>
    <col min="14594" max="14594" width="14.125" style="75" customWidth="1"/>
    <col min="14595" max="14596" width="9" style="75"/>
    <col min="14597" max="14597" width="11.75" style="75" customWidth="1"/>
    <col min="14598" max="14598" width="12.25" style="75" customWidth="1"/>
    <col min="14599" max="14601" width="9" style="75"/>
    <col min="14602" max="14602" width="12.5" style="75" customWidth="1"/>
    <col min="14603" max="14849" width="9" style="75"/>
    <col min="14850" max="14850" width="14.125" style="75" customWidth="1"/>
    <col min="14851" max="14852" width="9" style="75"/>
    <col min="14853" max="14853" width="11.75" style="75" customWidth="1"/>
    <col min="14854" max="14854" width="12.25" style="75" customWidth="1"/>
    <col min="14855" max="14857" width="9" style="75"/>
    <col min="14858" max="14858" width="12.5" style="75" customWidth="1"/>
    <col min="14859" max="15105" width="9" style="75"/>
    <col min="15106" max="15106" width="14.125" style="75" customWidth="1"/>
    <col min="15107" max="15108" width="9" style="75"/>
    <col min="15109" max="15109" width="11.75" style="75" customWidth="1"/>
    <col min="15110" max="15110" width="12.25" style="75" customWidth="1"/>
    <col min="15111" max="15113" width="9" style="75"/>
    <col min="15114" max="15114" width="12.5" style="75" customWidth="1"/>
    <col min="15115" max="15361" width="9" style="75"/>
    <col min="15362" max="15362" width="14.125" style="75" customWidth="1"/>
    <col min="15363" max="15364" width="9" style="75"/>
    <col min="15365" max="15365" width="11.75" style="75" customWidth="1"/>
    <col min="15366" max="15366" width="12.25" style="75" customWidth="1"/>
    <col min="15367" max="15369" width="9" style="75"/>
    <col min="15370" max="15370" width="12.5" style="75" customWidth="1"/>
    <col min="15371" max="15617" width="9" style="75"/>
    <col min="15618" max="15618" width="14.125" style="75" customWidth="1"/>
    <col min="15619" max="15620" width="9" style="75"/>
    <col min="15621" max="15621" width="11.75" style="75" customWidth="1"/>
    <col min="15622" max="15622" width="12.25" style="75" customWidth="1"/>
    <col min="15623" max="15625" width="9" style="75"/>
    <col min="15626" max="15626" width="12.5" style="75" customWidth="1"/>
    <col min="15627" max="15873" width="9" style="75"/>
    <col min="15874" max="15874" width="14.125" style="75" customWidth="1"/>
    <col min="15875" max="15876" width="9" style="75"/>
    <col min="15877" max="15877" width="11.75" style="75" customWidth="1"/>
    <col min="15878" max="15878" width="12.25" style="75" customWidth="1"/>
    <col min="15879" max="15881" width="9" style="75"/>
    <col min="15882" max="15882" width="12.5" style="75" customWidth="1"/>
    <col min="15883" max="16129" width="9" style="75"/>
    <col min="16130" max="16130" width="14.125" style="75" customWidth="1"/>
    <col min="16131" max="16132" width="9" style="75"/>
    <col min="16133" max="16133" width="11.75" style="75" customWidth="1"/>
    <col min="16134" max="16134" width="12.25" style="75" customWidth="1"/>
    <col min="16135" max="16137" width="9" style="75"/>
    <col min="16138" max="16138" width="12.5" style="75" customWidth="1"/>
    <col min="16139" max="16384" width="9" style="75"/>
  </cols>
  <sheetData>
    <row r="1" spans="1:10" x14ac:dyDescent="0.3">
      <c r="A1" s="474" t="str">
        <f>'[1]1월매출및재고수불'!A1:B1</f>
        <v>내유동</v>
      </c>
      <c r="B1" s="474"/>
      <c r="C1" s="475" t="s">
        <v>136</v>
      </c>
      <c r="D1" s="475"/>
      <c r="I1" s="476" t="s">
        <v>171</v>
      </c>
      <c r="J1" s="476"/>
    </row>
    <row r="4" spans="1:10" x14ac:dyDescent="0.3">
      <c r="D4" s="477" t="s">
        <v>139</v>
      </c>
      <c r="E4" s="477"/>
      <c r="F4" s="477"/>
      <c r="G4" s="477"/>
      <c r="H4" s="477"/>
      <c r="I4" s="477"/>
      <c r="J4" s="477"/>
    </row>
    <row r="5" spans="1:10" x14ac:dyDescent="0.3">
      <c r="A5" s="74" t="s">
        <v>140</v>
      </c>
      <c r="C5" s="38" t="s">
        <v>141</v>
      </c>
      <c r="D5" s="38"/>
      <c r="E5" s="38"/>
      <c r="F5" s="38" t="s">
        <v>141</v>
      </c>
      <c r="G5" s="132" t="s">
        <v>141</v>
      </c>
      <c r="H5" s="132" t="s">
        <v>141</v>
      </c>
      <c r="I5" s="132" t="s">
        <v>141</v>
      </c>
      <c r="J5" s="38" t="s">
        <v>142</v>
      </c>
    </row>
    <row r="6" spans="1:10" ht="17.25" thickBot="1" x14ac:dyDescent="0.35">
      <c r="A6" s="328" t="s">
        <v>143</v>
      </c>
      <c r="B6" s="334">
        <f>576710078/1.1</f>
        <v>524281889.09090906</v>
      </c>
      <c r="C6" s="38"/>
      <c r="D6" s="478" t="s">
        <v>144</v>
      </c>
      <c r="E6" s="478"/>
      <c r="F6" s="478"/>
      <c r="G6" s="335" t="s">
        <v>141</v>
      </c>
      <c r="H6" s="478" t="s">
        <v>145</v>
      </c>
      <c r="I6" s="478"/>
      <c r="J6" s="478"/>
    </row>
    <row r="7" spans="1:10" ht="18" thickTop="1" thickBot="1" x14ac:dyDescent="0.35">
      <c r="A7" s="328" t="s">
        <v>146</v>
      </c>
      <c r="B7" s="336">
        <f>B6/31</f>
        <v>16912319.002932552</v>
      </c>
      <c r="C7" s="38"/>
      <c r="D7" s="337">
        <f>F107</f>
        <v>0</v>
      </c>
      <c r="E7" s="132" t="s">
        <v>141</v>
      </c>
      <c r="F7" s="132" t="s">
        <v>141</v>
      </c>
      <c r="G7" s="38"/>
      <c r="H7" s="337">
        <f>F110</f>
        <v>7012</v>
      </c>
      <c r="I7" s="132" t="s">
        <v>141</v>
      </c>
      <c r="J7" s="132" t="s">
        <v>141</v>
      </c>
    </row>
    <row r="8" spans="1:10" ht="17.25" thickTop="1" x14ac:dyDescent="0.3">
      <c r="A8" s="192"/>
      <c r="B8" s="338"/>
      <c r="C8" s="38"/>
      <c r="D8" s="339" t="s">
        <v>147</v>
      </c>
      <c r="E8" s="300" t="s">
        <v>148</v>
      </c>
      <c r="F8" s="300" t="s">
        <v>149</v>
      </c>
      <c r="G8" s="38"/>
      <c r="H8" s="339" t="s">
        <v>147</v>
      </c>
      <c r="I8" s="300" t="s">
        <v>148</v>
      </c>
      <c r="J8" s="300" t="s">
        <v>149</v>
      </c>
    </row>
    <row r="9" spans="1:10" x14ac:dyDescent="0.3">
      <c r="A9" s="340" t="s">
        <v>150</v>
      </c>
      <c r="B9" s="340" t="s">
        <v>141</v>
      </c>
      <c r="C9" s="38"/>
      <c r="D9" s="329"/>
      <c r="E9" s="341"/>
      <c r="F9" s="342">
        <f>D9*E9</f>
        <v>0</v>
      </c>
      <c r="G9" s="38"/>
      <c r="H9" s="329">
        <v>7012</v>
      </c>
      <c r="I9" s="343">
        <v>782</v>
      </c>
      <c r="J9" s="342">
        <f>H9*I9</f>
        <v>5483384</v>
      </c>
    </row>
    <row r="10" spans="1:10" x14ac:dyDescent="0.3">
      <c r="A10" s="330" t="s">
        <v>13</v>
      </c>
      <c r="B10" s="344">
        <f>D7</f>
        <v>0</v>
      </c>
      <c r="C10" s="38"/>
      <c r="D10" s="345"/>
      <c r="E10" s="346"/>
      <c r="F10" s="347">
        <f>D10*E10</f>
        <v>0</v>
      </c>
      <c r="G10" s="38"/>
      <c r="H10" s="345">
        <v>0</v>
      </c>
      <c r="I10" s="348">
        <v>0</v>
      </c>
      <c r="J10" s="347">
        <f>H10*I10</f>
        <v>0</v>
      </c>
    </row>
    <row r="11" spans="1:10" ht="17.25" thickBot="1" x14ac:dyDescent="0.35">
      <c r="A11" s="328" t="s">
        <v>100</v>
      </c>
      <c r="B11" s="349">
        <f>D16</f>
        <v>100133</v>
      </c>
      <c r="C11" s="38"/>
      <c r="D11" s="350">
        <v>0</v>
      </c>
      <c r="E11" s="351">
        <v>0</v>
      </c>
      <c r="F11" s="352">
        <f>D11*E11</f>
        <v>0</v>
      </c>
      <c r="G11" s="38"/>
      <c r="H11" s="350">
        <v>0</v>
      </c>
      <c r="I11" s="351">
        <v>0</v>
      </c>
      <c r="J11" s="352">
        <f>H11*I11</f>
        <v>0</v>
      </c>
    </row>
    <row r="12" spans="1:10" ht="17.25" thickBot="1" x14ac:dyDescent="0.35">
      <c r="A12" s="328" t="s">
        <v>22</v>
      </c>
      <c r="B12" s="349">
        <f>H16</f>
        <v>322596</v>
      </c>
      <c r="C12" s="38"/>
      <c r="D12" s="210">
        <f>SUM(D9:D11)</f>
        <v>0</v>
      </c>
      <c r="E12" s="211"/>
      <c r="F12" s="212">
        <f>SUM(F9:F11)</f>
        <v>0</v>
      </c>
      <c r="H12" s="210">
        <f>SUM(H9:H11)</f>
        <v>7012</v>
      </c>
      <c r="I12" s="211"/>
      <c r="J12" s="212">
        <f>SUM(J9:J11)</f>
        <v>5483384</v>
      </c>
    </row>
    <row r="13" spans="1:10" x14ac:dyDescent="0.3">
      <c r="A13" s="213" t="s">
        <v>25</v>
      </c>
      <c r="B13" s="353">
        <f>H7</f>
        <v>7012</v>
      </c>
      <c r="C13" s="38"/>
    </row>
    <row r="14" spans="1:10" x14ac:dyDescent="0.3">
      <c r="A14" s="328" t="s">
        <v>151</v>
      </c>
      <c r="B14" s="349">
        <f>SUM(B10:B13)</f>
        <v>429741</v>
      </c>
      <c r="C14" s="38"/>
    </row>
    <row r="15" spans="1:10" ht="17.25" thickBot="1" x14ac:dyDescent="0.35">
      <c r="A15" s="192"/>
      <c r="B15" s="338"/>
      <c r="C15" s="38"/>
      <c r="D15" s="132" t="s">
        <v>152</v>
      </c>
      <c r="E15" s="38" t="s">
        <v>141</v>
      </c>
      <c r="F15" s="38"/>
      <c r="G15" s="38"/>
      <c r="H15" s="132" t="s">
        <v>153</v>
      </c>
      <c r="I15" s="38" t="s">
        <v>141</v>
      </c>
      <c r="J15" s="38"/>
    </row>
    <row r="16" spans="1:10" ht="18" thickTop="1" thickBot="1" x14ac:dyDescent="0.35">
      <c r="A16" s="328" t="s">
        <v>154</v>
      </c>
      <c r="B16" s="349">
        <f>(F12+J12+F36+J36)/1.1</f>
        <v>486712306.63636363</v>
      </c>
      <c r="C16" s="38"/>
      <c r="D16" s="354">
        <f>F108</f>
        <v>100133</v>
      </c>
      <c r="E16" s="132" t="s">
        <v>141</v>
      </c>
      <c r="F16" s="132" t="s">
        <v>141</v>
      </c>
      <c r="G16" s="38"/>
      <c r="H16" s="337">
        <f>F109</f>
        <v>322596</v>
      </c>
      <c r="I16" s="132" t="s">
        <v>141</v>
      </c>
      <c r="J16" s="132" t="s">
        <v>141</v>
      </c>
    </row>
    <row r="17" spans="1:10" ht="17.25" thickTop="1" x14ac:dyDescent="0.3">
      <c r="A17" s="328" t="s">
        <v>13</v>
      </c>
      <c r="B17" s="349">
        <f>F12/1.1</f>
        <v>0</v>
      </c>
      <c r="C17" s="38"/>
      <c r="D17" s="355" t="s">
        <v>147</v>
      </c>
      <c r="E17" s="300" t="s">
        <v>148</v>
      </c>
      <c r="F17" s="300" t="s">
        <v>149</v>
      </c>
      <c r="G17" s="38"/>
      <c r="H17" s="339" t="s">
        <v>147</v>
      </c>
      <c r="I17" s="300" t="s">
        <v>148</v>
      </c>
      <c r="J17" s="300" t="s">
        <v>149</v>
      </c>
    </row>
    <row r="18" spans="1:10" x14ac:dyDescent="0.3">
      <c r="A18" s="328" t="s">
        <v>100</v>
      </c>
      <c r="B18" s="349">
        <f>F36/1.1</f>
        <v>123707813.90909091</v>
      </c>
      <c r="C18" s="38"/>
      <c r="D18" s="356">
        <v>16585</v>
      </c>
      <c r="E18" s="357">
        <v>1344.1</v>
      </c>
      <c r="F18" s="356">
        <f t="shared" ref="F18:F35" si="0">D18*E18</f>
        <v>22291898.5</v>
      </c>
      <c r="G18" s="38"/>
      <c r="H18" s="356">
        <v>7530</v>
      </c>
      <c r="I18" s="358">
        <v>1201.5999999999999</v>
      </c>
      <c r="J18" s="359">
        <f>H18*I18</f>
        <v>9048048</v>
      </c>
    </row>
    <row r="19" spans="1:10" x14ac:dyDescent="0.3">
      <c r="A19" s="328" t="s">
        <v>22</v>
      </c>
      <c r="B19" s="349">
        <f>J36/1.1</f>
        <v>358019598.18181813</v>
      </c>
      <c r="C19" s="38"/>
      <c r="D19" s="345">
        <v>30000</v>
      </c>
      <c r="E19" s="357">
        <v>1349.8</v>
      </c>
      <c r="F19" s="345">
        <f t="shared" si="0"/>
        <v>40494000</v>
      </c>
      <c r="G19" s="38"/>
      <c r="H19" s="345">
        <v>20000</v>
      </c>
      <c r="I19" s="358">
        <v>1201.5999999999999</v>
      </c>
      <c r="J19" s="347">
        <f t="shared" ref="J19:J35" si="1">H19*I19</f>
        <v>24032000</v>
      </c>
    </row>
    <row r="20" spans="1:10" x14ac:dyDescent="0.3">
      <c r="A20" s="328" t="s">
        <v>25</v>
      </c>
      <c r="B20" s="349">
        <f>J12/1.1</f>
        <v>4984894.5454545449</v>
      </c>
      <c r="C20" s="38"/>
      <c r="D20" s="345">
        <v>20000</v>
      </c>
      <c r="E20" s="357">
        <v>1372.3</v>
      </c>
      <c r="F20" s="345">
        <f t="shared" si="0"/>
        <v>27446000</v>
      </c>
      <c r="G20" s="38"/>
      <c r="H20" s="345">
        <v>20000</v>
      </c>
      <c r="I20" s="358">
        <v>1207.3</v>
      </c>
      <c r="J20" s="347">
        <f t="shared" si="1"/>
        <v>24146000</v>
      </c>
    </row>
    <row r="21" spans="1:10" x14ac:dyDescent="0.3">
      <c r="A21" s="328" t="s">
        <v>141</v>
      </c>
      <c r="B21" s="349"/>
      <c r="C21" s="38"/>
      <c r="D21" s="360">
        <v>20000</v>
      </c>
      <c r="E21" s="357">
        <v>1366.6</v>
      </c>
      <c r="F21" s="345">
        <f t="shared" si="0"/>
        <v>27332000</v>
      </c>
      <c r="G21" s="38"/>
      <c r="H21" s="360">
        <v>20000</v>
      </c>
      <c r="I21" s="358">
        <v>1207.3</v>
      </c>
      <c r="J21" s="347">
        <f t="shared" si="1"/>
        <v>24146000</v>
      </c>
    </row>
    <row r="22" spans="1:10" x14ac:dyDescent="0.3">
      <c r="A22" s="331" t="s">
        <v>155</v>
      </c>
      <c r="B22" s="361">
        <f>B6-B16</f>
        <v>37569582.454545438</v>
      </c>
      <c r="C22" s="38"/>
      <c r="D22" s="360">
        <v>13548</v>
      </c>
      <c r="E22" s="362">
        <v>1366.6</v>
      </c>
      <c r="F22" s="345">
        <f t="shared" si="0"/>
        <v>18514696.799999997</v>
      </c>
      <c r="G22" s="38"/>
      <c r="H22" s="345">
        <v>30000</v>
      </c>
      <c r="I22" s="357">
        <v>1201.5999999999999</v>
      </c>
      <c r="J22" s="347">
        <f t="shared" si="1"/>
        <v>36048000</v>
      </c>
    </row>
    <row r="23" spans="1:10" x14ac:dyDescent="0.3">
      <c r="A23" s="328" t="s">
        <v>156</v>
      </c>
      <c r="B23" s="355">
        <f>B22/B14</f>
        <v>87.423779566169941</v>
      </c>
      <c r="C23" s="38"/>
      <c r="D23" s="360"/>
      <c r="E23" s="362"/>
      <c r="F23" s="345">
        <f t="shared" si="0"/>
        <v>0</v>
      </c>
      <c r="G23" s="38"/>
      <c r="H23" s="345">
        <v>20000</v>
      </c>
      <c r="I23" s="357">
        <v>1222.3</v>
      </c>
      <c r="J23" s="347">
        <f t="shared" si="1"/>
        <v>24446000</v>
      </c>
    </row>
    <row r="24" spans="1:10" x14ac:dyDescent="0.3">
      <c r="A24" s="38"/>
      <c r="B24" s="363"/>
      <c r="C24" s="38"/>
      <c r="D24" s="360"/>
      <c r="E24" s="362"/>
      <c r="F24" s="345">
        <f t="shared" si="0"/>
        <v>0</v>
      </c>
      <c r="G24" s="38"/>
      <c r="H24" s="345">
        <v>30000</v>
      </c>
      <c r="I24" s="357">
        <v>1222.3</v>
      </c>
      <c r="J24" s="347">
        <f t="shared" si="1"/>
        <v>36669000</v>
      </c>
    </row>
    <row r="25" spans="1:10" x14ac:dyDescent="0.3">
      <c r="A25" s="38"/>
      <c r="B25" s="363"/>
      <c r="C25" s="38"/>
      <c r="D25" s="360"/>
      <c r="E25" s="362"/>
      <c r="F25" s="345">
        <f t="shared" si="0"/>
        <v>0</v>
      </c>
      <c r="G25" s="38"/>
      <c r="H25" s="345">
        <v>20000</v>
      </c>
      <c r="I25" s="357">
        <v>1216.5999999999999</v>
      </c>
      <c r="J25" s="347">
        <f t="shared" si="1"/>
        <v>24332000</v>
      </c>
    </row>
    <row r="26" spans="1:10" x14ac:dyDescent="0.3">
      <c r="A26" s="38"/>
      <c r="B26" s="363"/>
      <c r="C26" s="38"/>
      <c r="D26" s="360"/>
      <c r="E26" s="362"/>
      <c r="F26" s="345">
        <f t="shared" si="0"/>
        <v>0</v>
      </c>
      <c r="G26" s="38"/>
      <c r="H26" s="345">
        <v>30000</v>
      </c>
      <c r="I26" s="357">
        <v>1216.5999999999999</v>
      </c>
      <c r="J26" s="347">
        <f t="shared" si="1"/>
        <v>36498000</v>
      </c>
    </row>
    <row r="27" spans="1:10" x14ac:dyDescent="0.3">
      <c r="A27" s="38"/>
      <c r="B27" s="363"/>
      <c r="C27" s="38"/>
      <c r="D27" s="360"/>
      <c r="E27" s="362"/>
      <c r="F27" s="345">
        <f t="shared" si="0"/>
        <v>0</v>
      </c>
      <c r="G27" s="38"/>
      <c r="H27" s="364">
        <v>20000</v>
      </c>
      <c r="I27" s="365">
        <v>1235</v>
      </c>
      <c r="J27" s="347">
        <f t="shared" si="1"/>
        <v>24700000</v>
      </c>
    </row>
    <row r="28" spans="1:10" x14ac:dyDescent="0.3">
      <c r="A28" s="38"/>
      <c r="B28" s="363"/>
      <c r="C28" s="38"/>
      <c r="D28" s="366"/>
      <c r="E28" s="365"/>
      <c r="F28" s="364">
        <f t="shared" si="0"/>
        <v>0</v>
      </c>
      <c r="G28" s="38"/>
      <c r="H28" s="364">
        <v>30000</v>
      </c>
      <c r="I28" s="365">
        <v>1235</v>
      </c>
      <c r="J28" s="367">
        <f t="shared" si="1"/>
        <v>37050000</v>
      </c>
    </row>
    <row r="29" spans="1:10" x14ac:dyDescent="0.3">
      <c r="A29" s="38"/>
      <c r="B29" s="363"/>
      <c r="C29" s="38"/>
      <c r="D29" s="360"/>
      <c r="E29" s="362"/>
      <c r="F29" s="364">
        <f t="shared" si="0"/>
        <v>0</v>
      </c>
      <c r="G29" s="38"/>
      <c r="H29" s="345">
        <v>30000</v>
      </c>
      <c r="I29" s="365">
        <v>1235</v>
      </c>
      <c r="J29" s="367">
        <f t="shared" si="1"/>
        <v>37050000</v>
      </c>
    </row>
    <row r="30" spans="1:10" x14ac:dyDescent="0.3">
      <c r="A30" s="38"/>
      <c r="B30" s="363"/>
      <c r="C30" s="38"/>
      <c r="D30" s="360"/>
      <c r="E30" s="362"/>
      <c r="F30" s="364"/>
      <c r="G30" s="38"/>
      <c r="H30" s="345">
        <v>30000</v>
      </c>
      <c r="I30" s="365">
        <v>1235</v>
      </c>
      <c r="J30" s="367">
        <f t="shared" si="1"/>
        <v>37050000</v>
      </c>
    </row>
    <row r="31" spans="1:10" x14ac:dyDescent="0.3">
      <c r="A31" s="38"/>
      <c r="B31" s="363"/>
      <c r="C31" s="38"/>
      <c r="D31" s="360"/>
      <c r="E31" s="362"/>
      <c r="F31" s="364"/>
      <c r="G31" s="38"/>
      <c r="H31" s="345">
        <v>15066</v>
      </c>
      <c r="I31" s="365">
        <v>1235</v>
      </c>
      <c r="J31" s="367">
        <f t="shared" si="1"/>
        <v>18606510</v>
      </c>
    </row>
    <row r="32" spans="1:10" x14ac:dyDescent="0.3">
      <c r="A32" s="38"/>
      <c r="B32" s="363"/>
      <c r="C32" s="38"/>
      <c r="D32" s="360"/>
      <c r="E32" s="362"/>
      <c r="F32" s="364"/>
      <c r="G32" s="38"/>
      <c r="H32" s="345"/>
      <c r="I32" s="365"/>
      <c r="J32" s="367"/>
    </row>
    <row r="33" spans="1:12" x14ac:dyDescent="0.3">
      <c r="A33" s="38"/>
      <c r="B33" s="363"/>
      <c r="C33" s="38"/>
      <c r="D33" s="360"/>
      <c r="E33" s="362"/>
      <c r="F33" s="364"/>
      <c r="G33" s="38"/>
      <c r="H33" s="345"/>
      <c r="I33" s="365"/>
      <c r="J33" s="367"/>
    </row>
    <row r="34" spans="1:12" x14ac:dyDescent="0.3">
      <c r="A34" s="38"/>
      <c r="B34" s="363"/>
      <c r="C34" s="38"/>
      <c r="D34" s="360"/>
      <c r="E34" s="362"/>
      <c r="F34" s="364">
        <f t="shared" si="0"/>
        <v>0</v>
      </c>
      <c r="G34" s="38"/>
      <c r="H34" s="345"/>
      <c r="I34" s="365"/>
      <c r="J34" s="367">
        <f t="shared" si="1"/>
        <v>0</v>
      </c>
    </row>
    <row r="35" spans="1:12" ht="17.25" thickBot="1" x14ac:dyDescent="0.35">
      <c r="A35" s="38"/>
      <c r="B35" s="363"/>
      <c r="C35" s="38"/>
      <c r="D35" s="368"/>
      <c r="E35" s="369"/>
      <c r="F35" s="364">
        <f t="shared" si="0"/>
        <v>0</v>
      </c>
      <c r="G35" s="38"/>
      <c r="H35" s="370"/>
      <c r="I35" s="365"/>
      <c r="J35" s="367">
        <f t="shared" si="1"/>
        <v>0</v>
      </c>
    </row>
    <row r="36" spans="1:12" ht="17.25" thickBot="1" x14ac:dyDescent="0.35">
      <c r="A36" s="38"/>
      <c r="B36" s="363"/>
      <c r="C36" s="38"/>
      <c r="D36" s="238">
        <f>SUM(D18:D35)</f>
        <v>100133</v>
      </c>
      <c r="E36" s="239"/>
      <c r="F36" s="240">
        <f>SUM(F18:F35)</f>
        <v>136078595.30000001</v>
      </c>
      <c r="G36" s="38"/>
      <c r="H36" s="371">
        <f>SUM(H18:H35)</f>
        <v>322596</v>
      </c>
      <c r="I36" s="372" t="s">
        <v>141</v>
      </c>
      <c r="J36" s="373">
        <f>SUM(J18:J35)</f>
        <v>393821558</v>
      </c>
      <c r="L36" s="244"/>
    </row>
    <row r="37" spans="1:12" x14ac:dyDescent="0.3">
      <c r="A37" s="38"/>
      <c r="B37" s="363"/>
      <c r="C37" s="38"/>
      <c r="D37" s="39"/>
      <c r="E37" s="38"/>
      <c r="F37" s="38"/>
      <c r="G37" s="38"/>
      <c r="H37" s="39"/>
      <c r="I37" s="38"/>
      <c r="J37" s="38"/>
    </row>
    <row r="38" spans="1:12" x14ac:dyDescent="0.3">
      <c r="A38" s="38"/>
      <c r="B38" s="363"/>
      <c r="C38" s="38"/>
      <c r="D38" s="473" t="s">
        <v>70</v>
      </c>
      <c r="E38" s="473"/>
      <c r="F38" s="473"/>
      <c r="G38" s="473"/>
      <c r="H38" s="473"/>
      <c r="I38" s="473"/>
      <c r="J38" s="38"/>
    </row>
    <row r="39" spans="1:12" x14ac:dyDescent="0.3">
      <c r="A39" s="38"/>
      <c r="B39" s="363"/>
      <c r="C39" s="38"/>
      <c r="D39" s="37" t="s">
        <v>142</v>
      </c>
      <c r="E39" s="38"/>
      <c r="F39" s="38"/>
      <c r="G39" s="38"/>
      <c r="H39" s="39"/>
      <c r="I39" s="38" t="s">
        <v>157</v>
      </c>
      <c r="J39" s="38"/>
    </row>
    <row r="40" spans="1:12" x14ac:dyDescent="0.3">
      <c r="A40" s="38"/>
      <c r="B40" s="363"/>
      <c r="C40" s="38"/>
      <c r="D40" s="300" t="s">
        <v>158</v>
      </c>
      <c r="E40" s="276" t="s">
        <v>159</v>
      </c>
      <c r="F40" s="300" t="s">
        <v>160</v>
      </c>
      <c r="G40" s="300" t="s">
        <v>161</v>
      </c>
      <c r="H40" s="447" t="s">
        <v>149</v>
      </c>
      <c r="I40" s="447"/>
      <c r="J40" s="38"/>
    </row>
    <row r="41" spans="1:12" x14ac:dyDescent="0.3">
      <c r="C41" s="38"/>
      <c r="D41" s="447" t="s">
        <v>162</v>
      </c>
      <c r="E41" s="455" t="s">
        <v>13</v>
      </c>
      <c r="F41" s="374">
        <f>'[1]4월매출및재고수불'!F124</f>
        <v>0</v>
      </c>
      <c r="G41" s="375"/>
      <c r="H41" s="457">
        <f>F41*G41</f>
        <v>0</v>
      </c>
      <c r="I41" s="457"/>
    </row>
    <row r="42" spans="1:12" x14ac:dyDescent="0.3">
      <c r="A42" s="38"/>
      <c r="B42" s="38"/>
      <c r="C42" s="38"/>
      <c r="D42" s="447"/>
      <c r="E42" s="455"/>
      <c r="F42" s="376"/>
      <c r="G42" s="376"/>
      <c r="H42" s="469">
        <f>F42*G42</f>
        <v>0</v>
      </c>
      <c r="I42" s="469"/>
    </row>
    <row r="43" spans="1:12" x14ac:dyDescent="0.3">
      <c r="A43" s="38"/>
      <c r="B43" s="38"/>
      <c r="C43" s="38"/>
      <c r="D43" s="447"/>
      <c r="E43" s="276" t="s">
        <v>163</v>
      </c>
      <c r="F43" s="349"/>
      <c r="G43" s="349"/>
      <c r="H43" s="454">
        <f>SUM(H41:H42)</f>
        <v>0</v>
      </c>
      <c r="I43" s="454"/>
    </row>
    <row r="44" spans="1:12" x14ac:dyDescent="0.3">
      <c r="A44" s="38"/>
      <c r="B44" s="38"/>
      <c r="C44" s="38"/>
      <c r="D44" s="447"/>
      <c r="E44" s="447" t="s">
        <v>100</v>
      </c>
      <c r="F44" s="415">
        <f>'[2]4월매출및재고수불'!F127</f>
        <v>16585</v>
      </c>
      <c r="G44" s="357">
        <v>1344.1</v>
      </c>
      <c r="H44" s="457">
        <f t="shared" ref="H44:H50" si="2">F44*G44</f>
        <v>22291898.5</v>
      </c>
      <c r="I44" s="457"/>
      <c r="J44" s="75" t="s">
        <v>172</v>
      </c>
    </row>
    <row r="45" spans="1:12" x14ac:dyDescent="0.3">
      <c r="A45" s="38"/>
      <c r="B45" s="38"/>
      <c r="C45" s="38"/>
      <c r="D45" s="447"/>
      <c r="E45" s="447"/>
      <c r="F45" s="415">
        <f>'[2]4월매출및재고수불'!F128</f>
        <v>30000</v>
      </c>
      <c r="G45" s="357">
        <v>1349.8</v>
      </c>
      <c r="H45" s="458">
        <f t="shared" si="2"/>
        <v>40494000</v>
      </c>
      <c r="I45" s="458"/>
      <c r="J45" s="75" t="s">
        <v>172</v>
      </c>
    </row>
    <row r="46" spans="1:12" x14ac:dyDescent="0.3">
      <c r="A46" s="38"/>
      <c r="B46" s="38"/>
      <c r="C46" s="38"/>
      <c r="D46" s="447"/>
      <c r="E46" s="447"/>
      <c r="F46" s="415">
        <f>'[2]4월매출및재고수불'!F129</f>
        <v>20000</v>
      </c>
      <c r="G46" s="357">
        <v>1372.3</v>
      </c>
      <c r="H46" s="458">
        <f t="shared" si="2"/>
        <v>27446000</v>
      </c>
      <c r="I46" s="458"/>
      <c r="J46" s="75" t="s">
        <v>172</v>
      </c>
    </row>
    <row r="47" spans="1:12" x14ac:dyDescent="0.3">
      <c r="A47" s="38"/>
      <c r="B47" s="38"/>
      <c r="C47" s="38"/>
      <c r="D47" s="447"/>
      <c r="E47" s="447"/>
      <c r="F47" s="560">
        <f>'[2]4월매출및재고수불'!F130</f>
        <v>20000</v>
      </c>
      <c r="G47" s="357">
        <v>1366.6</v>
      </c>
      <c r="H47" s="472">
        <f t="shared" si="2"/>
        <v>27332000</v>
      </c>
      <c r="I47" s="472"/>
      <c r="J47" s="75" t="s">
        <v>172</v>
      </c>
    </row>
    <row r="48" spans="1:12" x14ac:dyDescent="0.3">
      <c r="A48" s="38"/>
      <c r="B48" s="38"/>
      <c r="C48" s="38"/>
      <c r="D48" s="447"/>
      <c r="E48" s="447"/>
      <c r="F48" s="345" t="e">
        <f>'[2]4월매출및재고수불'!F131</f>
        <v>#REF!</v>
      </c>
      <c r="G48" s="362"/>
      <c r="H48" s="458" t="e">
        <f t="shared" si="2"/>
        <v>#REF!</v>
      </c>
      <c r="I48" s="458"/>
    </row>
    <row r="49" spans="1:10" x14ac:dyDescent="0.3">
      <c r="A49" s="174"/>
      <c r="B49" s="174"/>
      <c r="C49" s="174"/>
      <c r="D49" s="447"/>
      <c r="E49" s="447"/>
      <c r="F49" s="345" t="e">
        <f>'[2]4월매출및재고수불'!F132</f>
        <v>#REF!</v>
      </c>
      <c r="G49" s="362"/>
      <c r="H49" s="458" t="e">
        <f t="shared" si="2"/>
        <v>#REF!</v>
      </c>
      <c r="I49" s="458"/>
    </row>
    <row r="50" spans="1:10" x14ac:dyDescent="0.3">
      <c r="D50" s="447"/>
      <c r="E50" s="447"/>
      <c r="F50" s="345"/>
      <c r="G50" s="377"/>
      <c r="H50" s="468">
        <f t="shared" si="2"/>
        <v>0</v>
      </c>
      <c r="I50" s="468"/>
    </row>
    <row r="51" spans="1:10" x14ac:dyDescent="0.3">
      <c r="D51" s="447"/>
      <c r="E51" s="276" t="s">
        <v>163</v>
      </c>
      <c r="F51" s="378">
        <f>SUM(F44:F47)</f>
        <v>86585</v>
      </c>
      <c r="G51" s="378"/>
      <c r="H51" s="454" t="e">
        <f>SUM(H44:H50)</f>
        <v>#REF!</v>
      </c>
      <c r="I51" s="454"/>
    </row>
    <row r="52" spans="1:10" x14ac:dyDescent="0.3">
      <c r="D52" s="447"/>
      <c r="E52" s="447" t="s">
        <v>22</v>
      </c>
      <c r="F52" s="561">
        <f>'[1]4월매출및재고수불'!F134</f>
        <v>7530</v>
      </c>
      <c r="G52" s="358">
        <v>1195.4000000000001</v>
      </c>
      <c r="H52" s="470">
        <f>F52*G52</f>
        <v>9001362</v>
      </c>
      <c r="I52" s="471"/>
      <c r="J52" s="75" t="s">
        <v>172</v>
      </c>
    </row>
    <row r="53" spans="1:10" x14ac:dyDescent="0.3">
      <c r="D53" s="447"/>
      <c r="E53" s="447"/>
      <c r="F53" s="561">
        <f>'[1]4월매출및재고수불'!F135</f>
        <v>20000</v>
      </c>
      <c r="G53" s="358">
        <v>1201.5999999999999</v>
      </c>
      <c r="H53" s="458">
        <f t="shared" ref="H53:H58" si="3">F53*G53</f>
        <v>24032000</v>
      </c>
      <c r="I53" s="458"/>
      <c r="J53" s="75" t="s">
        <v>172</v>
      </c>
    </row>
    <row r="54" spans="1:10" x14ac:dyDescent="0.3">
      <c r="D54" s="447"/>
      <c r="E54" s="447"/>
      <c r="F54" s="561">
        <f>'[1]4월매출및재고수불'!F136</f>
        <v>20000</v>
      </c>
      <c r="G54" s="358">
        <v>1201.5999999999999</v>
      </c>
      <c r="H54" s="458">
        <f t="shared" si="3"/>
        <v>24032000</v>
      </c>
      <c r="I54" s="458"/>
      <c r="J54" s="75" t="s">
        <v>172</v>
      </c>
    </row>
    <row r="55" spans="1:10" x14ac:dyDescent="0.3">
      <c r="D55" s="447"/>
      <c r="E55" s="447"/>
      <c r="F55" s="561">
        <f>'[1]4월매출및재고수불'!F137</f>
        <v>20000</v>
      </c>
      <c r="G55" s="358">
        <v>1207.3</v>
      </c>
      <c r="H55" s="458">
        <f t="shared" si="3"/>
        <v>24146000</v>
      </c>
      <c r="I55" s="458"/>
      <c r="J55" s="75" t="s">
        <v>172</v>
      </c>
    </row>
    <row r="56" spans="1:10" x14ac:dyDescent="0.3">
      <c r="D56" s="447"/>
      <c r="E56" s="447"/>
      <c r="F56" s="561">
        <f>'[1]4월매출및재고수불'!F138</f>
        <v>30000</v>
      </c>
      <c r="G56" s="358">
        <v>1207.3</v>
      </c>
      <c r="H56" s="458">
        <f t="shared" si="3"/>
        <v>36219000</v>
      </c>
      <c r="I56" s="458"/>
      <c r="J56" s="75" t="s">
        <v>172</v>
      </c>
    </row>
    <row r="57" spans="1:10" x14ac:dyDescent="0.3">
      <c r="D57" s="447"/>
      <c r="E57" s="447"/>
      <c r="F57" s="561">
        <f>'[1]4월매출및재고수불'!F139</f>
        <v>20000</v>
      </c>
      <c r="G57" s="358">
        <v>1201.5999999999999</v>
      </c>
      <c r="H57" s="458">
        <f t="shared" si="3"/>
        <v>24032000</v>
      </c>
      <c r="I57" s="458"/>
      <c r="J57" s="75" t="s">
        <v>172</v>
      </c>
    </row>
    <row r="58" spans="1:10" x14ac:dyDescent="0.3">
      <c r="D58" s="447"/>
      <c r="E58" s="447"/>
      <c r="F58" s="561">
        <f>'[1]4월매출및재고수불'!F140</f>
        <v>30000</v>
      </c>
      <c r="G58" s="358">
        <v>1222.3</v>
      </c>
      <c r="H58" s="472">
        <f t="shared" si="3"/>
        <v>36669000</v>
      </c>
      <c r="I58" s="472"/>
      <c r="J58" s="75" t="s">
        <v>172</v>
      </c>
    </row>
    <row r="59" spans="1:10" x14ac:dyDescent="0.3">
      <c r="D59" s="447"/>
      <c r="E59" s="447"/>
      <c r="F59" s="561">
        <f>'[1]4월매출및재고수불'!F141</f>
        <v>20000</v>
      </c>
      <c r="G59" s="358">
        <v>1222.3</v>
      </c>
      <c r="H59" s="458">
        <f>F59*G59</f>
        <v>24446000</v>
      </c>
      <c r="I59" s="458"/>
      <c r="J59" s="75" t="s">
        <v>172</v>
      </c>
    </row>
    <row r="60" spans="1:10" x14ac:dyDescent="0.3">
      <c r="D60" s="447"/>
      <c r="E60" s="447"/>
      <c r="F60" s="563">
        <v>30000</v>
      </c>
      <c r="G60" s="358">
        <v>1216.5999999999999</v>
      </c>
      <c r="H60" s="458">
        <f>F60*G60</f>
        <v>36498000</v>
      </c>
      <c r="I60" s="458"/>
      <c r="J60" s="75" t="s">
        <v>172</v>
      </c>
    </row>
    <row r="61" spans="1:10" x14ac:dyDescent="0.3">
      <c r="D61" s="447"/>
      <c r="E61" s="447"/>
      <c r="F61" s="381"/>
      <c r="G61" s="382"/>
      <c r="H61" s="468">
        <f>F61*G61</f>
        <v>0</v>
      </c>
      <c r="I61" s="468"/>
    </row>
    <row r="62" spans="1:10" x14ac:dyDescent="0.3">
      <c r="D62" s="447"/>
      <c r="E62" s="276" t="s">
        <v>163</v>
      </c>
      <c r="F62" s="378">
        <f>SUM(F52:F61)</f>
        <v>197530</v>
      </c>
      <c r="G62" s="378"/>
      <c r="H62" s="454">
        <f>SUM(H52:H61)</f>
        <v>239075362</v>
      </c>
      <c r="I62" s="454"/>
    </row>
    <row r="63" spans="1:10" x14ac:dyDescent="0.3">
      <c r="D63" s="447"/>
      <c r="E63" s="447" t="s">
        <v>25</v>
      </c>
      <c r="F63" s="564">
        <f>'[1]4월매출및재고수불'!$F$149</f>
        <v>9215</v>
      </c>
      <c r="G63" s="374">
        <v>782</v>
      </c>
      <c r="H63" s="457">
        <f>F63*G63</f>
        <v>7206130</v>
      </c>
      <c r="I63" s="457"/>
      <c r="J63" s="75" t="s">
        <v>172</v>
      </c>
    </row>
    <row r="64" spans="1:10" x14ac:dyDescent="0.3">
      <c r="D64" s="447"/>
      <c r="E64" s="447"/>
      <c r="F64" s="381"/>
      <c r="G64" s="381"/>
      <c r="H64" s="469">
        <f>F64*G64</f>
        <v>0</v>
      </c>
      <c r="I64" s="469"/>
    </row>
    <row r="65" spans="4:11" ht="17.25" thickBot="1" x14ac:dyDescent="0.35">
      <c r="D65" s="447"/>
      <c r="E65" s="288" t="s">
        <v>163</v>
      </c>
      <c r="F65" s="383">
        <f>SUM(F63:F64)</f>
        <v>9215</v>
      </c>
      <c r="G65" s="383"/>
      <c r="H65" s="448">
        <f>SUM(H63:H64)</f>
        <v>7206130</v>
      </c>
      <c r="I65" s="448"/>
    </row>
    <row r="66" spans="4:11" ht="18" thickTop="1" thickBot="1" x14ac:dyDescent="0.35">
      <c r="D66" s="447"/>
      <c r="E66" s="332" t="s">
        <v>164</v>
      </c>
      <c r="F66" s="384">
        <f>F43+F51+F62+F65</f>
        <v>293330</v>
      </c>
      <c r="G66" s="384"/>
      <c r="H66" s="450" t="e">
        <f>H43+H51+H62+H65</f>
        <v>#REF!</v>
      </c>
      <c r="I66" s="450"/>
      <c r="J66" s="261" t="s">
        <v>165</v>
      </c>
    </row>
    <row r="67" spans="4:11" x14ac:dyDescent="0.3">
      <c r="D67" s="447" t="s">
        <v>166</v>
      </c>
      <c r="E67" s="455" t="s">
        <v>13</v>
      </c>
      <c r="F67" s="374"/>
      <c r="G67" s="385"/>
      <c r="H67" s="448">
        <f>F67*G67</f>
        <v>0</v>
      </c>
      <c r="I67" s="448"/>
      <c r="J67" s="263"/>
    </row>
    <row r="68" spans="4:11" x14ac:dyDescent="0.3">
      <c r="D68" s="447"/>
      <c r="E68" s="455"/>
      <c r="F68" s="386"/>
      <c r="G68" s="386"/>
      <c r="H68" s="449">
        <f>F68*G68</f>
        <v>0</v>
      </c>
      <c r="I68" s="449"/>
      <c r="J68" s="265" t="s">
        <v>141</v>
      </c>
    </row>
    <row r="69" spans="4:11" x14ac:dyDescent="0.3">
      <c r="D69" s="447"/>
      <c r="E69" s="276" t="s">
        <v>163</v>
      </c>
      <c r="F69" s="349">
        <f>SUM(F67:F68)</f>
        <v>0</v>
      </c>
      <c r="G69" s="349"/>
      <c r="H69" s="454">
        <f>SUM(H67:H68)</f>
        <v>0</v>
      </c>
      <c r="I69" s="454"/>
      <c r="J69" s="266" t="s">
        <v>141</v>
      </c>
    </row>
    <row r="70" spans="4:11" x14ac:dyDescent="0.3">
      <c r="D70" s="447"/>
      <c r="E70" s="447" t="s">
        <v>100</v>
      </c>
      <c r="F70" s="568">
        <v>30000</v>
      </c>
      <c r="G70" s="387">
        <v>1366.6</v>
      </c>
      <c r="H70" s="448">
        <f t="shared" ref="H70:H83" si="4">F70*G70</f>
        <v>40998000</v>
      </c>
      <c r="I70" s="448"/>
      <c r="J70" s="263">
        <v>43587</v>
      </c>
      <c r="K70" s="75" t="s">
        <v>172</v>
      </c>
    </row>
    <row r="71" spans="4:11" x14ac:dyDescent="0.3">
      <c r="D71" s="447"/>
      <c r="E71" s="447"/>
      <c r="F71" s="558">
        <v>20000</v>
      </c>
      <c r="G71" s="388">
        <v>1390</v>
      </c>
      <c r="H71" s="452">
        <f t="shared" si="4"/>
        <v>27800000</v>
      </c>
      <c r="I71" s="452"/>
      <c r="J71" s="269">
        <v>43601</v>
      </c>
    </row>
    <row r="72" spans="4:11" x14ac:dyDescent="0.3">
      <c r="D72" s="447"/>
      <c r="E72" s="447"/>
      <c r="F72" s="360">
        <v>20000</v>
      </c>
      <c r="G72" s="388">
        <v>1390</v>
      </c>
      <c r="H72" s="452">
        <f t="shared" si="4"/>
        <v>27800000</v>
      </c>
      <c r="I72" s="452"/>
      <c r="J72" s="269">
        <v>43603</v>
      </c>
    </row>
    <row r="73" spans="4:11" x14ac:dyDescent="0.3">
      <c r="D73" s="447"/>
      <c r="E73" s="447"/>
      <c r="F73" s="360">
        <v>20000</v>
      </c>
      <c r="G73" s="388">
        <v>1390</v>
      </c>
      <c r="H73" s="452">
        <f t="shared" si="4"/>
        <v>27800000</v>
      </c>
      <c r="I73" s="452"/>
      <c r="J73" s="269">
        <v>43604</v>
      </c>
    </row>
    <row r="74" spans="4:11" x14ac:dyDescent="0.3">
      <c r="D74" s="447"/>
      <c r="E74" s="447"/>
      <c r="F74" s="360">
        <v>30000</v>
      </c>
      <c r="G74" s="388">
        <v>1390</v>
      </c>
      <c r="H74" s="452">
        <f t="shared" si="4"/>
        <v>41700000</v>
      </c>
      <c r="I74" s="452"/>
      <c r="J74" s="269">
        <v>43606</v>
      </c>
    </row>
    <row r="75" spans="4:11" x14ac:dyDescent="0.3">
      <c r="D75" s="447"/>
      <c r="E75" s="447"/>
      <c r="F75" s="360"/>
      <c r="G75" s="388"/>
      <c r="H75" s="452">
        <f t="shared" si="4"/>
        <v>0</v>
      </c>
      <c r="I75" s="452"/>
      <c r="J75" s="269"/>
    </row>
    <row r="76" spans="4:11" x14ac:dyDescent="0.3">
      <c r="D76" s="447"/>
      <c r="E76" s="447"/>
      <c r="F76" s="345"/>
      <c r="G76" s="388"/>
      <c r="H76" s="452">
        <f t="shared" si="4"/>
        <v>0</v>
      </c>
      <c r="I76" s="452"/>
      <c r="J76" s="269"/>
    </row>
    <row r="77" spans="4:11" x14ac:dyDescent="0.3">
      <c r="D77" s="447"/>
      <c r="E77" s="447"/>
      <c r="F77" s="345"/>
      <c r="G77" s="388"/>
      <c r="H77" s="452">
        <f t="shared" si="4"/>
        <v>0</v>
      </c>
      <c r="I77" s="452"/>
      <c r="J77" s="269"/>
    </row>
    <row r="78" spans="4:11" hidden="1" x14ac:dyDescent="0.3">
      <c r="D78" s="447"/>
      <c r="E78" s="447"/>
      <c r="F78" s="345"/>
      <c r="G78" s="388"/>
      <c r="H78" s="452">
        <f t="shared" si="4"/>
        <v>0</v>
      </c>
      <c r="I78" s="452"/>
      <c r="J78" s="269"/>
    </row>
    <row r="79" spans="4:11" hidden="1" x14ac:dyDescent="0.3">
      <c r="D79" s="447"/>
      <c r="E79" s="447"/>
      <c r="F79" s="345"/>
      <c r="G79" s="388"/>
      <c r="H79" s="452">
        <f t="shared" si="4"/>
        <v>0</v>
      </c>
      <c r="I79" s="452"/>
      <c r="J79" s="269"/>
    </row>
    <row r="80" spans="4:11" hidden="1" x14ac:dyDescent="0.3">
      <c r="D80" s="447"/>
      <c r="E80" s="447"/>
      <c r="F80" s="345"/>
      <c r="G80" s="388"/>
      <c r="H80" s="452">
        <f t="shared" si="4"/>
        <v>0</v>
      </c>
      <c r="I80" s="452"/>
      <c r="J80" s="269"/>
    </row>
    <row r="81" spans="4:11" hidden="1" x14ac:dyDescent="0.3">
      <c r="D81" s="447"/>
      <c r="E81" s="447"/>
      <c r="F81" s="345"/>
      <c r="G81" s="388"/>
      <c r="H81" s="452">
        <f t="shared" si="4"/>
        <v>0</v>
      </c>
      <c r="I81" s="452"/>
      <c r="J81" s="272"/>
    </row>
    <row r="82" spans="4:11" hidden="1" x14ac:dyDescent="0.3">
      <c r="D82" s="447"/>
      <c r="E82" s="447"/>
      <c r="F82" s="379"/>
      <c r="G82" s="389"/>
      <c r="H82" s="452">
        <f t="shared" si="4"/>
        <v>0</v>
      </c>
      <c r="I82" s="452"/>
      <c r="J82" s="272"/>
    </row>
    <row r="83" spans="4:11" x14ac:dyDescent="0.3">
      <c r="D83" s="447"/>
      <c r="E83" s="447"/>
      <c r="F83" s="390"/>
      <c r="G83" s="391"/>
      <c r="H83" s="453">
        <f t="shared" si="4"/>
        <v>0</v>
      </c>
      <c r="I83" s="453"/>
      <c r="J83" s="275"/>
    </row>
    <row r="84" spans="4:11" x14ac:dyDescent="0.3">
      <c r="D84" s="447"/>
      <c r="E84" s="276" t="s">
        <v>163</v>
      </c>
      <c r="F84" s="378">
        <f>SUM(F70:F83)</f>
        <v>120000</v>
      </c>
      <c r="G84" s="378"/>
      <c r="H84" s="454">
        <f>SUM(H70:H83)</f>
        <v>166098000</v>
      </c>
      <c r="I84" s="454"/>
      <c r="J84" s="266"/>
    </row>
    <row r="85" spans="4:11" x14ac:dyDescent="0.3">
      <c r="D85" s="447"/>
      <c r="E85" s="464" t="s">
        <v>22</v>
      </c>
      <c r="F85" s="564">
        <v>20000</v>
      </c>
      <c r="G85" s="392">
        <v>1235</v>
      </c>
      <c r="H85" s="448">
        <f t="shared" ref="H85:H95" si="5">F85*G85</f>
        <v>24700000</v>
      </c>
      <c r="I85" s="448"/>
      <c r="J85" s="263">
        <v>43587</v>
      </c>
      <c r="K85" s="75" t="s">
        <v>172</v>
      </c>
    </row>
    <row r="86" spans="4:11" x14ac:dyDescent="0.3">
      <c r="D86" s="447"/>
      <c r="E86" s="465"/>
      <c r="F86" s="561">
        <v>30000</v>
      </c>
      <c r="G86" s="389">
        <v>1235</v>
      </c>
      <c r="H86" s="452">
        <f t="shared" si="5"/>
        <v>37050000</v>
      </c>
      <c r="I86" s="452"/>
      <c r="J86" s="269">
        <v>43589</v>
      </c>
      <c r="K86" s="75" t="s">
        <v>172</v>
      </c>
    </row>
    <row r="87" spans="4:11" x14ac:dyDescent="0.3">
      <c r="D87" s="447"/>
      <c r="E87" s="465"/>
      <c r="F87" s="561">
        <v>30000</v>
      </c>
      <c r="G87" s="389">
        <v>1235</v>
      </c>
      <c r="H87" s="452">
        <f t="shared" si="5"/>
        <v>37050000</v>
      </c>
      <c r="I87" s="452"/>
      <c r="J87" s="269">
        <v>43595</v>
      </c>
      <c r="K87" s="75" t="s">
        <v>172</v>
      </c>
    </row>
    <row r="88" spans="4:11" x14ac:dyDescent="0.3">
      <c r="D88" s="447"/>
      <c r="E88" s="465"/>
      <c r="F88" s="561">
        <v>30000</v>
      </c>
      <c r="G88" s="389">
        <v>1235</v>
      </c>
      <c r="H88" s="452">
        <f t="shared" si="5"/>
        <v>37050000</v>
      </c>
      <c r="I88" s="452"/>
      <c r="J88" s="269">
        <v>43595</v>
      </c>
      <c r="K88" s="75" t="s">
        <v>172</v>
      </c>
    </row>
    <row r="89" spans="4:11" x14ac:dyDescent="0.3">
      <c r="D89" s="447"/>
      <c r="E89" s="465"/>
      <c r="F89" s="561">
        <v>30000</v>
      </c>
      <c r="G89" s="389">
        <v>1235</v>
      </c>
      <c r="H89" s="452">
        <f t="shared" si="5"/>
        <v>37050000</v>
      </c>
      <c r="I89" s="452"/>
      <c r="J89" s="269">
        <v>43598</v>
      </c>
      <c r="K89" s="75" t="s">
        <v>172</v>
      </c>
    </row>
    <row r="90" spans="4:11" x14ac:dyDescent="0.3">
      <c r="D90" s="447"/>
      <c r="E90" s="465"/>
      <c r="F90" s="561">
        <v>20000</v>
      </c>
      <c r="G90" s="389">
        <v>1245</v>
      </c>
      <c r="H90" s="452">
        <f t="shared" si="5"/>
        <v>24900000</v>
      </c>
      <c r="I90" s="452"/>
      <c r="J90" s="269">
        <v>43601</v>
      </c>
    </row>
    <row r="91" spans="4:11" x14ac:dyDescent="0.3">
      <c r="D91" s="447"/>
      <c r="E91" s="465"/>
      <c r="F91" s="379">
        <v>20000</v>
      </c>
      <c r="G91" s="389">
        <v>1245</v>
      </c>
      <c r="H91" s="452">
        <f t="shared" si="5"/>
        <v>24900000</v>
      </c>
      <c r="I91" s="452"/>
      <c r="J91" s="269">
        <v>43601</v>
      </c>
    </row>
    <row r="92" spans="4:11" x14ac:dyDescent="0.3">
      <c r="D92" s="447"/>
      <c r="E92" s="465"/>
      <c r="F92" s="379">
        <v>30000</v>
      </c>
      <c r="G92" s="389">
        <v>1245</v>
      </c>
      <c r="H92" s="452">
        <f t="shared" si="5"/>
        <v>37350000</v>
      </c>
      <c r="I92" s="452"/>
      <c r="J92" s="269">
        <v>43604</v>
      </c>
    </row>
    <row r="93" spans="4:11" x14ac:dyDescent="0.3">
      <c r="D93" s="447"/>
      <c r="E93" s="465"/>
      <c r="F93" s="379">
        <v>30000</v>
      </c>
      <c r="G93" s="389">
        <v>1245</v>
      </c>
      <c r="H93" s="452">
        <f t="shared" si="5"/>
        <v>37350000</v>
      </c>
      <c r="I93" s="452"/>
      <c r="J93" s="269">
        <v>43605</v>
      </c>
    </row>
    <row r="94" spans="4:11" x14ac:dyDescent="0.3">
      <c r="D94" s="447"/>
      <c r="E94" s="465"/>
      <c r="F94" s="379">
        <v>20000</v>
      </c>
      <c r="G94" s="389">
        <v>1245</v>
      </c>
      <c r="H94" s="452">
        <f t="shared" si="5"/>
        <v>24900000</v>
      </c>
      <c r="I94" s="452"/>
      <c r="J94" s="269">
        <v>43606</v>
      </c>
    </row>
    <row r="95" spans="4:11" x14ac:dyDescent="0.3">
      <c r="D95" s="447"/>
      <c r="E95" s="465"/>
      <c r="F95" s="379">
        <v>10000</v>
      </c>
      <c r="G95" s="389">
        <v>1245</v>
      </c>
      <c r="H95" s="452">
        <f t="shared" si="5"/>
        <v>12450000</v>
      </c>
      <c r="I95" s="452"/>
      <c r="J95" s="265">
        <v>43607</v>
      </c>
    </row>
    <row r="96" spans="4:11" x14ac:dyDescent="0.3">
      <c r="D96" s="447"/>
      <c r="E96" s="465"/>
      <c r="F96" s="379">
        <v>10000</v>
      </c>
      <c r="G96" s="389">
        <v>1245</v>
      </c>
      <c r="H96" s="452">
        <f>F96*G96</f>
        <v>12450000</v>
      </c>
      <c r="I96" s="452"/>
      <c r="J96" s="265">
        <v>43607</v>
      </c>
    </row>
    <row r="97" spans="4:10" x14ac:dyDescent="0.3">
      <c r="D97" s="447"/>
      <c r="E97" s="465"/>
      <c r="F97" s="380"/>
      <c r="G97" s="393"/>
      <c r="H97" s="463">
        <f>F97*G97</f>
        <v>0</v>
      </c>
      <c r="I97" s="463"/>
      <c r="J97" s="265"/>
    </row>
    <row r="98" spans="4:10" x14ac:dyDescent="0.3">
      <c r="D98" s="447"/>
      <c r="E98" s="466"/>
      <c r="F98" s="379"/>
      <c r="G98" s="389"/>
      <c r="H98" s="459">
        <f>F98*G98</f>
        <v>0</v>
      </c>
      <c r="I98" s="460"/>
      <c r="J98" s="269"/>
    </row>
    <row r="99" spans="4:10" x14ac:dyDescent="0.3">
      <c r="D99" s="447"/>
      <c r="E99" s="466"/>
      <c r="F99" s="379"/>
      <c r="G99" s="389"/>
      <c r="H99" s="459"/>
      <c r="I99" s="460"/>
      <c r="J99" s="269"/>
    </row>
    <row r="100" spans="4:10" x14ac:dyDescent="0.3">
      <c r="D100" s="447"/>
      <c r="E100" s="466"/>
      <c r="F100" s="379"/>
      <c r="G100" s="389"/>
      <c r="H100" s="459"/>
      <c r="I100" s="460"/>
      <c r="J100" s="269"/>
    </row>
    <row r="101" spans="4:10" x14ac:dyDescent="0.3">
      <c r="D101" s="447"/>
      <c r="E101" s="467"/>
      <c r="F101" s="381"/>
      <c r="G101" s="394"/>
      <c r="H101" s="461"/>
      <c r="I101" s="462"/>
      <c r="J101" s="283"/>
    </row>
    <row r="102" spans="4:10" ht="15.75" customHeight="1" x14ac:dyDescent="0.3">
      <c r="D102" s="447"/>
      <c r="E102" s="276" t="s">
        <v>163</v>
      </c>
      <c r="F102" s="378">
        <f>SUM(F85:F101)</f>
        <v>280000</v>
      </c>
      <c r="G102" s="378"/>
      <c r="H102" s="454">
        <f>SUM(H85:H101)</f>
        <v>347200000</v>
      </c>
      <c r="I102" s="454"/>
      <c r="J102" s="266"/>
    </row>
    <row r="103" spans="4:10" x14ac:dyDescent="0.3">
      <c r="D103" s="447"/>
      <c r="E103" s="447" t="s">
        <v>25</v>
      </c>
      <c r="F103" s="395">
        <v>10000</v>
      </c>
      <c r="G103" s="396">
        <v>825</v>
      </c>
      <c r="H103" s="448">
        <f>F103*G103</f>
        <v>8250000</v>
      </c>
      <c r="I103" s="448"/>
      <c r="J103" s="333">
        <v>43601</v>
      </c>
    </row>
    <row r="104" spans="4:10" x14ac:dyDescent="0.3">
      <c r="D104" s="447"/>
      <c r="E104" s="447"/>
      <c r="F104" s="397"/>
      <c r="G104" s="397"/>
      <c r="H104" s="449">
        <f>F104*G104</f>
        <v>0</v>
      </c>
      <c r="I104" s="449"/>
      <c r="J104" s="287"/>
    </row>
    <row r="105" spans="4:10" ht="17.25" thickBot="1" x14ac:dyDescent="0.35">
      <c r="D105" s="447"/>
      <c r="E105" s="288" t="s">
        <v>163</v>
      </c>
      <c r="F105" s="383">
        <f>SUM(F103+F104)</f>
        <v>10000</v>
      </c>
      <c r="G105" s="383"/>
      <c r="H105" s="448">
        <f>SUM(H103:H104)</f>
        <v>8250000</v>
      </c>
      <c r="I105" s="448"/>
      <c r="J105" s="289"/>
    </row>
    <row r="106" spans="4:10" ht="18" thickTop="1" thickBot="1" x14ac:dyDescent="0.35">
      <c r="D106" s="447"/>
      <c r="E106" s="332" t="s">
        <v>164</v>
      </c>
      <c r="F106" s="384">
        <f>F69+F84+F102+F105</f>
        <v>410000</v>
      </c>
      <c r="G106" s="384"/>
      <c r="H106" s="450">
        <f>H69+H84+H102+H105</f>
        <v>521548000</v>
      </c>
      <c r="I106" s="450"/>
    </row>
    <row r="107" spans="4:10" x14ac:dyDescent="0.3">
      <c r="D107" s="447" t="s">
        <v>167</v>
      </c>
      <c r="E107" s="95" t="s">
        <v>13</v>
      </c>
      <c r="F107" s="398"/>
      <c r="G107" s="399" t="e">
        <f>H107/F107</f>
        <v>#DIV/0!</v>
      </c>
      <c r="H107" s="457">
        <f>F12</f>
        <v>0</v>
      </c>
      <c r="I107" s="457"/>
    </row>
    <row r="108" spans="4:10" x14ac:dyDescent="0.3">
      <c r="D108" s="447"/>
      <c r="E108" s="292" t="s">
        <v>100</v>
      </c>
      <c r="F108" s="400">
        <v>100133</v>
      </c>
      <c r="G108" s="401">
        <f>H108/F108</f>
        <v>1358.9785115795992</v>
      </c>
      <c r="H108" s="458">
        <f>F36</f>
        <v>136078595.30000001</v>
      </c>
      <c r="I108" s="458"/>
    </row>
    <row r="109" spans="4:10" x14ac:dyDescent="0.3">
      <c r="D109" s="447"/>
      <c r="E109" s="292" t="s">
        <v>22</v>
      </c>
      <c r="F109" s="379">
        <v>322596</v>
      </c>
      <c r="G109" s="401">
        <f>H109/F109</f>
        <v>1220.7887202569157</v>
      </c>
      <c r="H109" s="458">
        <f>J36</f>
        <v>393821558</v>
      </c>
      <c r="I109" s="458"/>
    </row>
    <row r="110" spans="4:10" ht="17.25" thickBot="1" x14ac:dyDescent="0.35">
      <c r="D110" s="447"/>
      <c r="E110" s="95" t="s">
        <v>25</v>
      </c>
      <c r="F110" s="402">
        <v>7012</v>
      </c>
      <c r="G110" s="403">
        <f>H110/F110</f>
        <v>782</v>
      </c>
      <c r="H110" s="451">
        <f>J12</f>
        <v>5483384</v>
      </c>
      <c r="I110" s="451"/>
    </row>
    <row r="111" spans="4:10" ht="17.25" thickBot="1" x14ac:dyDescent="0.35">
      <c r="D111" s="447"/>
      <c r="E111" s="297" t="s">
        <v>164</v>
      </c>
      <c r="F111" s="384">
        <f>SUM(F107:F110)</f>
        <v>429741</v>
      </c>
      <c r="G111" s="384"/>
      <c r="H111" s="456">
        <f>SUM(H107:H110)</f>
        <v>535383537.30000001</v>
      </c>
      <c r="I111" s="456"/>
    </row>
    <row r="112" spans="4:10" x14ac:dyDescent="0.3">
      <c r="D112" s="447" t="s">
        <v>168</v>
      </c>
      <c r="E112" s="95" t="s">
        <v>13</v>
      </c>
      <c r="F112" s="399">
        <f>F43+F69-F107</f>
        <v>0</v>
      </c>
      <c r="G112" s="399" t="e">
        <f>H112/F112</f>
        <v>#DIV/0!</v>
      </c>
      <c r="H112" s="448">
        <f>H43+H69-H107</f>
        <v>0</v>
      </c>
      <c r="I112" s="448"/>
    </row>
    <row r="113" spans="4:9" x14ac:dyDescent="0.3">
      <c r="D113" s="447"/>
      <c r="E113" s="292" t="s">
        <v>100</v>
      </c>
      <c r="F113" s="401">
        <f>F51+F84-F108</f>
        <v>106452</v>
      </c>
      <c r="G113" s="401" t="e">
        <f>H113/F113</f>
        <v>#REF!</v>
      </c>
      <c r="H113" s="452" t="e">
        <f>H51+H84-H108</f>
        <v>#REF!</v>
      </c>
      <c r="I113" s="452"/>
    </row>
    <row r="114" spans="4:9" x14ac:dyDescent="0.3">
      <c r="D114" s="447"/>
      <c r="E114" s="292" t="s">
        <v>22</v>
      </c>
      <c r="F114" s="401">
        <f>F62+F102-F109</f>
        <v>154934</v>
      </c>
      <c r="G114" s="401">
        <f>H114/F114</f>
        <v>1242.1663676145972</v>
      </c>
      <c r="H114" s="452">
        <f>H62+H102-H109</f>
        <v>192453804</v>
      </c>
      <c r="I114" s="452"/>
    </row>
    <row r="115" spans="4:9" ht="17.25" thickBot="1" x14ac:dyDescent="0.35">
      <c r="D115" s="447"/>
      <c r="E115" s="95" t="s">
        <v>25</v>
      </c>
      <c r="F115" s="404">
        <f>F65+F105-F110</f>
        <v>12203</v>
      </c>
      <c r="G115" s="403">
        <f>H115/F115</f>
        <v>817.23723674506266</v>
      </c>
      <c r="H115" s="451">
        <f>H65+H105-H110</f>
        <v>9972746</v>
      </c>
      <c r="I115" s="451"/>
    </row>
    <row r="116" spans="4:9" ht="17.25" thickBot="1" x14ac:dyDescent="0.35">
      <c r="D116" s="447"/>
      <c r="E116" s="297" t="s">
        <v>164</v>
      </c>
      <c r="F116" s="384">
        <f>SUM(F112:F115)</f>
        <v>273589</v>
      </c>
      <c r="G116" s="384" t="e">
        <f>H116/F116</f>
        <v>#REF!</v>
      </c>
      <c r="H116" s="456" t="e">
        <f>SUM(H112:H115)</f>
        <v>#REF!</v>
      </c>
      <c r="I116" s="456"/>
    </row>
    <row r="117" spans="4:9" x14ac:dyDescent="0.3">
      <c r="F117" s="405"/>
      <c r="G117" s="405"/>
      <c r="H117" s="405"/>
      <c r="I117" s="405"/>
    </row>
    <row r="118" spans="4:9" x14ac:dyDescent="0.3">
      <c r="F118" s="405"/>
      <c r="G118" s="405"/>
      <c r="H118" s="405"/>
      <c r="I118" s="405"/>
    </row>
    <row r="119" spans="4:9" x14ac:dyDescent="0.3">
      <c r="D119" s="300" t="s">
        <v>158</v>
      </c>
      <c r="E119" s="276" t="s">
        <v>159</v>
      </c>
      <c r="F119" s="406" t="s">
        <v>160</v>
      </c>
      <c r="G119" s="406" t="s">
        <v>161</v>
      </c>
      <c r="H119" s="454" t="s">
        <v>149</v>
      </c>
      <c r="I119" s="454"/>
    </row>
    <row r="120" spans="4:9" x14ac:dyDescent="0.3">
      <c r="D120" s="447" t="s">
        <v>169</v>
      </c>
      <c r="E120" s="455" t="s">
        <v>13</v>
      </c>
      <c r="F120" s="374"/>
      <c r="G120" s="407"/>
      <c r="H120" s="448">
        <f>F120*G120</f>
        <v>0</v>
      </c>
      <c r="I120" s="448"/>
    </row>
    <row r="121" spans="4:9" x14ac:dyDescent="0.3">
      <c r="D121" s="447"/>
      <c r="E121" s="455"/>
      <c r="F121" s="386"/>
      <c r="G121" s="408"/>
      <c r="H121" s="449">
        <f>F121*G121</f>
        <v>0</v>
      </c>
      <c r="I121" s="449"/>
    </row>
    <row r="122" spans="4:9" x14ac:dyDescent="0.3">
      <c r="D122" s="447"/>
      <c r="E122" s="276" t="s">
        <v>163</v>
      </c>
      <c r="F122" s="349">
        <f>SUM(F120:F121)</f>
        <v>0</v>
      </c>
      <c r="G122" s="409"/>
      <c r="H122" s="454">
        <f>SUM(H120:H121)</f>
        <v>0</v>
      </c>
      <c r="I122" s="454"/>
    </row>
    <row r="123" spans="4:9" x14ac:dyDescent="0.3">
      <c r="D123" s="447"/>
      <c r="E123" s="447" t="s">
        <v>100</v>
      </c>
      <c r="F123" s="360">
        <f>30000-13548</f>
        <v>16452</v>
      </c>
      <c r="G123" s="410">
        <v>1366.6</v>
      </c>
      <c r="H123" s="448">
        <f t="shared" ref="H123:H129" si="6">F123*G123</f>
        <v>22483303.199999999</v>
      </c>
      <c r="I123" s="448"/>
    </row>
    <row r="124" spans="4:9" x14ac:dyDescent="0.3">
      <c r="D124" s="447"/>
      <c r="E124" s="447"/>
      <c r="F124" s="360">
        <v>20000</v>
      </c>
      <c r="G124" s="410">
        <v>1390</v>
      </c>
      <c r="H124" s="452">
        <f t="shared" si="6"/>
        <v>27800000</v>
      </c>
      <c r="I124" s="452"/>
    </row>
    <row r="125" spans="4:9" x14ac:dyDescent="0.3">
      <c r="D125" s="447"/>
      <c r="E125" s="447"/>
      <c r="F125" s="360">
        <v>20000</v>
      </c>
      <c r="G125" s="410">
        <v>1390</v>
      </c>
      <c r="H125" s="452">
        <f t="shared" si="6"/>
        <v>27800000</v>
      </c>
      <c r="I125" s="452"/>
    </row>
    <row r="126" spans="4:9" x14ac:dyDescent="0.3">
      <c r="D126" s="447"/>
      <c r="E126" s="447"/>
      <c r="F126" s="360">
        <v>20000</v>
      </c>
      <c r="G126" s="410">
        <v>1390</v>
      </c>
      <c r="H126" s="452">
        <f t="shared" si="6"/>
        <v>27800000</v>
      </c>
      <c r="I126" s="452"/>
    </row>
    <row r="127" spans="4:9" x14ac:dyDescent="0.3">
      <c r="D127" s="447"/>
      <c r="E127" s="447"/>
      <c r="F127" s="360">
        <v>30000</v>
      </c>
      <c r="G127" s="410">
        <v>1390</v>
      </c>
      <c r="H127" s="451">
        <f t="shared" si="6"/>
        <v>41700000</v>
      </c>
      <c r="I127" s="451"/>
    </row>
    <row r="128" spans="4:9" x14ac:dyDescent="0.3">
      <c r="D128" s="447"/>
      <c r="E128" s="447"/>
      <c r="F128" s="360"/>
      <c r="G128" s="410"/>
      <c r="H128" s="452">
        <f t="shared" si="6"/>
        <v>0</v>
      </c>
      <c r="I128" s="452"/>
    </row>
    <row r="129" spans="4:9" x14ac:dyDescent="0.3">
      <c r="D129" s="447"/>
      <c r="E129" s="447"/>
      <c r="F129" s="345"/>
      <c r="G129" s="410"/>
      <c r="H129" s="453">
        <f t="shared" si="6"/>
        <v>0</v>
      </c>
      <c r="I129" s="453"/>
    </row>
    <row r="130" spans="4:9" x14ac:dyDescent="0.3">
      <c r="D130" s="447"/>
      <c r="E130" s="276" t="s">
        <v>163</v>
      </c>
      <c r="F130" s="378">
        <f>SUM(F123:F129)</f>
        <v>106452</v>
      </c>
      <c r="G130" s="411"/>
      <c r="H130" s="454">
        <f>SUM(H123:H129)</f>
        <v>147583303.19999999</v>
      </c>
      <c r="I130" s="454"/>
    </row>
    <row r="131" spans="4:9" x14ac:dyDescent="0.3">
      <c r="D131" s="447"/>
      <c r="E131" s="447" t="s">
        <v>22</v>
      </c>
      <c r="F131" s="379">
        <f>30000-15066</f>
        <v>14934</v>
      </c>
      <c r="G131" s="389">
        <v>1235</v>
      </c>
      <c r="H131" s="448">
        <f t="shared" ref="H131:H139" si="7">F131*G131</f>
        <v>18443490</v>
      </c>
      <c r="I131" s="448"/>
    </row>
    <row r="132" spans="4:9" x14ac:dyDescent="0.3">
      <c r="D132" s="447"/>
      <c r="E132" s="447"/>
      <c r="F132" s="379">
        <v>20000</v>
      </c>
      <c r="G132" s="389">
        <v>1245</v>
      </c>
      <c r="H132" s="452">
        <f t="shared" si="7"/>
        <v>24900000</v>
      </c>
      <c r="I132" s="452"/>
    </row>
    <row r="133" spans="4:9" x14ac:dyDescent="0.3">
      <c r="D133" s="447"/>
      <c r="E133" s="447"/>
      <c r="F133" s="379">
        <v>20000</v>
      </c>
      <c r="G133" s="389">
        <v>1245</v>
      </c>
      <c r="H133" s="452">
        <f t="shared" si="7"/>
        <v>24900000</v>
      </c>
      <c r="I133" s="452"/>
    </row>
    <row r="134" spans="4:9" x14ac:dyDescent="0.3">
      <c r="D134" s="447"/>
      <c r="E134" s="447"/>
      <c r="F134" s="379">
        <v>30000</v>
      </c>
      <c r="G134" s="389">
        <v>1245</v>
      </c>
      <c r="H134" s="452">
        <f t="shared" si="7"/>
        <v>37350000</v>
      </c>
      <c r="I134" s="452"/>
    </row>
    <row r="135" spans="4:9" x14ac:dyDescent="0.3">
      <c r="D135" s="447"/>
      <c r="E135" s="447"/>
      <c r="F135" s="379">
        <v>30000</v>
      </c>
      <c r="G135" s="389">
        <v>1245</v>
      </c>
      <c r="H135" s="451">
        <f t="shared" si="7"/>
        <v>37350000</v>
      </c>
      <c r="I135" s="451"/>
    </row>
    <row r="136" spans="4:9" x14ac:dyDescent="0.3">
      <c r="D136" s="447"/>
      <c r="E136" s="447"/>
      <c r="F136" s="379">
        <v>20000</v>
      </c>
      <c r="G136" s="389">
        <v>1245</v>
      </c>
      <c r="H136" s="452">
        <f t="shared" si="7"/>
        <v>24900000</v>
      </c>
      <c r="I136" s="452"/>
    </row>
    <row r="137" spans="4:9" x14ac:dyDescent="0.3">
      <c r="D137" s="447"/>
      <c r="E137" s="447"/>
      <c r="F137" s="379">
        <v>10000</v>
      </c>
      <c r="G137" s="389">
        <v>1245</v>
      </c>
      <c r="H137" s="452">
        <f t="shared" si="7"/>
        <v>12450000</v>
      </c>
      <c r="I137" s="452"/>
    </row>
    <row r="138" spans="4:9" x14ac:dyDescent="0.3">
      <c r="D138" s="447"/>
      <c r="E138" s="447"/>
      <c r="F138" s="379">
        <v>10000</v>
      </c>
      <c r="G138" s="389">
        <v>1245</v>
      </c>
      <c r="H138" s="452">
        <f t="shared" si="7"/>
        <v>12450000</v>
      </c>
      <c r="I138" s="452"/>
    </row>
    <row r="139" spans="4:9" x14ac:dyDescent="0.3">
      <c r="D139" s="447"/>
      <c r="E139" s="447"/>
      <c r="F139" s="381">
        <f>F98</f>
        <v>0</v>
      </c>
      <c r="G139" s="412"/>
      <c r="H139" s="453">
        <f t="shared" si="7"/>
        <v>0</v>
      </c>
      <c r="I139" s="453"/>
    </row>
    <row r="140" spans="4:9" x14ac:dyDescent="0.3">
      <c r="D140" s="447"/>
      <c r="E140" s="276" t="s">
        <v>163</v>
      </c>
      <c r="F140" s="378">
        <f>SUM(F131:F139)</f>
        <v>154934</v>
      </c>
      <c r="G140" s="378"/>
      <c r="H140" s="454">
        <f>SUM(H131:H139)</f>
        <v>192743490</v>
      </c>
      <c r="I140" s="454"/>
    </row>
    <row r="141" spans="4:9" x14ac:dyDescent="0.3">
      <c r="D141" s="447"/>
      <c r="E141" s="447" t="s">
        <v>25</v>
      </c>
      <c r="F141" s="395">
        <f>9215-7012</f>
        <v>2203</v>
      </c>
      <c r="G141" s="395">
        <v>782</v>
      </c>
      <c r="H141" s="448">
        <f>F141*G141</f>
        <v>1722746</v>
      </c>
      <c r="I141" s="448"/>
    </row>
    <row r="142" spans="4:9" x14ac:dyDescent="0.3">
      <c r="D142" s="447"/>
      <c r="E142" s="447"/>
      <c r="F142" s="397">
        <v>10000</v>
      </c>
      <c r="G142" s="413">
        <v>825</v>
      </c>
      <c r="H142" s="449">
        <f>F142*G142</f>
        <v>8250000</v>
      </c>
      <c r="I142" s="449"/>
    </row>
    <row r="143" spans="4:9" ht="17.25" thickBot="1" x14ac:dyDescent="0.35">
      <c r="D143" s="447"/>
      <c r="E143" s="288" t="s">
        <v>163</v>
      </c>
      <c r="F143" s="383">
        <f>SUM(F141:F142)</f>
        <v>12203</v>
      </c>
      <c r="G143" s="383"/>
      <c r="H143" s="448">
        <f>SUM(H141:H142)</f>
        <v>9972746</v>
      </c>
      <c r="I143" s="448"/>
    </row>
    <row r="144" spans="4:9" ht="17.25" thickBot="1" x14ac:dyDescent="0.35">
      <c r="D144" s="447"/>
      <c r="E144" s="332" t="s">
        <v>164</v>
      </c>
      <c r="F144" s="384">
        <f>F122+F130+F140+F143</f>
        <v>273589</v>
      </c>
      <c r="G144" s="384"/>
      <c r="H144" s="450">
        <f>H122+H130+H140+H143</f>
        <v>350299539.19999999</v>
      </c>
      <c r="I144" s="450"/>
    </row>
  </sheetData>
  <mergeCells count="127">
    <mergeCell ref="A1:B1"/>
    <mergeCell ref="C1:D1"/>
    <mergeCell ref="I1:J1"/>
    <mergeCell ref="D4:J4"/>
    <mergeCell ref="D6:F6"/>
    <mergeCell ref="H6:J6"/>
    <mergeCell ref="H46:I46"/>
    <mergeCell ref="H47:I47"/>
    <mergeCell ref="H48:I48"/>
    <mergeCell ref="H49:I49"/>
    <mergeCell ref="H50:I50"/>
    <mergeCell ref="H51:I51"/>
    <mergeCell ref="D38:I38"/>
    <mergeCell ref="H40:I40"/>
    <mergeCell ref="D41:D66"/>
    <mergeCell ref="E41:E42"/>
    <mergeCell ref="H41:I41"/>
    <mergeCell ref="H42:I42"/>
    <mergeCell ref="H43:I43"/>
    <mergeCell ref="E44:E50"/>
    <mergeCell ref="H44:I44"/>
    <mergeCell ref="H45:I45"/>
    <mergeCell ref="H61:I61"/>
    <mergeCell ref="H62:I62"/>
    <mergeCell ref="E63:E64"/>
    <mergeCell ref="H63:I63"/>
    <mergeCell ref="H64:I64"/>
    <mergeCell ref="H65:I65"/>
    <mergeCell ref="E52:E61"/>
    <mergeCell ref="H52:I52"/>
    <mergeCell ref="H53:I53"/>
    <mergeCell ref="H54:I54"/>
    <mergeCell ref="H55:I55"/>
    <mergeCell ref="H56:I56"/>
    <mergeCell ref="H57:I57"/>
    <mergeCell ref="H58:I58"/>
    <mergeCell ref="H59:I59"/>
    <mergeCell ref="H60:I60"/>
    <mergeCell ref="H66:I66"/>
    <mergeCell ref="D67:D106"/>
    <mergeCell ref="E67:E68"/>
    <mergeCell ref="H67:I67"/>
    <mergeCell ref="H68:I68"/>
    <mergeCell ref="H69:I69"/>
    <mergeCell ref="E70:E83"/>
    <mergeCell ref="H70:I70"/>
    <mergeCell ref="H71:I71"/>
    <mergeCell ref="H72:I72"/>
    <mergeCell ref="H79:I79"/>
    <mergeCell ref="H80:I80"/>
    <mergeCell ref="H81:I81"/>
    <mergeCell ref="H82:I82"/>
    <mergeCell ref="H83:I83"/>
    <mergeCell ref="H84:I84"/>
    <mergeCell ref="H73:I73"/>
    <mergeCell ref="H74:I74"/>
    <mergeCell ref="H75:I75"/>
    <mergeCell ref="H76:I76"/>
    <mergeCell ref="H77:I77"/>
    <mergeCell ref="H78:I78"/>
    <mergeCell ref="H100:I100"/>
    <mergeCell ref="H101:I101"/>
    <mergeCell ref="H102:I102"/>
    <mergeCell ref="E103:E104"/>
    <mergeCell ref="H103:I103"/>
    <mergeCell ref="H104:I104"/>
    <mergeCell ref="H94:I94"/>
    <mergeCell ref="H95:I95"/>
    <mergeCell ref="H96:I96"/>
    <mergeCell ref="H97:I97"/>
    <mergeCell ref="H98:I98"/>
    <mergeCell ref="H99:I99"/>
    <mergeCell ref="E85:E101"/>
    <mergeCell ref="H85:I85"/>
    <mergeCell ref="H86:I86"/>
    <mergeCell ref="H87:I87"/>
    <mergeCell ref="H88:I88"/>
    <mergeCell ref="H89:I89"/>
    <mergeCell ref="H90:I90"/>
    <mergeCell ref="H91:I91"/>
    <mergeCell ref="H92:I92"/>
    <mergeCell ref="H93:I93"/>
    <mergeCell ref="D112:D116"/>
    <mergeCell ref="H112:I112"/>
    <mergeCell ref="H113:I113"/>
    <mergeCell ref="H114:I114"/>
    <mergeCell ref="H115:I115"/>
    <mergeCell ref="H116:I116"/>
    <mergeCell ref="H105:I105"/>
    <mergeCell ref="H106:I106"/>
    <mergeCell ref="D107:D111"/>
    <mergeCell ref="H107:I107"/>
    <mergeCell ref="H108:I108"/>
    <mergeCell ref="H109:I109"/>
    <mergeCell ref="H110:I110"/>
    <mergeCell ref="H111:I111"/>
    <mergeCell ref="H119:I119"/>
    <mergeCell ref="D120:D144"/>
    <mergeCell ref="E120:E121"/>
    <mergeCell ref="H120:I120"/>
    <mergeCell ref="H121:I121"/>
    <mergeCell ref="H122:I122"/>
    <mergeCell ref="E123:E129"/>
    <mergeCell ref="H123:I123"/>
    <mergeCell ref="H124:I124"/>
    <mergeCell ref="H125:I125"/>
    <mergeCell ref="H126:I126"/>
    <mergeCell ref="H127:I127"/>
    <mergeCell ref="H128:I128"/>
    <mergeCell ref="H129:I129"/>
    <mergeCell ref="H130:I130"/>
    <mergeCell ref="E131:E139"/>
    <mergeCell ref="H131:I131"/>
    <mergeCell ref="H132:I132"/>
    <mergeCell ref="H133:I133"/>
    <mergeCell ref="H134:I134"/>
    <mergeCell ref="E141:E142"/>
    <mergeCell ref="H141:I141"/>
    <mergeCell ref="H142:I142"/>
    <mergeCell ref="H143:I143"/>
    <mergeCell ref="H144:I144"/>
    <mergeCell ref="H135:I135"/>
    <mergeCell ref="H136:I136"/>
    <mergeCell ref="H137:I137"/>
    <mergeCell ref="H138:I138"/>
    <mergeCell ref="H139:I139"/>
    <mergeCell ref="H140:I140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5DE5-16D4-4884-9E4C-85BF2F13281F}">
  <dimension ref="A1:X39"/>
  <sheetViews>
    <sheetView zoomScale="77" zoomScaleNormal="77" workbookViewId="0">
      <selection sqref="A1:XFD1048576"/>
    </sheetView>
  </sheetViews>
  <sheetFormatPr defaultRowHeight="16.5" x14ac:dyDescent="0.3"/>
  <cols>
    <col min="1" max="1" width="9.75" customWidth="1"/>
    <col min="2" max="2" width="5.375" customWidth="1"/>
    <col min="3" max="3" width="12.25" style="114" customWidth="1"/>
    <col min="4" max="4" width="9" style="114"/>
    <col min="5" max="5" width="15.375" style="114" customWidth="1"/>
    <col min="7" max="7" width="9.875" customWidth="1"/>
    <col min="8" max="9" width="12.5" style="115" customWidth="1"/>
    <col min="10" max="10" width="14.25" style="114" customWidth="1"/>
    <col min="11" max="11" width="10.75" customWidth="1"/>
    <col min="12" max="12" width="9.75" style="114" bestFit="1" customWidth="1"/>
    <col min="13" max="13" width="10.25" hidden="1" customWidth="1"/>
    <col min="14" max="14" width="9.125" style="114" hidden="1" customWidth="1"/>
    <col min="15" max="15" width="11.625" style="114" hidden="1" customWidth="1"/>
    <col min="16" max="16" width="0" style="114" hidden="1" customWidth="1"/>
    <col min="17" max="17" width="0" hidden="1" customWidth="1"/>
    <col min="18" max="18" width="14.75" customWidth="1"/>
    <col min="19" max="19" width="16.625" customWidth="1"/>
    <col min="20" max="20" width="14.25" customWidth="1"/>
    <col min="21" max="21" width="13" customWidth="1"/>
    <col min="22" max="22" width="13.25" customWidth="1"/>
    <col min="23" max="23" width="13" customWidth="1"/>
    <col min="24" max="24" width="18.125" customWidth="1"/>
  </cols>
  <sheetData>
    <row r="1" spans="1:24" ht="20.25" x14ac:dyDescent="0.3">
      <c r="A1" s="1" t="s">
        <v>170</v>
      </c>
    </row>
    <row r="3" spans="1:24" s="32" customFormat="1" x14ac:dyDescent="0.3">
      <c r="C3" s="124">
        <f>새안양_재고!F44</f>
        <v>72250</v>
      </c>
      <c r="D3" s="125" t="s">
        <v>69</v>
      </c>
      <c r="F3" s="36"/>
      <c r="H3" s="7">
        <f>새안양_재고!F49</f>
        <v>132009</v>
      </c>
      <c r="I3" s="124" t="s">
        <v>69</v>
      </c>
      <c r="K3" s="129"/>
      <c r="L3" s="33"/>
      <c r="M3" s="124"/>
      <c r="N3" s="35" t="s">
        <v>69</v>
      </c>
      <c r="O3" s="36"/>
      <c r="U3" s="126">
        <v>0.3</v>
      </c>
      <c r="V3" s="126">
        <v>1</v>
      </c>
    </row>
    <row r="4" spans="1:24" x14ac:dyDescent="0.3">
      <c r="A4" s="445" t="s">
        <v>40</v>
      </c>
      <c r="B4" s="445" t="s">
        <v>41</v>
      </c>
      <c r="C4" s="437" t="s">
        <v>101</v>
      </c>
      <c r="D4" s="438"/>
      <c r="E4" s="438"/>
      <c r="F4" s="438"/>
      <c r="G4" s="439"/>
      <c r="H4" s="440" t="s">
        <v>102</v>
      </c>
      <c r="I4" s="441"/>
      <c r="J4" s="441"/>
      <c r="K4" s="441"/>
      <c r="L4" s="442"/>
      <c r="M4" s="446" t="s">
        <v>104</v>
      </c>
      <c r="N4" s="446"/>
      <c r="O4" s="446"/>
      <c r="P4" s="446"/>
      <c r="Q4" s="446"/>
      <c r="R4" s="433" t="s">
        <v>86</v>
      </c>
      <c r="S4" s="433" t="s">
        <v>94</v>
      </c>
      <c r="T4" s="435" t="s">
        <v>48</v>
      </c>
      <c r="U4" s="34" t="s">
        <v>67</v>
      </c>
      <c r="V4" s="34" t="s">
        <v>68</v>
      </c>
      <c r="W4" s="421" t="s">
        <v>85</v>
      </c>
      <c r="X4" s="423" t="s">
        <v>103</v>
      </c>
    </row>
    <row r="5" spans="1:24" x14ac:dyDescent="0.3">
      <c r="A5" s="445"/>
      <c r="B5" s="445"/>
      <c r="C5" s="7" t="s">
        <v>43</v>
      </c>
      <c r="D5" s="7" t="s">
        <v>66</v>
      </c>
      <c r="E5" s="7" t="s">
        <v>95</v>
      </c>
      <c r="F5" s="23" t="s">
        <v>64</v>
      </c>
      <c r="G5" s="24" t="s">
        <v>65</v>
      </c>
      <c r="H5" s="7" t="s">
        <v>43</v>
      </c>
      <c r="I5" s="7" t="s">
        <v>66</v>
      </c>
      <c r="J5" s="7" t="s">
        <v>95</v>
      </c>
      <c r="K5" s="23" t="s">
        <v>64</v>
      </c>
      <c r="L5" s="7" t="s">
        <v>65</v>
      </c>
      <c r="M5" s="24" t="s">
        <v>43</v>
      </c>
      <c r="N5" s="7" t="s">
        <v>66</v>
      </c>
      <c r="O5" s="7" t="s">
        <v>95</v>
      </c>
      <c r="P5" s="23" t="s">
        <v>64</v>
      </c>
      <c r="Q5" s="24" t="s">
        <v>65</v>
      </c>
      <c r="R5" s="434"/>
      <c r="S5" s="434"/>
      <c r="T5" s="436"/>
      <c r="U5" s="24" t="s">
        <v>46</v>
      </c>
      <c r="V5" s="24" t="s">
        <v>46</v>
      </c>
      <c r="W5" s="422"/>
      <c r="X5" s="424"/>
    </row>
    <row r="6" spans="1:24" x14ac:dyDescent="0.3">
      <c r="A6" s="25">
        <v>43586</v>
      </c>
      <c r="B6" s="24" t="s">
        <v>60</v>
      </c>
      <c r="C6" s="35">
        <v>14298</v>
      </c>
      <c r="D6" s="312">
        <f>+'[3]01'!$Y$3</f>
        <v>1474</v>
      </c>
      <c r="E6" s="35">
        <f>C6*D6</f>
        <v>21075252</v>
      </c>
      <c r="F6" s="311">
        <f>C3-C6</f>
        <v>57952</v>
      </c>
      <c r="G6" s="313">
        <f>(2250*1376.248)/14298+(12048*1396.248)/14298</f>
        <v>1393.1007066722618</v>
      </c>
      <c r="H6" s="7">
        <v>9782</v>
      </c>
      <c r="I6" s="35">
        <v>1364</v>
      </c>
      <c r="J6" s="35">
        <f>H6*I6</f>
        <v>13342648</v>
      </c>
      <c r="K6" s="26">
        <f>52009-H6</f>
        <v>42227</v>
      </c>
      <c r="L6" s="319">
        <v>1227.02</v>
      </c>
      <c r="M6" s="26"/>
      <c r="N6" s="35"/>
      <c r="O6" s="35">
        <f>M6*N6</f>
        <v>0</v>
      </c>
      <c r="P6" s="26"/>
      <c r="Q6" s="66"/>
      <c r="R6" s="26">
        <f>E6+J6+O6</f>
        <v>34417900</v>
      </c>
      <c r="S6" s="5">
        <f>C6*G6+H6*L6+M6*Q6</f>
        <v>31921263.544</v>
      </c>
      <c r="T6" s="28">
        <f>R6-S6</f>
        <v>2496636.4560000002</v>
      </c>
      <c r="U6" s="26">
        <v>36000</v>
      </c>
      <c r="V6" s="26">
        <v>1011000</v>
      </c>
      <c r="W6" s="26">
        <f t="shared" ref="W6:W36" si="0">U6*0.7</f>
        <v>25200</v>
      </c>
      <c r="X6" s="117">
        <f>T6+V6+W6</f>
        <v>3532836.4560000002</v>
      </c>
    </row>
    <row r="7" spans="1:24" x14ac:dyDescent="0.3">
      <c r="A7" s="25">
        <v>43587</v>
      </c>
      <c r="B7" s="24" t="s">
        <v>61</v>
      </c>
      <c r="C7" s="35">
        <v>14401</v>
      </c>
      <c r="D7" s="312">
        <f>+'[3]02'!$Y$3</f>
        <v>1474</v>
      </c>
      <c r="E7" s="35">
        <f t="shared" ref="E7:E34" si="1">C7*D7</f>
        <v>21227074</v>
      </c>
      <c r="F7" s="26">
        <f>F6-C7</f>
        <v>43551</v>
      </c>
      <c r="G7" s="68">
        <v>1396.248</v>
      </c>
      <c r="H7" s="7">
        <v>11163</v>
      </c>
      <c r="I7" s="35">
        <v>1364</v>
      </c>
      <c r="J7" s="35">
        <f t="shared" ref="J7:J36" si="2">H7*I7</f>
        <v>15226332</v>
      </c>
      <c r="K7" s="26">
        <f>K6-H7</f>
        <v>31064</v>
      </c>
      <c r="L7" s="319">
        <v>1227.02</v>
      </c>
      <c r="M7" s="26"/>
      <c r="N7" s="35"/>
      <c r="O7" s="35">
        <f t="shared" ref="O7:O36" si="3">M7*N7</f>
        <v>0</v>
      </c>
      <c r="P7" s="26"/>
      <c r="Q7" s="66"/>
      <c r="R7" s="26">
        <f t="shared" ref="R7:R36" si="4">E7+J7+O7</f>
        <v>36453406</v>
      </c>
      <c r="S7" s="5">
        <f t="shared" ref="S7:S36" si="5">C7*G7+H7*L7+M7*Q7</f>
        <v>33804591.707999997</v>
      </c>
      <c r="T7" s="28">
        <f t="shared" ref="T7:T36" si="6">R7-S7</f>
        <v>2648814.2920000032</v>
      </c>
      <c r="U7" s="26">
        <v>44000</v>
      </c>
      <c r="V7" s="72">
        <v>1164000</v>
      </c>
      <c r="W7" s="26">
        <f t="shared" si="0"/>
        <v>30799.999999999996</v>
      </c>
      <c r="X7" s="117">
        <f t="shared" ref="X7:X36" si="7">T7+V7+W7</f>
        <v>3843614.2920000032</v>
      </c>
    </row>
    <row r="8" spans="1:24" x14ac:dyDescent="0.3">
      <c r="A8" s="25">
        <v>43588</v>
      </c>
      <c r="B8" s="24" t="s">
        <v>52</v>
      </c>
      <c r="C8" s="35">
        <v>14115</v>
      </c>
      <c r="D8" s="312">
        <f>+'[3]03'!$Y$3</f>
        <v>1494</v>
      </c>
      <c r="E8" s="35">
        <f t="shared" si="1"/>
        <v>21087810</v>
      </c>
      <c r="F8" s="26">
        <f t="shared" ref="F8:F26" si="8">F7-C8</f>
        <v>29436</v>
      </c>
      <c r="G8" s="68">
        <v>1396.248</v>
      </c>
      <c r="H8" s="7">
        <v>13912</v>
      </c>
      <c r="I8" s="35">
        <v>1374</v>
      </c>
      <c r="J8" s="35">
        <f t="shared" si="2"/>
        <v>19115088</v>
      </c>
      <c r="K8" s="26">
        <f t="shared" ref="K8:K9" si="9">K7-H8</f>
        <v>17152</v>
      </c>
      <c r="L8" s="319">
        <v>1227.02</v>
      </c>
      <c r="M8" s="26"/>
      <c r="N8" s="35"/>
      <c r="O8" s="35">
        <f t="shared" si="3"/>
        <v>0</v>
      </c>
      <c r="P8" s="26"/>
      <c r="Q8" s="66"/>
      <c r="R8" s="26">
        <f t="shared" si="4"/>
        <v>40202898</v>
      </c>
      <c r="S8" s="5">
        <f t="shared" si="5"/>
        <v>36778342.759999998</v>
      </c>
      <c r="T8" s="28">
        <f t="shared" si="6"/>
        <v>3424555.2400000021</v>
      </c>
      <c r="U8" s="26">
        <v>0</v>
      </c>
      <c r="V8" s="26">
        <v>906000</v>
      </c>
      <c r="W8" s="26">
        <f t="shared" si="0"/>
        <v>0</v>
      </c>
      <c r="X8" s="117">
        <f t="shared" si="7"/>
        <v>4330555.2400000021</v>
      </c>
    </row>
    <row r="9" spans="1:24" x14ac:dyDescent="0.3">
      <c r="A9" s="25">
        <v>43589</v>
      </c>
      <c r="B9" s="24" t="s">
        <v>62</v>
      </c>
      <c r="C9" s="35">
        <v>14956</v>
      </c>
      <c r="D9" s="312">
        <f>+'[3]04'!$Y$3</f>
        <v>1494</v>
      </c>
      <c r="E9" s="35">
        <f t="shared" si="1"/>
        <v>22344264</v>
      </c>
      <c r="F9" s="26">
        <f t="shared" si="8"/>
        <v>14480</v>
      </c>
      <c r="G9" s="68">
        <v>1396.248</v>
      </c>
      <c r="H9" s="7">
        <v>9687</v>
      </c>
      <c r="I9" s="35">
        <v>1374</v>
      </c>
      <c r="J9" s="35">
        <f t="shared" si="2"/>
        <v>13309938</v>
      </c>
      <c r="K9" s="26">
        <f t="shared" si="9"/>
        <v>7465</v>
      </c>
      <c r="L9" s="319">
        <v>1227.02</v>
      </c>
      <c r="M9" s="26"/>
      <c r="N9" s="35"/>
      <c r="O9" s="35">
        <f t="shared" si="3"/>
        <v>0</v>
      </c>
      <c r="P9" s="26"/>
      <c r="Q9" s="66"/>
      <c r="R9" s="26">
        <f t="shared" si="4"/>
        <v>35654202</v>
      </c>
      <c r="S9" s="5">
        <f t="shared" si="5"/>
        <v>32768427.828000002</v>
      </c>
      <c r="T9" s="28">
        <f t="shared" si="6"/>
        <v>2885774.1719999984</v>
      </c>
      <c r="U9" s="26">
        <v>25000</v>
      </c>
      <c r="V9" s="26">
        <v>932000</v>
      </c>
      <c r="W9" s="26">
        <f t="shared" si="0"/>
        <v>17500</v>
      </c>
      <c r="X9" s="117">
        <f t="shared" si="7"/>
        <v>3835274.1719999984</v>
      </c>
    </row>
    <row r="10" spans="1:24" x14ac:dyDescent="0.3">
      <c r="A10" s="25">
        <v>43590</v>
      </c>
      <c r="B10" s="24" t="s">
        <v>63</v>
      </c>
      <c r="C10" s="35">
        <v>11013</v>
      </c>
      <c r="D10" s="312">
        <f>+'[3]05'!$Y$3</f>
        <v>1494</v>
      </c>
      <c r="E10" s="35">
        <f t="shared" si="1"/>
        <v>16453422</v>
      </c>
      <c r="F10" s="26">
        <f t="shared" si="8"/>
        <v>3467</v>
      </c>
      <c r="G10" s="68">
        <v>1396.248</v>
      </c>
      <c r="H10" s="7">
        <v>7682</v>
      </c>
      <c r="I10" s="35">
        <v>1374</v>
      </c>
      <c r="J10" s="35">
        <f t="shared" si="2"/>
        <v>10555068</v>
      </c>
      <c r="K10" s="131">
        <f>K9-H10+20000</f>
        <v>19783</v>
      </c>
      <c r="L10" s="122">
        <f>(7465*1227.02)/7465+(217*1211.248)/7465</f>
        <v>1262.229754320161</v>
      </c>
      <c r="M10" s="26"/>
      <c r="N10" s="35"/>
      <c r="O10" s="35">
        <f t="shared" si="3"/>
        <v>0</v>
      </c>
      <c r="P10" s="26"/>
      <c r="Q10" s="66"/>
      <c r="R10" s="26">
        <f t="shared" si="4"/>
        <v>27008490</v>
      </c>
      <c r="S10" s="5">
        <f t="shared" si="5"/>
        <v>25073328.196687479</v>
      </c>
      <c r="T10" s="28">
        <f t="shared" si="6"/>
        <v>1935161.8033125214</v>
      </c>
      <c r="U10" s="26">
        <v>36000</v>
      </c>
      <c r="V10" s="26">
        <v>713000</v>
      </c>
      <c r="W10" s="26">
        <f t="shared" si="0"/>
        <v>25200</v>
      </c>
      <c r="X10" s="117">
        <f t="shared" si="7"/>
        <v>2673361.8033125214</v>
      </c>
    </row>
    <row r="11" spans="1:24" x14ac:dyDescent="0.3">
      <c r="A11" s="25">
        <v>43591</v>
      </c>
      <c r="B11" s="24" t="s">
        <v>55</v>
      </c>
      <c r="C11" s="35">
        <v>24451</v>
      </c>
      <c r="D11" s="312">
        <f>+'[3]06'!$Y$3</f>
        <v>1494</v>
      </c>
      <c r="E11" s="35">
        <f t="shared" si="1"/>
        <v>36529794</v>
      </c>
      <c r="F11" s="311">
        <f>F10-C11+새안양_재고!F57</f>
        <v>9016</v>
      </c>
      <c r="G11" s="313">
        <f>(3467*1396.248)/C11+(20984*1421)/C11</f>
        <v>1417.4903200687088</v>
      </c>
      <c r="H11" s="7">
        <v>13504</v>
      </c>
      <c r="I11" s="35">
        <v>1374</v>
      </c>
      <c r="J11" s="35">
        <f t="shared" si="2"/>
        <v>18554496</v>
      </c>
      <c r="K11" s="26">
        <f>K10-H11</f>
        <v>6279</v>
      </c>
      <c r="L11" s="319">
        <v>1211.248</v>
      </c>
      <c r="M11" s="26"/>
      <c r="N11" s="35"/>
      <c r="O11" s="35">
        <f t="shared" si="3"/>
        <v>0</v>
      </c>
      <c r="P11" s="26"/>
      <c r="Q11" s="66"/>
      <c r="R11" s="26">
        <f t="shared" si="4"/>
        <v>55084290</v>
      </c>
      <c r="S11" s="5">
        <f t="shared" si="5"/>
        <v>51015748.807999998</v>
      </c>
      <c r="T11" s="28">
        <f t="shared" si="6"/>
        <v>4068541.1920000017</v>
      </c>
      <c r="U11" s="26">
        <v>25000</v>
      </c>
      <c r="V11" s="26">
        <v>976000</v>
      </c>
      <c r="W11" s="26">
        <f t="shared" si="0"/>
        <v>17500</v>
      </c>
      <c r="X11" s="117">
        <f t="shared" si="7"/>
        <v>5062041.1920000017</v>
      </c>
    </row>
    <row r="12" spans="1:24" x14ac:dyDescent="0.3">
      <c r="A12" s="25">
        <v>43592</v>
      </c>
      <c r="B12" s="24" t="s">
        <v>56</v>
      </c>
      <c r="C12" s="35">
        <v>23221</v>
      </c>
      <c r="D12" s="312">
        <f>+'[3]07'!$Y$3</f>
        <v>1474</v>
      </c>
      <c r="E12" s="35">
        <f t="shared" si="1"/>
        <v>34227754</v>
      </c>
      <c r="F12" s="311">
        <f>F11-C12+새안양_재고!F58</f>
        <v>5795</v>
      </c>
      <c r="G12" s="68">
        <v>1421</v>
      </c>
      <c r="H12" s="7">
        <v>16362</v>
      </c>
      <c r="I12" s="35">
        <v>1354</v>
      </c>
      <c r="J12" s="35">
        <f t="shared" si="2"/>
        <v>22154148</v>
      </c>
      <c r="K12" s="131">
        <f>K11-H12+60000</f>
        <v>49917</v>
      </c>
      <c r="L12" s="122">
        <f>(6279*1211.248)/16362+(10083*1226.248)/16362</f>
        <v>1220.4916743674369</v>
      </c>
      <c r="M12" s="26"/>
      <c r="N12" s="35"/>
      <c r="O12" s="35">
        <f t="shared" si="3"/>
        <v>0</v>
      </c>
      <c r="P12" s="26"/>
      <c r="Q12" s="66"/>
      <c r="R12" s="26">
        <f t="shared" si="4"/>
        <v>56381902</v>
      </c>
      <c r="S12" s="5">
        <f t="shared" si="5"/>
        <v>52966725.776000001</v>
      </c>
      <c r="T12" s="28">
        <f t="shared" si="6"/>
        <v>3415176.2239999995</v>
      </c>
      <c r="U12" s="26">
        <v>58000</v>
      </c>
      <c r="V12" s="26">
        <v>857000</v>
      </c>
      <c r="W12" s="26">
        <f t="shared" si="0"/>
        <v>40600</v>
      </c>
      <c r="X12" s="117">
        <f t="shared" si="7"/>
        <v>4312776.2239999995</v>
      </c>
    </row>
    <row r="13" spans="1:24" x14ac:dyDescent="0.3">
      <c r="A13" s="25">
        <v>43593</v>
      </c>
      <c r="B13" s="24" t="s">
        <v>57</v>
      </c>
      <c r="C13" s="35">
        <v>12295</v>
      </c>
      <c r="D13" s="312">
        <f>+'[3]08'!$Y$3</f>
        <v>1524</v>
      </c>
      <c r="E13" s="35">
        <f t="shared" si="1"/>
        <v>18737580</v>
      </c>
      <c r="F13" s="311">
        <f>F12-C13+새안양_재고!F59</f>
        <v>13500</v>
      </c>
      <c r="G13" s="68">
        <v>1421</v>
      </c>
      <c r="H13" s="7">
        <v>9310</v>
      </c>
      <c r="I13" s="35">
        <v>1394</v>
      </c>
      <c r="J13" s="35">
        <f t="shared" si="2"/>
        <v>12978140</v>
      </c>
      <c r="K13" s="26">
        <f>K12-H13</f>
        <v>40607</v>
      </c>
      <c r="L13" s="319">
        <v>1226.04</v>
      </c>
      <c r="M13" s="26"/>
      <c r="N13" s="35"/>
      <c r="O13" s="35">
        <f t="shared" si="3"/>
        <v>0</v>
      </c>
      <c r="P13" s="119"/>
      <c r="Q13" s="120"/>
      <c r="R13" s="26">
        <f t="shared" si="4"/>
        <v>31715720</v>
      </c>
      <c r="S13" s="5">
        <f t="shared" si="5"/>
        <v>28885627.399999999</v>
      </c>
      <c r="T13" s="28">
        <f t="shared" si="6"/>
        <v>2830092.6000000015</v>
      </c>
      <c r="U13" s="26">
        <v>27000</v>
      </c>
      <c r="V13" s="325">
        <v>659000</v>
      </c>
      <c r="W13" s="326">
        <f t="shared" si="0"/>
        <v>18900</v>
      </c>
      <c r="X13" s="117">
        <f t="shared" si="7"/>
        <v>3507992.6000000015</v>
      </c>
    </row>
    <row r="14" spans="1:24" x14ac:dyDescent="0.3">
      <c r="A14" s="25">
        <v>43594</v>
      </c>
      <c r="B14" s="24" t="s">
        <v>58</v>
      </c>
      <c r="C14" s="35">
        <v>11893</v>
      </c>
      <c r="D14" s="312">
        <f>+'[3]09'!$Y$3</f>
        <v>1524</v>
      </c>
      <c r="E14" s="35">
        <f t="shared" si="1"/>
        <v>18124932</v>
      </c>
      <c r="F14" s="26">
        <f t="shared" si="8"/>
        <v>1607</v>
      </c>
      <c r="G14" s="68">
        <v>1421</v>
      </c>
      <c r="H14" s="7">
        <v>10191</v>
      </c>
      <c r="I14" s="35">
        <v>1394</v>
      </c>
      <c r="J14" s="35">
        <f t="shared" si="2"/>
        <v>14206254</v>
      </c>
      <c r="K14" s="26">
        <f t="shared" ref="K14:K17" si="10">K13-H14</f>
        <v>30416</v>
      </c>
      <c r="L14" s="319">
        <v>1226.04</v>
      </c>
      <c r="M14" s="26"/>
      <c r="N14" s="35"/>
      <c r="O14" s="35">
        <f t="shared" si="3"/>
        <v>0</v>
      </c>
      <c r="P14" s="26"/>
      <c r="Q14" s="66"/>
      <c r="R14" s="26">
        <f t="shared" si="4"/>
        <v>32331186</v>
      </c>
      <c r="S14" s="5">
        <f t="shared" si="5"/>
        <v>29394526.640000001</v>
      </c>
      <c r="T14" s="28">
        <f t="shared" si="6"/>
        <v>2936659.3599999994</v>
      </c>
      <c r="U14" s="26">
        <v>58000</v>
      </c>
      <c r="V14" s="26">
        <v>640000</v>
      </c>
      <c r="W14" s="26">
        <f t="shared" si="0"/>
        <v>40600</v>
      </c>
      <c r="X14" s="117">
        <f t="shared" si="7"/>
        <v>3617259.3599999994</v>
      </c>
    </row>
    <row r="15" spans="1:24" x14ac:dyDescent="0.3">
      <c r="A15" s="25">
        <v>43595</v>
      </c>
      <c r="B15" s="24" t="s">
        <v>59</v>
      </c>
      <c r="C15" s="35">
        <v>12137</v>
      </c>
      <c r="D15" s="312">
        <f>+'[3]10'!$Y$3</f>
        <v>1524</v>
      </c>
      <c r="E15" s="35">
        <f t="shared" si="1"/>
        <v>18496788</v>
      </c>
      <c r="F15" s="311">
        <f>F14-C15+새안양_재고!F60</f>
        <v>9470</v>
      </c>
      <c r="G15" s="68">
        <v>1421</v>
      </c>
      <c r="H15" s="7">
        <v>12150</v>
      </c>
      <c r="I15" s="35">
        <v>1394</v>
      </c>
      <c r="J15" s="35">
        <f t="shared" si="2"/>
        <v>16937100</v>
      </c>
      <c r="K15" s="26">
        <f t="shared" si="10"/>
        <v>18266</v>
      </c>
      <c r="L15" s="319">
        <v>1226.04</v>
      </c>
      <c r="M15" s="26"/>
      <c r="N15" s="35"/>
      <c r="O15" s="35">
        <f t="shared" si="3"/>
        <v>0</v>
      </c>
      <c r="P15" s="26"/>
      <c r="Q15" s="66"/>
      <c r="R15" s="26">
        <f t="shared" si="4"/>
        <v>35433888</v>
      </c>
      <c r="S15" s="5">
        <f t="shared" si="5"/>
        <v>32143063</v>
      </c>
      <c r="T15" s="28">
        <f t="shared" si="6"/>
        <v>3290825</v>
      </c>
      <c r="U15" s="26">
        <v>22000</v>
      </c>
      <c r="V15" s="26">
        <v>640000</v>
      </c>
      <c r="W15" s="26">
        <f t="shared" si="0"/>
        <v>15399.999999999998</v>
      </c>
      <c r="X15" s="117">
        <f t="shared" si="7"/>
        <v>3946225</v>
      </c>
    </row>
    <row r="16" spans="1:24" x14ac:dyDescent="0.3">
      <c r="A16" s="25">
        <v>43596</v>
      </c>
      <c r="B16" s="24" t="s">
        <v>53</v>
      </c>
      <c r="C16" s="35">
        <v>11642</v>
      </c>
      <c r="D16" s="312">
        <f>+'[3]11'!$Y$3</f>
        <v>1534</v>
      </c>
      <c r="E16" s="35">
        <f t="shared" si="1"/>
        <v>17858828</v>
      </c>
      <c r="F16" s="311">
        <f>F15-C16+새안양_재고!F61</f>
        <v>57828</v>
      </c>
      <c r="G16" s="317">
        <f>(9470*1421)/C16+(2172*1466)/C16</f>
        <v>1429.3954646967877</v>
      </c>
      <c r="H16" s="7">
        <v>8757</v>
      </c>
      <c r="I16" s="35">
        <v>1414</v>
      </c>
      <c r="J16" s="35">
        <f t="shared" si="2"/>
        <v>12382398</v>
      </c>
      <c r="K16" s="26">
        <f t="shared" si="10"/>
        <v>9509</v>
      </c>
      <c r="L16" s="319">
        <v>1226.04</v>
      </c>
      <c r="M16" s="26"/>
      <c r="N16" s="35"/>
      <c r="O16" s="35">
        <f t="shared" si="3"/>
        <v>0</v>
      </c>
      <c r="P16" s="26"/>
      <c r="Q16" s="66"/>
      <c r="R16" s="26">
        <f t="shared" si="4"/>
        <v>30241226</v>
      </c>
      <c r="S16" s="5">
        <f t="shared" si="5"/>
        <v>27377454.280000001</v>
      </c>
      <c r="T16" s="28">
        <f t="shared" si="6"/>
        <v>2863771.7199999988</v>
      </c>
      <c r="U16" s="26">
        <v>76000</v>
      </c>
      <c r="V16" s="26">
        <v>921000</v>
      </c>
      <c r="W16" s="26">
        <f t="shared" si="0"/>
        <v>53200</v>
      </c>
      <c r="X16" s="117">
        <f t="shared" si="7"/>
        <v>3837971.7199999988</v>
      </c>
    </row>
    <row r="17" spans="1:24" x14ac:dyDescent="0.3">
      <c r="A17" s="25">
        <v>43597</v>
      </c>
      <c r="B17" s="24" t="s">
        <v>54</v>
      </c>
      <c r="C17" s="35">
        <v>11600</v>
      </c>
      <c r="D17" s="312">
        <f>+'[3]12'!$Y$3</f>
        <v>1534</v>
      </c>
      <c r="E17" s="35">
        <f t="shared" si="1"/>
        <v>17794400</v>
      </c>
      <c r="F17" s="26">
        <f t="shared" si="8"/>
        <v>46228</v>
      </c>
      <c r="G17" s="67">
        <v>1466</v>
      </c>
      <c r="H17" s="7">
        <v>6820</v>
      </c>
      <c r="I17" s="35">
        <v>1414</v>
      </c>
      <c r="J17" s="35">
        <f t="shared" si="2"/>
        <v>9643480</v>
      </c>
      <c r="K17" s="35">
        <f t="shared" si="10"/>
        <v>2689</v>
      </c>
      <c r="L17" s="318">
        <v>1226.04</v>
      </c>
      <c r="M17" s="26"/>
      <c r="N17" s="35"/>
      <c r="O17" s="35">
        <f t="shared" si="3"/>
        <v>0</v>
      </c>
      <c r="P17" s="26"/>
      <c r="Q17" s="66"/>
      <c r="R17" s="26">
        <f t="shared" si="4"/>
        <v>27437880</v>
      </c>
      <c r="S17" s="5">
        <f t="shared" si="5"/>
        <v>25367192.800000001</v>
      </c>
      <c r="T17" s="28">
        <f t="shared" si="6"/>
        <v>2070687.1999999993</v>
      </c>
      <c r="U17" s="26">
        <v>18000</v>
      </c>
      <c r="V17" s="26">
        <v>827000</v>
      </c>
      <c r="W17" s="26">
        <f t="shared" si="0"/>
        <v>12600</v>
      </c>
      <c r="X17" s="117">
        <f t="shared" si="7"/>
        <v>2910287.1999999993</v>
      </c>
    </row>
    <row r="18" spans="1:24" x14ac:dyDescent="0.3">
      <c r="A18" s="25">
        <v>43598</v>
      </c>
      <c r="B18" s="24" t="s">
        <v>55</v>
      </c>
      <c r="C18" s="35">
        <v>10368</v>
      </c>
      <c r="D18" s="312">
        <f>+'[3]13'!$Y$3</f>
        <v>1534</v>
      </c>
      <c r="E18" s="35">
        <f t="shared" si="1"/>
        <v>15904512</v>
      </c>
      <c r="F18" s="26">
        <f t="shared" si="8"/>
        <v>35860</v>
      </c>
      <c r="G18" s="67">
        <v>1466</v>
      </c>
      <c r="H18" s="7">
        <v>10683</v>
      </c>
      <c r="I18" s="35">
        <v>1414</v>
      </c>
      <c r="J18" s="35">
        <f t="shared" si="2"/>
        <v>15105762</v>
      </c>
      <c r="K18" s="131">
        <f>K17-H18+30000</f>
        <v>22006</v>
      </c>
      <c r="L18" s="320">
        <f>(2689*1226.04)/10683+(7994*1251)/10683</f>
        <v>1244.7173602920529</v>
      </c>
      <c r="M18" s="26"/>
      <c r="N18" s="35"/>
      <c r="O18" s="35">
        <f t="shared" si="3"/>
        <v>0</v>
      </c>
      <c r="P18" s="26"/>
      <c r="Q18" s="66"/>
      <c r="R18" s="26">
        <f t="shared" si="4"/>
        <v>31010274</v>
      </c>
      <c r="S18" s="5">
        <f t="shared" si="5"/>
        <v>28496803.560000002</v>
      </c>
      <c r="T18" s="28">
        <f t="shared" si="6"/>
        <v>2513470.4399999976</v>
      </c>
      <c r="U18" s="26">
        <v>53000</v>
      </c>
      <c r="V18" s="26">
        <v>328000</v>
      </c>
      <c r="W18" s="26">
        <f t="shared" si="0"/>
        <v>37100</v>
      </c>
      <c r="X18" s="117">
        <f t="shared" si="7"/>
        <v>2878570.4399999976</v>
      </c>
    </row>
    <row r="19" spans="1:24" x14ac:dyDescent="0.3">
      <c r="A19" s="25">
        <v>43599</v>
      </c>
      <c r="B19" s="24" t="s">
        <v>56</v>
      </c>
      <c r="C19" s="35">
        <v>21474</v>
      </c>
      <c r="D19" s="312">
        <f>+'[3]14'!$Y$3</f>
        <v>1514</v>
      </c>
      <c r="E19" s="35">
        <f t="shared" si="1"/>
        <v>32511636</v>
      </c>
      <c r="F19" s="26">
        <f t="shared" si="8"/>
        <v>14386</v>
      </c>
      <c r="G19" s="67">
        <v>1466</v>
      </c>
      <c r="H19" s="7">
        <v>15986</v>
      </c>
      <c r="I19" s="35">
        <v>1384</v>
      </c>
      <c r="J19" s="35">
        <f t="shared" si="2"/>
        <v>22124624</v>
      </c>
      <c r="K19" s="26">
        <f>K18-H19</f>
        <v>6020</v>
      </c>
      <c r="L19" s="318">
        <v>1251</v>
      </c>
      <c r="M19" s="26"/>
      <c r="N19" s="35"/>
      <c r="O19" s="35">
        <f t="shared" si="3"/>
        <v>0</v>
      </c>
      <c r="P19" s="26"/>
      <c r="Q19" s="66"/>
      <c r="R19" s="26">
        <f t="shared" si="4"/>
        <v>54636260</v>
      </c>
      <c r="S19" s="5">
        <f t="shared" si="5"/>
        <v>51479370</v>
      </c>
      <c r="T19" s="28">
        <f t="shared" si="6"/>
        <v>3156890</v>
      </c>
      <c r="U19" s="26">
        <v>22000</v>
      </c>
      <c r="V19" s="26">
        <v>1006000</v>
      </c>
      <c r="W19" s="26">
        <f t="shared" si="0"/>
        <v>15399.999999999998</v>
      </c>
      <c r="X19" s="117">
        <f t="shared" si="7"/>
        <v>4178290</v>
      </c>
    </row>
    <row r="20" spans="1:24" x14ac:dyDescent="0.3">
      <c r="A20" s="25">
        <v>43600</v>
      </c>
      <c r="B20" s="24" t="s">
        <v>57</v>
      </c>
      <c r="C20" s="35">
        <v>11996</v>
      </c>
      <c r="D20" s="312">
        <f>+'[3]15'!$Y$3</f>
        <v>1534</v>
      </c>
      <c r="E20" s="35">
        <f t="shared" si="1"/>
        <v>18401864</v>
      </c>
      <c r="F20" s="26">
        <f t="shared" si="8"/>
        <v>2390</v>
      </c>
      <c r="G20" s="67">
        <v>1466</v>
      </c>
      <c r="H20" s="7">
        <v>9571</v>
      </c>
      <c r="I20" s="35">
        <v>1404</v>
      </c>
      <c r="J20" s="35">
        <f t="shared" si="2"/>
        <v>13437684</v>
      </c>
      <c r="K20" s="131">
        <f>K19-H20+30000</f>
        <v>26449</v>
      </c>
      <c r="L20" s="318">
        <v>1251</v>
      </c>
      <c r="M20" s="26"/>
      <c r="N20" s="35"/>
      <c r="O20" s="35">
        <f t="shared" si="3"/>
        <v>0</v>
      </c>
      <c r="P20" s="26"/>
      <c r="Q20" s="66"/>
      <c r="R20" s="26">
        <f t="shared" si="4"/>
        <v>31839548</v>
      </c>
      <c r="S20" s="5">
        <f t="shared" si="5"/>
        <v>29559457</v>
      </c>
      <c r="T20" s="28">
        <f t="shared" si="6"/>
        <v>2280091</v>
      </c>
      <c r="U20" s="26">
        <v>44000</v>
      </c>
      <c r="V20" s="26">
        <v>699000</v>
      </c>
      <c r="W20" s="26">
        <f t="shared" si="0"/>
        <v>30799.999999999996</v>
      </c>
      <c r="X20" s="117">
        <f t="shared" si="7"/>
        <v>3009891</v>
      </c>
    </row>
    <row r="21" spans="1:24" x14ac:dyDescent="0.3">
      <c r="A21" s="25">
        <v>43601</v>
      </c>
      <c r="B21" s="24" t="s">
        <v>58</v>
      </c>
      <c r="C21" s="35">
        <v>13116</v>
      </c>
      <c r="D21" s="312">
        <f>+'[3]16'!$Y$3</f>
        <v>1534</v>
      </c>
      <c r="E21" s="35">
        <f t="shared" si="1"/>
        <v>20119944</v>
      </c>
      <c r="F21" s="311">
        <f>F20-C21+새안양_재고!F62</f>
        <v>19274</v>
      </c>
      <c r="G21" s="317">
        <f>(2390*1466)/C21+(10726*1481)/C21</f>
        <v>1478.2666971637695</v>
      </c>
      <c r="H21" s="7">
        <v>10571</v>
      </c>
      <c r="I21" s="35">
        <v>1404</v>
      </c>
      <c r="J21" s="35">
        <f t="shared" si="2"/>
        <v>14841684</v>
      </c>
      <c r="K21" s="26">
        <f t="shared" ref="K21:K22" si="11">K20-H21</f>
        <v>15878</v>
      </c>
      <c r="L21" s="318">
        <v>1251</v>
      </c>
      <c r="M21" s="26"/>
      <c r="N21" s="35"/>
      <c r="O21" s="35">
        <f t="shared" si="3"/>
        <v>0</v>
      </c>
      <c r="P21" s="26"/>
      <c r="Q21" s="66"/>
      <c r="R21" s="26">
        <f t="shared" si="4"/>
        <v>34961628</v>
      </c>
      <c r="S21" s="5">
        <f t="shared" si="5"/>
        <v>32613267</v>
      </c>
      <c r="T21" s="28">
        <f t="shared" si="6"/>
        <v>2348361</v>
      </c>
      <c r="U21" s="26">
        <v>29000</v>
      </c>
      <c r="V21" s="26">
        <v>748000</v>
      </c>
      <c r="W21" s="26">
        <f t="shared" si="0"/>
        <v>20300</v>
      </c>
      <c r="X21" s="117">
        <f t="shared" si="7"/>
        <v>3116661</v>
      </c>
    </row>
    <row r="22" spans="1:24" x14ac:dyDescent="0.3">
      <c r="A22" s="25">
        <v>43602</v>
      </c>
      <c r="B22" s="24" t="s">
        <v>59</v>
      </c>
      <c r="C22" s="35">
        <v>14882</v>
      </c>
      <c r="D22" s="312">
        <f>+'[3]17'!$Y$3</f>
        <v>1534</v>
      </c>
      <c r="E22" s="35">
        <f t="shared" si="1"/>
        <v>22828988</v>
      </c>
      <c r="F22" s="26">
        <f t="shared" si="8"/>
        <v>4392</v>
      </c>
      <c r="G22" s="67">
        <v>1481</v>
      </c>
      <c r="H22" s="7">
        <v>11534</v>
      </c>
      <c r="I22" s="35">
        <v>1404</v>
      </c>
      <c r="J22" s="35">
        <f t="shared" si="2"/>
        <v>16193736</v>
      </c>
      <c r="K22" s="26">
        <f t="shared" si="11"/>
        <v>4344</v>
      </c>
      <c r="L22" s="318">
        <v>1251</v>
      </c>
      <c r="M22" s="26"/>
      <c r="N22" s="35"/>
      <c r="O22" s="35">
        <f t="shared" si="3"/>
        <v>0</v>
      </c>
      <c r="P22" s="26"/>
      <c r="Q22" s="66"/>
      <c r="R22" s="26">
        <f t="shared" si="4"/>
        <v>39022724</v>
      </c>
      <c r="S22" s="5">
        <f t="shared" si="5"/>
        <v>36469276</v>
      </c>
      <c r="T22" s="28">
        <f t="shared" si="6"/>
        <v>2553448</v>
      </c>
      <c r="U22" s="26">
        <v>54000</v>
      </c>
      <c r="V22" s="26">
        <v>961000</v>
      </c>
      <c r="W22" s="26">
        <f t="shared" si="0"/>
        <v>37800</v>
      </c>
      <c r="X22" s="117">
        <f t="shared" si="7"/>
        <v>3552248</v>
      </c>
    </row>
    <row r="23" spans="1:24" x14ac:dyDescent="0.3">
      <c r="A23" s="25">
        <v>43603</v>
      </c>
      <c r="B23" s="24" t="s">
        <v>53</v>
      </c>
      <c r="C23" s="35">
        <v>12504</v>
      </c>
      <c r="D23" s="312">
        <f>+'[3]18'!$Y$3</f>
        <v>1534</v>
      </c>
      <c r="E23" s="35">
        <f t="shared" si="1"/>
        <v>19181136</v>
      </c>
      <c r="F23" s="311">
        <f>F22-C23+새안양_재고!F63</f>
        <v>51888</v>
      </c>
      <c r="G23" s="67">
        <v>1481</v>
      </c>
      <c r="H23" s="7">
        <v>9701</v>
      </c>
      <c r="I23" s="35">
        <v>1404</v>
      </c>
      <c r="J23" s="35">
        <f t="shared" si="2"/>
        <v>13620204</v>
      </c>
      <c r="K23" s="131">
        <f>K22-H23+20000</f>
        <v>14643</v>
      </c>
      <c r="L23" s="318">
        <v>1251</v>
      </c>
      <c r="M23" s="26"/>
      <c r="N23" s="35"/>
      <c r="O23" s="35">
        <f t="shared" si="3"/>
        <v>0</v>
      </c>
      <c r="P23" s="26"/>
      <c r="Q23" s="66"/>
      <c r="R23" s="26">
        <f t="shared" si="4"/>
        <v>32801340</v>
      </c>
      <c r="S23" s="5">
        <f t="shared" si="5"/>
        <v>30654375</v>
      </c>
      <c r="T23" s="28">
        <f t="shared" si="6"/>
        <v>2146965</v>
      </c>
      <c r="U23" s="26">
        <v>61000</v>
      </c>
      <c r="V23" s="26">
        <v>626000</v>
      </c>
      <c r="W23" s="26">
        <f t="shared" si="0"/>
        <v>42700</v>
      </c>
      <c r="X23" s="117">
        <f t="shared" si="7"/>
        <v>2815665</v>
      </c>
    </row>
    <row r="24" spans="1:24" x14ac:dyDescent="0.3">
      <c r="A24" s="25">
        <v>43604</v>
      </c>
      <c r="B24" s="24" t="s">
        <v>54</v>
      </c>
      <c r="C24" s="35">
        <v>11055</v>
      </c>
      <c r="D24" s="312">
        <f>+'[3]19'!$Y$3</f>
        <v>1534</v>
      </c>
      <c r="E24" s="35">
        <f t="shared" si="1"/>
        <v>16958370</v>
      </c>
      <c r="F24" s="26">
        <f t="shared" si="8"/>
        <v>40833</v>
      </c>
      <c r="G24" s="67">
        <v>1481</v>
      </c>
      <c r="H24" s="7">
        <v>6738</v>
      </c>
      <c r="I24" s="35">
        <v>1404</v>
      </c>
      <c r="J24" s="35">
        <f t="shared" si="2"/>
        <v>9460152</v>
      </c>
      <c r="K24" s="26">
        <f>K23-H24</f>
        <v>7905</v>
      </c>
      <c r="L24" s="318">
        <v>1251</v>
      </c>
      <c r="M24" s="26"/>
      <c r="N24" s="35"/>
      <c r="O24" s="35">
        <f t="shared" si="3"/>
        <v>0</v>
      </c>
      <c r="P24" s="26"/>
      <c r="Q24" s="66"/>
      <c r="R24" s="26">
        <f t="shared" si="4"/>
        <v>26418522</v>
      </c>
      <c r="S24" s="5">
        <f t="shared" si="5"/>
        <v>24801693</v>
      </c>
      <c r="T24" s="28">
        <f t="shared" si="6"/>
        <v>1616829</v>
      </c>
      <c r="U24" s="26">
        <v>22000</v>
      </c>
      <c r="V24" s="26">
        <v>48000</v>
      </c>
      <c r="W24" s="26">
        <f t="shared" si="0"/>
        <v>15399.999999999998</v>
      </c>
      <c r="X24" s="117">
        <f t="shared" si="7"/>
        <v>1680229</v>
      </c>
    </row>
    <row r="25" spans="1:24" x14ac:dyDescent="0.3">
      <c r="A25" s="25">
        <v>43605</v>
      </c>
      <c r="B25" s="24" t="s">
        <v>55</v>
      </c>
      <c r="C25" s="35">
        <v>13848</v>
      </c>
      <c r="D25" s="312">
        <f>+'[3]20'!$Y$3</f>
        <v>1534</v>
      </c>
      <c r="E25" s="35">
        <f t="shared" si="1"/>
        <v>21242832</v>
      </c>
      <c r="F25" s="26">
        <f t="shared" si="8"/>
        <v>26985</v>
      </c>
      <c r="G25" s="67">
        <v>1481</v>
      </c>
      <c r="H25" s="7">
        <v>12162</v>
      </c>
      <c r="I25" s="35">
        <v>1404</v>
      </c>
      <c r="J25" s="35">
        <f t="shared" si="2"/>
        <v>17075448</v>
      </c>
      <c r="K25" s="131">
        <f>K24-H25+20000</f>
        <v>15743</v>
      </c>
      <c r="L25" s="318">
        <v>1251</v>
      </c>
      <c r="M25" s="26">
        <v>0</v>
      </c>
      <c r="N25" s="35"/>
      <c r="O25" s="35">
        <f t="shared" si="3"/>
        <v>0</v>
      </c>
      <c r="P25" s="26"/>
      <c r="Q25" s="66"/>
      <c r="R25" s="26">
        <f t="shared" si="4"/>
        <v>38318280</v>
      </c>
      <c r="S25" s="5">
        <f t="shared" si="5"/>
        <v>35723550</v>
      </c>
      <c r="T25" s="28">
        <f t="shared" si="6"/>
        <v>2594730</v>
      </c>
      <c r="U25" s="26">
        <v>18000</v>
      </c>
      <c r="V25" s="26">
        <v>492000</v>
      </c>
      <c r="W25" s="26">
        <f t="shared" si="0"/>
        <v>12600</v>
      </c>
      <c r="X25" s="117">
        <f t="shared" si="7"/>
        <v>3099330</v>
      </c>
    </row>
    <row r="26" spans="1:24" x14ac:dyDescent="0.3">
      <c r="A26" s="25">
        <v>43606</v>
      </c>
      <c r="B26" s="24" t="s">
        <v>56</v>
      </c>
      <c r="C26" s="35">
        <v>23348</v>
      </c>
      <c r="D26" s="312">
        <f>+'[3]21'!$Y$3</f>
        <v>1514</v>
      </c>
      <c r="E26" s="35">
        <f t="shared" si="1"/>
        <v>35348872</v>
      </c>
      <c r="F26" s="26">
        <f t="shared" si="8"/>
        <v>3637</v>
      </c>
      <c r="G26" s="67">
        <v>1481</v>
      </c>
      <c r="H26" s="7">
        <v>14118</v>
      </c>
      <c r="I26" s="35">
        <v>1384</v>
      </c>
      <c r="J26" s="35">
        <f t="shared" si="2"/>
        <v>19539312</v>
      </c>
      <c r="K26" s="26">
        <f t="shared" ref="K26:K31" si="12">K25-H26</f>
        <v>1625</v>
      </c>
      <c r="L26" s="318">
        <v>1251</v>
      </c>
      <c r="M26" s="26">
        <v>0</v>
      </c>
      <c r="N26" s="35"/>
      <c r="O26" s="35">
        <f t="shared" si="3"/>
        <v>0</v>
      </c>
      <c r="P26" s="26"/>
      <c r="Q26" s="66"/>
      <c r="R26" s="26">
        <f t="shared" si="4"/>
        <v>54888184</v>
      </c>
      <c r="S26" s="5">
        <f t="shared" si="5"/>
        <v>52240006</v>
      </c>
      <c r="T26" s="28">
        <f t="shared" si="6"/>
        <v>2648178</v>
      </c>
      <c r="U26" s="26">
        <v>65000</v>
      </c>
      <c r="V26" s="26">
        <v>582000</v>
      </c>
      <c r="W26" s="26">
        <f t="shared" si="0"/>
        <v>45500</v>
      </c>
      <c r="X26" s="117">
        <f t="shared" si="7"/>
        <v>3275678</v>
      </c>
    </row>
    <row r="27" spans="1:24" x14ac:dyDescent="0.3">
      <c r="A27" s="25">
        <v>43607</v>
      </c>
      <c r="B27" s="24" t="s">
        <v>57</v>
      </c>
      <c r="C27" s="35">
        <v>12455</v>
      </c>
      <c r="D27" s="312">
        <f>+'[3]22'!$Y$3</f>
        <v>1554</v>
      </c>
      <c r="E27" s="35">
        <f t="shared" si="1"/>
        <v>19355070</v>
      </c>
      <c r="F27" s="311">
        <f>F26-C27+새안양_재고!F64</f>
        <v>11182</v>
      </c>
      <c r="G27" s="67">
        <v>1481</v>
      </c>
      <c r="H27" s="7">
        <v>9959</v>
      </c>
      <c r="I27" s="35">
        <v>1414</v>
      </c>
      <c r="J27" s="35">
        <f t="shared" si="2"/>
        <v>14082026</v>
      </c>
      <c r="K27" s="131">
        <f>K26-H27+20000</f>
        <v>11666</v>
      </c>
      <c r="L27" s="318">
        <v>1251</v>
      </c>
      <c r="M27" s="26">
        <v>0</v>
      </c>
      <c r="N27" s="35"/>
      <c r="O27" s="35">
        <f t="shared" si="3"/>
        <v>0</v>
      </c>
      <c r="P27" s="26"/>
      <c r="Q27" s="66"/>
      <c r="R27" s="26">
        <f t="shared" si="4"/>
        <v>33437096</v>
      </c>
      <c r="S27" s="5">
        <f t="shared" si="5"/>
        <v>30904564</v>
      </c>
      <c r="T27" s="28">
        <f t="shared" si="6"/>
        <v>2532532</v>
      </c>
      <c r="U27" s="26">
        <v>4000</v>
      </c>
      <c r="V27" s="26">
        <v>461000</v>
      </c>
      <c r="W27" s="26">
        <f t="shared" si="0"/>
        <v>2800</v>
      </c>
      <c r="X27" s="117">
        <f t="shared" si="7"/>
        <v>2996332</v>
      </c>
    </row>
    <row r="28" spans="1:24" x14ac:dyDescent="0.3">
      <c r="A28" s="25">
        <v>43608</v>
      </c>
      <c r="B28" s="24" t="s">
        <v>58</v>
      </c>
      <c r="C28" s="35">
        <v>12648</v>
      </c>
      <c r="D28" s="312">
        <f>+'[3]23'!$Y$3</f>
        <v>1554</v>
      </c>
      <c r="E28" s="35">
        <f t="shared" si="1"/>
        <v>19654992</v>
      </c>
      <c r="F28" s="311">
        <f>F27-C28+새안양_재고!F65</f>
        <v>48534</v>
      </c>
      <c r="G28" s="67">
        <v>1481</v>
      </c>
      <c r="H28" s="7">
        <v>11380</v>
      </c>
      <c r="I28" s="35">
        <v>1414</v>
      </c>
      <c r="J28" s="35">
        <f t="shared" si="2"/>
        <v>16091320</v>
      </c>
      <c r="K28" s="26">
        <f t="shared" si="12"/>
        <v>286</v>
      </c>
      <c r="L28" s="318">
        <v>1251</v>
      </c>
      <c r="M28" s="26">
        <v>0</v>
      </c>
      <c r="N28" s="35"/>
      <c r="O28" s="35">
        <f t="shared" si="3"/>
        <v>0</v>
      </c>
      <c r="P28" s="26"/>
      <c r="Q28" s="66"/>
      <c r="R28" s="26">
        <f t="shared" si="4"/>
        <v>35746312</v>
      </c>
      <c r="S28" s="5">
        <f t="shared" si="5"/>
        <v>32968068</v>
      </c>
      <c r="T28" s="28">
        <f t="shared" si="6"/>
        <v>2778244</v>
      </c>
      <c r="U28" s="26">
        <v>4000</v>
      </c>
      <c r="V28" s="26">
        <v>414000</v>
      </c>
      <c r="W28" s="26">
        <f t="shared" si="0"/>
        <v>2800</v>
      </c>
      <c r="X28" s="117">
        <f t="shared" si="7"/>
        <v>3195044</v>
      </c>
    </row>
    <row r="29" spans="1:24" x14ac:dyDescent="0.3">
      <c r="A29" s="25">
        <v>43609</v>
      </c>
      <c r="B29" s="24" t="s">
        <v>59</v>
      </c>
      <c r="C29" s="35">
        <v>15274</v>
      </c>
      <c r="D29" s="312">
        <f>+'[3]24'!$Y$3</f>
        <v>1554</v>
      </c>
      <c r="E29" s="35">
        <f t="shared" si="1"/>
        <v>23735796</v>
      </c>
      <c r="F29" s="26">
        <f>F28-C29</f>
        <v>33260</v>
      </c>
      <c r="G29" s="67">
        <v>1481</v>
      </c>
      <c r="H29" s="7">
        <v>14643</v>
      </c>
      <c r="I29" s="35">
        <v>1414</v>
      </c>
      <c r="J29" s="35">
        <f t="shared" si="2"/>
        <v>20705202</v>
      </c>
      <c r="K29" s="131">
        <f>K28-H29+20000</f>
        <v>5643</v>
      </c>
      <c r="L29" s="318">
        <v>1251</v>
      </c>
      <c r="M29" s="26">
        <v>0</v>
      </c>
      <c r="N29" s="35"/>
      <c r="O29" s="35">
        <f t="shared" si="3"/>
        <v>0</v>
      </c>
      <c r="P29" s="26"/>
      <c r="Q29" s="66"/>
      <c r="R29" s="26">
        <f t="shared" si="4"/>
        <v>44440998</v>
      </c>
      <c r="S29" s="5">
        <f t="shared" si="5"/>
        <v>40939187</v>
      </c>
      <c r="T29" s="28">
        <f t="shared" si="6"/>
        <v>3501811</v>
      </c>
      <c r="U29" s="26">
        <v>14000</v>
      </c>
      <c r="V29" s="26">
        <v>528000</v>
      </c>
      <c r="W29" s="26">
        <f t="shared" si="0"/>
        <v>9800</v>
      </c>
      <c r="X29" s="117">
        <f>T29+V29+W29</f>
        <v>4039611</v>
      </c>
    </row>
    <row r="30" spans="1:24" x14ac:dyDescent="0.3">
      <c r="A30" s="25">
        <v>43610</v>
      </c>
      <c r="B30" s="24" t="s">
        <v>53</v>
      </c>
      <c r="C30" s="35">
        <v>12402</v>
      </c>
      <c r="D30" s="312">
        <f>+'[3]25'!$Y$3</f>
        <v>1554</v>
      </c>
      <c r="E30" s="35">
        <f t="shared" si="1"/>
        <v>19272708</v>
      </c>
      <c r="F30" s="26">
        <f>F29-C30</f>
        <v>20858</v>
      </c>
      <c r="G30" s="67">
        <v>1481</v>
      </c>
      <c r="H30" s="7">
        <v>9180</v>
      </c>
      <c r="I30" s="35">
        <v>1414</v>
      </c>
      <c r="J30" s="35">
        <f t="shared" si="2"/>
        <v>12980520</v>
      </c>
      <c r="K30" s="131">
        <f>K29-H30+50000</f>
        <v>46463</v>
      </c>
      <c r="L30" s="318">
        <v>1251</v>
      </c>
      <c r="M30" s="26">
        <v>0</v>
      </c>
      <c r="N30" s="35"/>
      <c r="O30" s="35">
        <f t="shared" si="3"/>
        <v>0</v>
      </c>
      <c r="P30" s="26"/>
      <c r="Q30" s="66"/>
      <c r="R30" s="26">
        <f t="shared" si="4"/>
        <v>32253228</v>
      </c>
      <c r="S30" s="5">
        <f t="shared" si="5"/>
        <v>29851542</v>
      </c>
      <c r="T30" s="28">
        <f t="shared" si="6"/>
        <v>2401686</v>
      </c>
      <c r="U30" s="26">
        <v>0</v>
      </c>
      <c r="V30" s="26">
        <v>512000</v>
      </c>
      <c r="W30" s="26">
        <f t="shared" si="0"/>
        <v>0</v>
      </c>
      <c r="X30" s="117">
        <f t="shared" si="7"/>
        <v>2913686</v>
      </c>
    </row>
    <row r="31" spans="1:24" x14ac:dyDescent="0.3">
      <c r="A31" s="25">
        <v>43611</v>
      </c>
      <c r="B31" s="24" t="s">
        <v>54</v>
      </c>
      <c r="C31" s="35">
        <v>11814</v>
      </c>
      <c r="D31" s="312">
        <f>+'[3]26'!$Y$3</f>
        <v>1554</v>
      </c>
      <c r="E31" s="35">
        <f t="shared" si="1"/>
        <v>18358956</v>
      </c>
      <c r="F31" s="26">
        <f>F30-C31</f>
        <v>9044</v>
      </c>
      <c r="G31" s="67">
        <v>1481</v>
      </c>
      <c r="H31" s="7">
        <v>7698</v>
      </c>
      <c r="I31" s="35">
        <v>1414</v>
      </c>
      <c r="J31" s="35">
        <f t="shared" si="2"/>
        <v>10884972</v>
      </c>
      <c r="K31" s="26">
        <f t="shared" si="12"/>
        <v>38765</v>
      </c>
      <c r="L31" s="318">
        <v>1251</v>
      </c>
      <c r="M31" s="26">
        <v>0</v>
      </c>
      <c r="N31" s="35"/>
      <c r="O31" s="35">
        <f t="shared" si="3"/>
        <v>0</v>
      </c>
      <c r="P31" s="26"/>
      <c r="Q31" s="66"/>
      <c r="R31" s="26">
        <f t="shared" si="4"/>
        <v>29243928</v>
      </c>
      <c r="S31" s="5">
        <f t="shared" si="5"/>
        <v>27126732</v>
      </c>
      <c r="T31" s="28">
        <f t="shared" si="6"/>
        <v>2117196</v>
      </c>
      <c r="U31" s="26">
        <v>0</v>
      </c>
      <c r="V31" s="26">
        <v>464000</v>
      </c>
      <c r="W31" s="26">
        <f t="shared" si="0"/>
        <v>0</v>
      </c>
      <c r="X31" s="117">
        <f t="shared" si="7"/>
        <v>2581196</v>
      </c>
    </row>
    <row r="32" spans="1:24" x14ac:dyDescent="0.3">
      <c r="A32" s="25">
        <v>43612</v>
      </c>
      <c r="B32" s="24" t="s">
        <v>55</v>
      </c>
      <c r="C32" s="35">
        <v>0</v>
      </c>
      <c r="D32" s="35"/>
      <c r="E32" s="35">
        <f t="shared" si="1"/>
        <v>0</v>
      </c>
      <c r="F32" s="26">
        <f>F31-C32+새안양_재고!F69</f>
        <v>9044</v>
      </c>
      <c r="G32" s="67">
        <v>1316.04</v>
      </c>
      <c r="H32" s="7">
        <v>0</v>
      </c>
      <c r="I32" s="35">
        <v>0</v>
      </c>
      <c r="J32" s="35">
        <f t="shared" si="2"/>
        <v>0</v>
      </c>
      <c r="K32" s="26">
        <f t="shared" ref="K32:K36" si="13">K31-H32</f>
        <v>38765</v>
      </c>
      <c r="L32" s="319"/>
      <c r="M32" s="26">
        <v>0</v>
      </c>
      <c r="N32" s="35">
        <v>0</v>
      </c>
      <c r="O32" s="35">
        <f t="shared" si="3"/>
        <v>0</v>
      </c>
      <c r="P32" s="26"/>
      <c r="Q32" s="66"/>
      <c r="R32" s="26">
        <f t="shared" si="4"/>
        <v>0</v>
      </c>
      <c r="S32" s="5">
        <f t="shared" si="5"/>
        <v>0</v>
      </c>
      <c r="T32" s="28">
        <f t="shared" si="6"/>
        <v>0</v>
      </c>
      <c r="U32" s="26"/>
      <c r="V32" s="26"/>
      <c r="W32" s="26">
        <f t="shared" si="0"/>
        <v>0</v>
      </c>
      <c r="X32" s="117">
        <f t="shared" si="7"/>
        <v>0</v>
      </c>
    </row>
    <row r="33" spans="1:24" x14ac:dyDescent="0.3">
      <c r="A33" s="25">
        <v>43613</v>
      </c>
      <c r="B33" s="24" t="s">
        <v>56</v>
      </c>
      <c r="C33" s="35">
        <v>0</v>
      </c>
      <c r="D33" s="35"/>
      <c r="E33" s="35">
        <f t="shared" si="1"/>
        <v>0</v>
      </c>
      <c r="F33" s="26">
        <f>F32-C33+새안양_재고!F70</f>
        <v>9044</v>
      </c>
      <c r="G33" s="67">
        <v>1316.04</v>
      </c>
      <c r="H33" s="7">
        <v>0</v>
      </c>
      <c r="I33" s="35">
        <v>0</v>
      </c>
      <c r="J33" s="35">
        <f t="shared" si="2"/>
        <v>0</v>
      </c>
      <c r="K33" s="26">
        <f t="shared" si="13"/>
        <v>38765</v>
      </c>
      <c r="L33" s="319"/>
      <c r="M33" s="26">
        <v>0</v>
      </c>
      <c r="N33" s="35">
        <v>0</v>
      </c>
      <c r="O33" s="35">
        <f t="shared" si="3"/>
        <v>0</v>
      </c>
      <c r="P33" s="26"/>
      <c r="Q33" s="66"/>
      <c r="R33" s="26">
        <f t="shared" si="4"/>
        <v>0</v>
      </c>
      <c r="S33" s="5">
        <f t="shared" si="5"/>
        <v>0</v>
      </c>
      <c r="T33" s="28">
        <f t="shared" si="6"/>
        <v>0</v>
      </c>
      <c r="U33" s="26"/>
      <c r="V33" s="26"/>
      <c r="W33" s="26">
        <f t="shared" si="0"/>
        <v>0</v>
      </c>
      <c r="X33" s="117">
        <f>T33+V33+W33</f>
        <v>0</v>
      </c>
    </row>
    <row r="34" spans="1:24" x14ac:dyDescent="0.3">
      <c r="A34" s="25">
        <v>43614</v>
      </c>
      <c r="B34" s="24" t="s">
        <v>57</v>
      </c>
      <c r="C34" s="35">
        <v>0</v>
      </c>
      <c r="D34" s="35"/>
      <c r="E34" s="35">
        <f t="shared" si="1"/>
        <v>0</v>
      </c>
      <c r="F34" s="26">
        <f>F33-C34</f>
        <v>9044</v>
      </c>
      <c r="G34" s="67">
        <v>1316.04</v>
      </c>
      <c r="H34" s="7">
        <v>0</v>
      </c>
      <c r="I34" s="35">
        <v>0</v>
      </c>
      <c r="J34" s="35">
        <f t="shared" si="2"/>
        <v>0</v>
      </c>
      <c r="K34" s="26">
        <f t="shared" si="13"/>
        <v>38765</v>
      </c>
      <c r="L34" s="319"/>
      <c r="M34" s="26">
        <v>0</v>
      </c>
      <c r="N34" s="35">
        <v>0</v>
      </c>
      <c r="O34" s="35">
        <f t="shared" si="3"/>
        <v>0</v>
      </c>
      <c r="P34" s="26"/>
      <c r="Q34" s="66"/>
      <c r="R34" s="26">
        <f t="shared" si="4"/>
        <v>0</v>
      </c>
      <c r="S34" s="5">
        <f t="shared" si="5"/>
        <v>0</v>
      </c>
      <c r="T34" s="28">
        <f t="shared" si="6"/>
        <v>0</v>
      </c>
      <c r="U34" s="26"/>
      <c r="V34" s="26"/>
      <c r="W34" s="26">
        <f t="shared" si="0"/>
        <v>0</v>
      </c>
      <c r="X34" s="117">
        <f>T34+V34+W34</f>
        <v>0</v>
      </c>
    </row>
    <row r="35" spans="1:24" x14ac:dyDescent="0.3">
      <c r="A35" s="25">
        <v>43615</v>
      </c>
      <c r="B35" s="24" t="s">
        <v>58</v>
      </c>
      <c r="C35" s="35"/>
      <c r="D35" s="35"/>
      <c r="E35" s="35"/>
      <c r="F35" s="26">
        <f t="shared" ref="F35:F36" si="14">F34-C35</f>
        <v>9044</v>
      </c>
      <c r="G35" s="67">
        <v>1316.04</v>
      </c>
      <c r="H35" s="7">
        <v>0</v>
      </c>
      <c r="I35" s="35">
        <v>0</v>
      </c>
      <c r="J35" s="35">
        <f t="shared" si="2"/>
        <v>0</v>
      </c>
      <c r="K35" s="26">
        <f t="shared" si="13"/>
        <v>38765</v>
      </c>
      <c r="L35" s="319"/>
      <c r="M35" s="26">
        <v>0</v>
      </c>
      <c r="N35" s="35">
        <v>0</v>
      </c>
      <c r="O35" s="35">
        <f t="shared" si="3"/>
        <v>0</v>
      </c>
      <c r="P35" s="26"/>
      <c r="Q35" s="66"/>
      <c r="R35" s="26">
        <f t="shared" si="4"/>
        <v>0</v>
      </c>
      <c r="S35" s="5">
        <f t="shared" si="5"/>
        <v>0</v>
      </c>
      <c r="T35" s="28">
        <f t="shared" si="6"/>
        <v>0</v>
      </c>
      <c r="U35" s="26"/>
      <c r="V35" s="26"/>
      <c r="W35" s="26">
        <f t="shared" si="0"/>
        <v>0</v>
      </c>
      <c r="X35" s="117">
        <f t="shared" si="7"/>
        <v>0</v>
      </c>
    </row>
    <row r="36" spans="1:24" x14ac:dyDescent="0.3">
      <c r="A36" s="25">
        <v>43616</v>
      </c>
      <c r="B36" s="24" t="s">
        <v>59</v>
      </c>
      <c r="C36" s="35"/>
      <c r="D36" s="35"/>
      <c r="E36" s="35"/>
      <c r="F36" s="26">
        <f t="shared" si="14"/>
        <v>9044</v>
      </c>
      <c r="G36" s="67">
        <v>1316.04</v>
      </c>
      <c r="H36" s="7">
        <v>0</v>
      </c>
      <c r="I36" s="35">
        <v>0</v>
      </c>
      <c r="J36" s="35">
        <f t="shared" si="2"/>
        <v>0</v>
      </c>
      <c r="K36" s="26">
        <f t="shared" si="13"/>
        <v>38765</v>
      </c>
      <c r="L36" s="319"/>
      <c r="M36" s="26">
        <v>0</v>
      </c>
      <c r="N36" s="35">
        <v>0</v>
      </c>
      <c r="O36" s="35">
        <f t="shared" si="3"/>
        <v>0</v>
      </c>
      <c r="P36" s="26"/>
      <c r="Q36" s="66"/>
      <c r="R36" s="26">
        <f t="shared" si="4"/>
        <v>0</v>
      </c>
      <c r="S36" s="5">
        <f t="shared" si="5"/>
        <v>0</v>
      </c>
      <c r="T36" s="28">
        <f t="shared" si="6"/>
        <v>0</v>
      </c>
      <c r="U36" s="26"/>
      <c r="V36" s="26"/>
      <c r="W36" s="26">
        <f t="shared" si="0"/>
        <v>0</v>
      </c>
      <c r="X36" s="117">
        <f t="shared" si="7"/>
        <v>0</v>
      </c>
    </row>
    <row r="37" spans="1:24" x14ac:dyDescent="0.3">
      <c r="A37" s="25"/>
      <c r="B37" s="24"/>
      <c r="C37" s="437" t="s">
        <v>101</v>
      </c>
      <c r="D37" s="438"/>
      <c r="E37" s="438"/>
      <c r="F37" s="438"/>
      <c r="G37" s="439"/>
      <c r="H37" s="440" t="s">
        <v>102</v>
      </c>
      <c r="I37" s="441"/>
      <c r="J37" s="441"/>
      <c r="K37" s="441"/>
      <c r="L37" s="442"/>
      <c r="M37" s="443" t="s">
        <v>104</v>
      </c>
      <c r="N37" s="443"/>
      <c r="O37" s="443"/>
      <c r="P37" s="443"/>
      <c r="Q37" s="443"/>
      <c r="R37" s="418" t="s">
        <v>99</v>
      </c>
      <c r="S37" s="444" t="s">
        <v>106</v>
      </c>
      <c r="T37" s="444" t="s">
        <v>107</v>
      </c>
      <c r="U37" s="420" t="s">
        <v>98</v>
      </c>
      <c r="V37" s="420" t="s">
        <v>105</v>
      </c>
      <c r="W37" s="421" t="s">
        <v>85</v>
      </c>
      <c r="X37" s="423" t="s">
        <v>103</v>
      </c>
    </row>
    <row r="38" spans="1:24" s="17" customFormat="1" x14ac:dyDescent="0.3">
      <c r="A38" s="425"/>
      <c r="B38" s="426"/>
      <c r="C38" s="116" t="s">
        <v>96</v>
      </c>
      <c r="D38" s="429"/>
      <c r="E38" s="116" t="s">
        <v>97</v>
      </c>
      <c r="F38" s="431"/>
      <c r="G38" s="418"/>
      <c r="H38" s="116" t="s">
        <v>96</v>
      </c>
      <c r="I38" s="418"/>
      <c r="J38" s="116" t="s">
        <v>97</v>
      </c>
      <c r="K38" s="431" t="s">
        <v>38</v>
      </c>
      <c r="L38" s="416"/>
      <c r="M38" s="116" t="s">
        <v>96</v>
      </c>
      <c r="N38" s="418"/>
      <c r="O38" s="116" t="s">
        <v>97</v>
      </c>
      <c r="P38" s="418"/>
      <c r="Q38" s="418"/>
      <c r="R38" s="419"/>
      <c r="S38" s="444"/>
      <c r="T38" s="444"/>
      <c r="U38" s="420"/>
      <c r="V38" s="420"/>
      <c r="W38" s="422"/>
      <c r="X38" s="424"/>
    </row>
    <row r="39" spans="1:24" s="17" customFormat="1" x14ac:dyDescent="0.3">
      <c r="A39" s="427"/>
      <c r="B39" s="428"/>
      <c r="C39" s="116">
        <f>SUM(C6:C38)</f>
        <v>373206</v>
      </c>
      <c r="D39" s="430"/>
      <c r="E39" s="116">
        <f>SUM(E6:E37)</f>
        <v>566833574</v>
      </c>
      <c r="F39" s="432"/>
      <c r="G39" s="419"/>
      <c r="H39" s="116">
        <f>SUM(H6:H38)</f>
        <v>283244</v>
      </c>
      <c r="I39" s="419"/>
      <c r="J39" s="116">
        <f>SUM(J6:J37)</f>
        <v>394547736</v>
      </c>
      <c r="K39" s="432"/>
      <c r="L39" s="417"/>
      <c r="M39" s="116">
        <f>SUM(M6:M37)</f>
        <v>0</v>
      </c>
      <c r="N39" s="419"/>
      <c r="O39" s="116">
        <f>SUM(O6:O37)</f>
        <v>0</v>
      </c>
      <c r="P39" s="419"/>
      <c r="Q39" s="419"/>
      <c r="R39" s="116">
        <f>SUM(R6:R37)</f>
        <v>961381310</v>
      </c>
      <c r="S39" s="116">
        <f>SUM(S6:S37)</f>
        <v>891324183.30068743</v>
      </c>
      <c r="T39" s="116">
        <f t="shared" ref="T39" si="15">SUM(T6:T37)</f>
        <v>70057126.699312523</v>
      </c>
      <c r="U39" s="116">
        <f>SUM(U6:U37)</f>
        <v>815000</v>
      </c>
      <c r="V39" s="116">
        <f>SUM(V6:V37)</f>
        <v>18115000</v>
      </c>
      <c r="W39" s="116">
        <f>SUM(W6:W37)</f>
        <v>570500</v>
      </c>
      <c r="X39" s="127">
        <f t="shared" ref="X39" si="16">SUM(X6:X37)</f>
        <v>88742626.699312523</v>
      </c>
    </row>
  </sheetData>
  <mergeCells count="30">
    <mergeCell ref="N38:N39"/>
    <mergeCell ref="P38:P39"/>
    <mergeCell ref="Q38:Q39"/>
    <mergeCell ref="U37:U38"/>
    <mergeCell ref="A38:B39"/>
    <mergeCell ref="D38:D39"/>
    <mergeCell ref="F38:F39"/>
    <mergeCell ref="G38:G39"/>
    <mergeCell ref="I38:I39"/>
    <mergeCell ref="S4:S5"/>
    <mergeCell ref="T4:T5"/>
    <mergeCell ref="W4:W5"/>
    <mergeCell ref="X4:X5"/>
    <mergeCell ref="C37:G37"/>
    <mergeCell ref="H37:L37"/>
    <mergeCell ref="M37:Q37"/>
    <mergeCell ref="R37:R38"/>
    <mergeCell ref="S37:S38"/>
    <mergeCell ref="T37:T38"/>
    <mergeCell ref="R4:R5"/>
    <mergeCell ref="V37:V38"/>
    <mergeCell ref="W37:W38"/>
    <mergeCell ref="X37:X38"/>
    <mergeCell ref="K38:K39"/>
    <mergeCell ref="L38:L39"/>
    <mergeCell ref="A4:A5"/>
    <mergeCell ref="B4:B5"/>
    <mergeCell ref="C4:G4"/>
    <mergeCell ref="H4:L4"/>
    <mergeCell ref="M4:Q4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A303-EF14-46A9-92D2-A979E26D6987}">
  <dimension ref="A1:L119"/>
  <sheetViews>
    <sheetView topLeftCell="A4" workbookViewId="0">
      <selection activeCell="M83" sqref="M83"/>
    </sheetView>
  </sheetViews>
  <sheetFormatPr defaultRowHeight="16.5" x14ac:dyDescent="0.3"/>
  <cols>
    <col min="1" max="1" width="9" style="75"/>
    <col min="2" max="2" width="14.125" style="75" customWidth="1"/>
    <col min="3" max="4" width="9" style="75"/>
    <col min="5" max="5" width="11.75" style="75" customWidth="1"/>
    <col min="6" max="6" width="12.25" style="75" customWidth="1"/>
    <col min="7" max="9" width="9" style="75"/>
    <col min="10" max="10" width="12.5" style="75" customWidth="1"/>
    <col min="11" max="257" width="9" style="75"/>
    <col min="258" max="258" width="14.125" style="75" customWidth="1"/>
    <col min="259" max="260" width="9" style="75"/>
    <col min="261" max="261" width="11.75" style="75" customWidth="1"/>
    <col min="262" max="262" width="12.25" style="75" customWidth="1"/>
    <col min="263" max="265" width="9" style="75"/>
    <col min="266" max="266" width="12.5" style="75" customWidth="1"/>
    <col min="267" max="513" width="9" style="75"/>
    <col min="514" max="514" width="14.125" style="75" customWidth="1"/>
    <col min="515" max="516" width="9" style="75"/>
    <col min="517" max="517" width="11.75" style="75" customWidth="1"/>
    <col min="518" max="518" width="12.25" style="75" customWidth="1"/>
    <col min="519" max="521" width="9" style="75"/>
    <col min="522" max="522" width="12.5" style="75" customWidth="1"/>
    <col min="523" max="769" width="9" style="75"/>
    <col min="770" max="770" width="14.125" style="75" customWidth="1"/>
    <col min="771" max="772" width="9" style="75"/>
    <col min="773" max="773" width="11.75" style="75" customWidth="1"/>
    <col min="774" max="774" width="12.25" style="75" customWidth="1"/>
    <col min="775" max="777" width="9" style="75"/>
    <col min="778" max="778" width="12.5" style="75" customWidth="1"/>
    <col min="779" max="1025" width="9" style="75"/>
    <col min="1026" max="1026" width="14.125" style="75" customWidth="1"/>
    <col min="1027" max="1028" width="9" style="75"/>
    <col min="1029" max="1029" width="11.75" style="75" customWidth="1"/>
    <col min="1030" max="1030" width="12.25" style="75" customWidth="1"/>
    <col min="1031" max="1033" width="9" style="75"/>
    <col min="1034" max="1034" width="12.5" style="75" customWidth="1"/>
    <col min="1035" max="1281" width="9" style="75"/>
    <col min="1282" max="1282" width="14.125" style="75" customWidth="1"/>
    <col min="1283" max="1284" width="9" style="75"/>
    <col min="1285" max="1285" width="11.75" style="75" customWidth="1"/>
    <col min="1286" max="1286" width="12.25" style="75" customWidth="1"/>
    <col min="1287" max="1289" width="9" style="75"/>
    <col min="1290" max="1290" width="12.5" style="75" customWidth="1"/>
    <col min="1291" max="1537" width="9" style="75"/>
    <col min="1538" max="1538" width="14.125" style="75" customWidth="1"/>
    <col min="1539" max="1540" width="9" style="75"/>
    <col min="1541" max="1541" width="11.75" style="75" customWidth="1"/>
    <col min="1542" max="1542" width="12.25" style="75" customWidth="1"/>
    <col min="1543" max="1545" width="9" style="75"/>
    <col min="1546" max="1546" width="12.5" style="75" customWidth="1"/>
    <col min="1547" max="1793" width="9" style="75"/>
    <col min="1794" max="1794" width="14.125" style="75" customWidth="1"/>
    <col min="1795" max="1796" width="9" style="75"/>
    <col min="1797" max="1797" width="11.75" style="75" customWidth="1"/>
    <col min="1798" max="1798" width="12.25" style="75" customWidth="1"/>
    <col min="1799" max="1801" width="9" style="75"/>
    <col min="1802" max="1802" width="12.5" style="75" customWidth="1"/>
    <col min="1803" max="2049" width="9" style="75"/>
    <col min="2050" max="2050" width="14.125" style="75" customWidth="1"/>
    <col min="2051" max="2052" width="9" style="75"/>
    <col min="2053" max="2053" width="11.75" style="75" customWidth="1"/>
    <col min="2054" max="2054" width="12.25" style="75" customWidth="1"/>
    <col min="2055" max="2057" width="9" style="75"/>
    <col min="2058" max="2058" width="12.5" style="75" customWidth="1"/>
    <col min="2059" max="2305" width="9" style="75"/>
    <col min="2306" max="2306" width="14.125" style="75" customWidth="1"/>
    <col min="2307" max="2308" width="9" style="75"/>
    <col min="2309" max="2309" width="11.75" style="75" customWidth="1"/>
    <col min="2310" max="2310" width="12.25" style="75" customWidth="1"/>
    <col min="2311" max="2313" width="9" style="75"/>
    <col min="2314" max="2314" width="12.5" style="75" customWidth="1"/>
    <col min="2315" max="2561" width="9" style="75"/>
    <col min="2562" max="2562" width="14.125" style="75" customWidth="1"/>
    <col min="2563" max="2564" width="9" style="75"/>
    <col min="2565" max="2565" width="11.75" style="75" customWidth="1"/>
    <col min="2566" max="2566" width="12.25" style="75" customWidth="1"/>
    <col min="2567" max="2569" width="9" style="75"/>
    <col min="2570" max="2570" width="12.5" style="75" customWidth="1"/>
    <col min="2571" max="2817" width="9" style="75"/>
    <col min="2818" max="2818" width="14.125" style="75" customWidth="1"/>
    <col min="2819" max="2820" width="9" style="75"/>
    <col min="2821" max="2821" width="11.75" style="75" customWidth="1"/>
    <col min="2822" max="2822" width="12.25" style="75" customWidth="1"/>
    <col min="2823" max="2825" width="9" style="75"/>
    <col min="2826" max="2826" width="12.5" style="75" customWidth="1"/>
    <col min="2827" max="3073" width="9" style="75"/>
    <col min="3074" max="3074" width="14.125" style="75" customWidth="1"/>
    <col min="3075" max="3076" width="9" style="75"/>
    <col min="3077" max="3077" width="11.75" style="75" customWidth="1"/>
    <col min="3078" max="3078" width="12.25" style="75" customWidth="1"/>
    <col min="3079" max="3081" width="9" style="75"/>
    <col min="3082" max="3082" width="12.5" style="75" customWidth="1"/>
    <col min="3083" max="3329" width="9" style="75"/>
    <col min="3330" max="3330" width="14.125" style="75" customWidth="1"/>
    <col min="3331" max="3332" width="9" style="75"/>
    <col min="3333" max="3333" width="11.75" style="75" customWidth="1"/>
    <col min="3334" max="3334" width="12.25" style="75" customWidth="1"/>
    <col min="3335" max="3337" width="9" style="75"/>
    <col min="3338" max="3338" width="12.5" style="75" customWidth="1"/>
    <col min="3339" max="3585" width="9" style="75"/>
    <col min="3586" max="3586" width="14.125" style="75" customWidth="1"/>
    <col min="3587" max="3588" width="9" style="75"/>
    <col min="3589" max="3589" width="11.75" style="75" customWidth="1"/>
    <col min="3590" max="3590" width="12.25" style="75" customWidth="1"/>
    <col min="3591" max="3593" width="9" style="75"/>
    <col min="3594" max="3594" width="12.5" style="75" customWidth="1"/>
    <col min="3595" max="3841" width="9" style="75"/>
    <col min="3842" max="3842" width="14.125" style="75" customWidth="1"/>
    <col min="3843" max="3844" width="9" style="75"/>
    <col min="3845" max="3845" width="11.75" style="75" customWidth="1"/>
    <col min="3846" max="3846" width="12.25" style="75" customWidth="1"/>
    <col min="3847" max="3849" width="9" style="75"/>
    <col min="3850" max="3850" width="12.5" style="75" customWidth="1"/>
    <col min="3851" max="4097" width="9" style="75"/>
    <col min="4098" max="4098" width="14.125" style="75" customWidth="1"/>
    <col min="4099" max="4100" width="9" style="75"/>
    <col min="4101" max="4101" width="11.75" style="75" customWidth="1"/>
    <col min="4102" max="4102" width="12.25" style="75" customWidth="1"/>
    <col min="4103" max="4105" width="9" style="75"/>
    <col min="4106" max="4106" width="12.5" style="75" customWidth="1"/>
    <col min="4107" max="4353" width="9" style="75"/>
    <col min="4354" max="4354" width="14.125" style="75" customWidth="1"/>
    <col min="4355" max="4356" width="9" style="75"/>
    <col min="4357" max="4357" width="11.75" style="75" customWidth="1"/>
    <col min="4358" max="4358" width="12.25" style="75" customWidth="1"/>
    <col min="4359" max="4361" width="9" style="75"/>
    <col min="4362" max="4362" width="12.5" style="75" customWidth="1"/>
    <col min="4363" max="4609" width="9" style="75"/>
    <col min="4610" max="4610" width="14.125" style="75" customWidth="1"/>
    <col min="4611" max="4612" width="9" style="75"/>
    <col min="4613" max="4613" width="11.75" style="75" customWidth="1"/>
    <col min="4614" max="4614" width="12.25" style="75" customWidth="1"/>
    <col min="4615" max="4617" width="9" style="75"/>
    <col min="4618" max="4618" width="12.5" style="75" customWidth="1"/>
    <col min="4619" max="4865" width="9" style="75"/>
    <col min="4866" max="4866" width="14.125" style="75" customWidth="1"/>
    <col min="4867" max="4868" width="9" style="75"/>
    <col min="4869" max="4869" width="11.75" style="75" customWidth="1"/>
    <col min="4870" max="4870" width="12.25" style="75" customWidth="1"/>
    <col min="4871" max="4873" width="9" style="75"/>
    <col min="4874" max="4874" width="12.5" style="75" customWidth="1"/>
    <col min="4875" max="5121" width="9" style="75"/>
    <col min="5122" max="5122" width="14.125" style="75" customWidth="1"/>
    <col min="5123" max="5124" width="9" style="75"/>
    <col min="5125" max="5125" width="11.75" style="75" customWidth="1"/>
    <col min="5126" max="5126" width="12.25" style="75" customWidth="1"/>
    <col min="5127" max="5129" width="9" style="75"/>
    <col min="5130" max="5130" width="12.5" style="75" customWidth="1"/>
    <col min="5131" max="5377" width="9" style="75"/>
    <col min="5378" max="5378" width="14.125" style="75" customWidth="1"/>
    <col min="5379" max="5380" width="9" style="75"/>
    <col min="5381" max="5381" width="11.75" style="75" customWidth="1"/>
    <col min="5382" max="5382" width="12.25" style="75" customWidth="1"/>
    <col min="5383" max="5385" width="9" style="75"/>
    <col min="5386" max="5386" width="12.5" style="75" customWidth="1"/>
    <col min="5387" max="5633" width="9" style="75"/>
    <col min="5634" max="5634" width="14.125" style="75" customWidth="1"/>
    <col min="5635" max="5636" width="9" style="75"/>
    <col min="5637" max="5637" width="11.75" style="75" customWidth="1"/>
    <col min="5638" max="5638" width="12.25" style="75" customWidth="1"/>
    <col min="5639" max="5641" width="9" style="75"/>
    <col min="5642" max="5642" width="12.5" style="75" customWidth="1"/>
    <col min="5643" max="5889" width="9" style="75"/>
    <col min="5890" max="5890" width="14.125" style="75" customWidth="1"/>
    <col min="5891" max="5892" width="9" style="75"/>
    <col min="5893" max="5893" width="11.75" style="75" customWidth="1"/>
    <col min="5894" max="5894" width="12.25" style="75" customWidth="1"/>
    <col min="5895" max="5897" width="9" style="75"/>
    <col min="5898" max="5898" width="12.5" style="75" customWidth="1"/>
    <col min="5899" max="6145" width="9" style="75"/>
    <col min="6146" max="6146" width="14.125" style="75" customWidth="1"/>
    <col min="6147" max="6148" width="9" style="75"/>
    <col min="6149" max="6149" width="11.75" style="75" customWidth="1"/>
    <col min="6150" max="6150" width="12.25" style="75" customWidth="1"/>
    <col min="6151" max="6153" width="9" style="75"/>
    <col min="6154" max="6154" width="12.5" style="75" customWidth="1"/>
    <col min="6155" max="6401" width="9" style="75"/>
    <col min="6402" max="6402" width="14.125" style="75" customWidth="1"/>
    <col min="6403" max="6404" width="9" style="75"/>
    <col min="6405" max="6405" width="11.75" style="75" customWidth="1"/>
    <col min="6406" max="6406" width="12.25" style="75" customWidth="1"/>
    <col min="6407" max="6409" width="9" style="75"/>
    <col min="6410" max="6410" width="12.5" style="75" customWidth="1"/>
    <col min="6411" max="6657" width="9" style="75"/>
    <col min="6658" max="6658" width="14.125" style="75" customWidth="1"/>
    <col min="6659" max="6660" width="9" style="75"/>
    <col min="6661" max="6661" width="11.75" style="75" customWidth="1"/>
    <col min="6662" max="6662" width="12.25" style="75" customWidth="1"/>
    <col min="6663" max="6665" width="9" style="75"/>
    <col min="6666" max="6666" width="12.5" style="75" customWidth="1"/>
    <col min="6667" max="6913" width="9" style="75"/>
    <col min="6914" max="6914" width="14.125" style="75" customWidth="1"/>
    <col min="6915" max="6916" width="9" style="75"/>
    <col min="6917" max="6917" width="11.75" style="75" customWidth="1"/>
    <col min="6918" max="6918" width="12.25" style="75" customWidth="1"/>
    <col min="6919" max="6921" width="9" style="75"/>
    <col min="6922" max="6922" width="12.5" style="75" customWidth="1"/>
    <col min="6923" max="7169" width="9" style="75"/>
    <col min="7170" max="7170" width="14.125" style="75" customWidth="1"/>
    <col min="7171" max="7172" width="9" style="75"/>
    <col min="7173" max="7173" width="11.75" style="75" customWidth="1"/>
    <col min="7174" max="7174" width="12.25" style="75" customWidth="1"/>
    <col min="7175" max="7177" width="9" style="75"/>
    <col min="7178" max="7178" width="12.5" style="75" customWidth="1"/>
    <col min="7179" max="7425" width="9" style="75"/>
    <col min="7426" max="7426" width="14.125" style="75" customWidth="1"/>
    <col min="7427" max="7428" width="9" style="75"/>
    <col min="7429" max="7429" width="11.75" style="75" customWidth="1"/>
    <col min="7430" max="7430" width="12.25" style="75" customWidth="1"/>
    <col min="7431" max="7433" width="9" style="75"/>
    <col min="7434" max="7434" width="12.5" style="75" customWidth="1"/>
    <col min="7435" max="7681" width="9" style="75"/>
    <col min="7682" max="7682" width="14.125" style="75" customWidth="1"/>
    <col min="7683" max="7684" width="9" style="75"/>
    <col min="7685" max="7685" width="11.75" style="75" customWidth="1"/>
    <col min="7686" max="7686" width="12.25" style="75" customWidth="1"/>
    <col min="7687" max="7689" width="9" style="75"/>
    <col min="7690" max="7690" width="12.5" style="75" customWidth="1"/>
    <col min="7691" max="7937" width="9" style="75"/>
    <col min="7938" max="7938" width="14.125" style="75" customWidth="1"/>
    <col min="7939" max="7940" width="9" style="75"/>
    <col min="7941" max="7941" width="11.75" style="75" customWidth="1"/>
    <col min="7942" max="7942" width="12.25" style="75" customWidth="1"/>
    <col min="7943" max="7945" width="9" style="75"/>
    <col min="7946" max="7946" width="12.5" style="75" customWidth="1"/>
    <col min="7947" max="8193" width="9" style="75"/>
    <col min="8194" max="8194" width="14.125" style="75" customWidth="1"/>
    <col min="8195" max="8196" width="9" style="75"/>
    <col min="8197" max="8197" width="11.75" style="75" customWidth="1"/>
    <col min="8198" max="8198" width="12.25" style="75" customWidth="1"/>
    <col min="8199" max="8201" width="9" style="75"/>
    <col min="8202" max="8202" width="12.5" style="75" customWidth="1"/>
    <col min="8203" max="8449" width="9" style="75"/>
    <col min="8450" max="8450" width="14.125" style="75" customWidth="1"/>
    <col min="8451" max="8452" width="9" style="75"/>
    <col min="8453" max="8453" width="11.75" style="75" customWidth="1"/>
    <col min="8454" max="8454" width="12.25" style="75" customWidth="1"/>
    <col min="8455" max="8457" width="9" style="75"/>
    <col min="8458" max="8458" width="12.5" style="75" customWidth="1"/>
    <col min="8459" max="8705" width="9" style="75"/>
    <col min="8706" max="8706" width="14.125" style="75" customWidth="1"/>
    <col min="8707" max="8708" width="9" style="75"/>
    <col min="8709" max="8709" width="11.75" style="75" customWidth="1"/>
    <col min="8710" max="8710" width="12.25" style="75" customWidth="1"/>
    <col min="8711" max="8713" width="9" style="75"/>
    <col min="8714" max="8714" width="12.5" style="75" customWidth="1"/>
    <col min="8715" max="8961" width="9" style="75"/>
    <col min="8962" max="8962" width="14.125" style="75" customWidth="1"/>
    <col min="8963" max="8964" width="9" style="75"/>
    <col min="8965" max="8965" width="11.75" style="75" customWidth="1"/>
    <col min="8966" max="8966" width="12.25" style="75" customWidth="1"/>
    <col min="8967" max="8969" width="9" style="75"/>
    <col min="8970" max="8970" width="12.5" style="75" customWidth="1"/>
    <col min="8971" max="9217" width="9" style="75"/>
    <col min="9218" max="9218" width="14.125" style="75" customWidth="1"/>
    <col min="9219" max="9220" width="9" style="75"/>
    <col min="9221" max="9221" width="11.75" style="75" customWidth="1"/>
    <col min="9222" max="9222" width="12.25" style="75" customWidth="1"/>
    <col min="9223" max="9225" width="9" style="75"/>
    <col min="9226" max="9226" width="12.5" style="75" customWidth="1"/>
    <col min="9227" max="9473" width="9" style="75"/>
    <col min="9474" max="9474" width="14.125" style="75" customWidth="1"/>
    <col min="9475" max="9476" width="9" style="75"/>
    <col min="9477" max="9477" width="11.75" style="75" customWidth="1"/>
    <col min="9478" max="9478" width="12.25" style="75" customWidth="1"/>
    <col min="9479" max="9481" width="9" style="75"/>
    <col min="9482" max="9482" width="12.5" style="75" customWidth="1"/>
    <col min="9483" max="9729" width="9" style="75"/>
    <col min="9730" max="9730" width="14.125" style="75" customWidth="1"/>
    <col min="9731" max="9732" width="9" style="75"/>
    <col min="9733" max="9733" width="11.75" style="75" customWidth="1"/>
    <col min="9734" max="9734" width="12.25" style="75" customWidth="1"/>
    <col min="9735" max="9737" width="9" style="75"/>
    <col min="9738" max="9738" width="12.5" style="75" customWidth="1"/>
    <col min="9739" max="9985" width="9" style="75"/>
    <col min="9986" max="9986" width="14.125" style="75" customWidth="1"/>
    <col min="9987" max="9988" width="9" style="75"/>
    <col min="9989" max="9989" width="11.75" style="75" customWidth="1"/>
    <col min="9990" max="9990" width="12.25" style="75" customWidth="1"/>
    <col min="9991" max="9993" width="9" style="75"/>
    <col min="9994" max="9994" width="12.5" style="75" customWidth="1"/>
    <col min="9995" max="10241" width="9" style="75"/>
    <col min="10242" max="10242" width="14.125" style="75" customWidth="1"/>
    <col min="10243" max="10244" width="9" style="75"/>
    <col min="10245" max="10245" width="11.75" style="75" customWidth="1"/>
    <col min="10246" max="10246" width="12.25" style="75" customWidth="1"/>
    <col min="10247" max="10249" width="9" style="75"/>
    <col min="10250" max="10250" width="12.5" style="75" customWidth="1"/>
    <col min="10251" max="10497" width="9" style="75"/>
    <col min="10498" max="10498" width="14.125" style="75" customWidth="1"/>
    <col min="10499" max="10500" width="9" style="75"/>
    <col min="10501" max="10501" width="11.75" style="75" customWidth="1"/>
    <col min="10502" max="10502" width="12.25" style="75" customWidth="1"/>
    <col min="10503" max="10505" width="9" style="75"/>
    <col min="10506" max="10506" width="12.5" style="75" customWidth="1"/>
    <col min="10507" max="10753" width="9" style="75"/>
    <col min="10754" max="10754" width="14.125" style="75" customWidth="1"/>
    <col min="10755" max="10756" width="9" style="75"/>
    <col min="10757" max="10757" width="11.75" style="75" customWidth="1"/>
    <col min="10758" max="10758" width="12.25" style="75" customWidth="1"/>
    <col min="10759" max="10761" width="9" style="75"/>
    <col min="10762" max="10762" width="12.5" style="75" customWidth="1"/>
    <col min="10763" max="11009" width="9" style="75"/>
    <col min="11010" max="11010" width="14.125" style="75" customWidth="1"/>
    <col min="11011" max="11012" width="9" style="75"/>
    <col min="11013" max="11013" width="11.75" style="75" customWidth="1"/>
    <col min="11014" max="11014" width="12.25" style="75" customWidth="1"/>
    <col min="11015" max="11017" width="9" style="75"/>
    <col min="11018" max="11018" width="12.5" style="75" customWidth="1"/>
    <col min="11019" max="11265" width="9" style="75"/>
    <col min="11266" max="11266" width="14.125" style="75" customWidth="1"/>
    <col min="11267" max="11268" width="9" style="75"/>
    <col min="11269" max="11269" width="11.75" style="75" customWidth="1"/>
    <col min="11270" max="11270" width="12.25" style="75" customWidth="1"/>
    <col min="11271" max="11273" width="9" style="75"/>
    <col min="11274" max="11274" width="12.5" style="75" customWidth="1"/>
    <col min="11275" max="11521" width="9" style="75"/>
    <col min="11522" max="11522" width="14.125" style="75" customWidth="1"/>
    <col min="11523" max="11524" width="9" style="75"/>
    <col min="11525" max="11525" width="11.75" style="75" customWidth="1"/>
    <col min="11526" max="11526" width="12.25" style="75" customWidth="1"/>
    <col min="11527" max="11529" width="9" style="75"/>
    <col min="11530" max="11530" width="12.5" style="75" customWidth="1"/>
    <col min="11531" max="11777" width="9" style="75"/>
    <col min="11778" max="11778" width="14.125" style="75" customWidth="1"/>
    <col min="11779" max="11780" width="9" style="75"/>
    <col min="11781" max="11781" width="11.75" style="75" customWidth="1"/>
    <col min="11782" max="11782" width="12.25" style="75" customWidth="1"/>
    <col min="11783" max="11785" width="9" style="75"/>
    <col min="11786" max="11786" width="12.5" style="75" customWidth="1"/>
    <col min="11787" max="12033" width="9" style="75"/>
    <col min="12034" max="12034" width="14.125" style="75" customWidth="1"/>
    <col min="12035" max="12036" width="9" style="75"/>
    <col min="12037" max="12037" width="11.75" style="75" customWidth="1"/>
    <col min="12038" max="12038" width="12.25" style="75" customWidth="1"/>
    <col min="12039" max="12041" width="9" style="75"/>
    <col min="12042" max="12042" width="12.5" style="75" customWidth="1"/>
    <col min="12043" max="12289" width="9" style="75"/>
    <col min="12290" max="12290" width="14.125" style="75" customWidth="1"/>
    <col min="12291" max="12292" width="9" style="75"/>
    <col min="12293" max="12293" width="11.75" style="75" customWidth="1"/>
    <col min="12294" max="12294" width="12.25" style="75" customWidth="1"/>
    <col min="12295" max="12297" width="9" style="75"/>
    <col min="12298" max="12298" width="12.5" style="75" customWidth="1"/>
    <col min="12299" max="12545" width="9" style="75"/>
    <col min="12546" max="12546" width="14.125" style="75" customWidth="1"/>
    <col min="12547" max="12548" width="9" style="75"/>
    <col min="12549" max="12549" width="11.75" style="75" customWidth="1"/>
    <col min="12550" max="12550" width="12.25" style="75" customWidth="1"/>
    <col min="12551" max="12553" width="9" style="75"/>
    <col min="12554" max="12554" width="12.5" style="75" customWidth="1"/>
    <col min="12555" max="12801" width="9" style="75"/>
    <col min="12802" max="12802" width="14.125" style="75" customWidth="1"/>
    <col min="12803" max="12804" width="9" style="75"/>
    <col min="12805" max="12805" width="11.75" style="75" customWidth="1"/>
    <col min="12806" max="12806" width="12.25" style="75" customWidth="1"/>
    <col min="12807" max="12809" width="9" style="75"/>
    <col min="12810" max="12810" width="12.5" style="75" customWidth="1"/>
    <col min="12811" max="13057" width="9" style="75"/>
    <col min="13058" max="13058" width="14.125" style="75" customWidth="1"/>
    <col min="13059" max="13060" width="9" style="75"/>
    <col min="13061" max="13061" width="11.75" style="75" customWidth="1"/>
    <col min="13062" max="13062" width="12.25" style="75" customWidth="1"/>
    <col min="13063" max="13065" width="9" style="75"/>
    <col min="13066" max="13066" width="12.5" style="75" customWidth="1"/>
    <col min="13067" max="13313" width="9" style="75"/>
    <col min="13314" max="13314" width="14.125" style="75" customWidth="1"/>
    <col min="13315" max="13316" width="9" style="75"/>
    <col min="13317" max="13317" width="11.75" style="75" customWidth="1"/>
    <col min="13318" max="13318" width="12.25" style="75" customWidth="1"/>
    <col min="13319" max="13321" width="9" style="75"/>
    <col min="13322" max="13322" width="12.5" style="75" customWidth="1"/>
    <col min="13323" max="13569" width="9" style="75"/>
    <col min="13570" max="13570" width="14.125" style="75" customWidth="1"/>
    <col min="13571" max="13572" width="9" style="75"/>
    <col min="13573" max="13573" width="11.75" style="75" customWidth="1"/>
    <col min="13574" max="13574" width="12.25" style="75" customWidth="1"/>
    <col min="13575" max="13577" width="9" style="75"/>
    <col min="13578" max="13578" width="12.5" style="75" customWidth="1"/>
    <col min="13579" max="13825" width="9" style="75"/>
    <col min="13826" max="13826" width="14.125" style="75" customWidth="1"/>
    <col min="13827" max="13828" width="9" style="75"/>
    <col min="13829" max="13829" width="11.75" style="75" customWidth="1"/>
    <col min="13830" max="13830" width="12.25" style="75" customWidth="1"/>
    <col min="13831" max="13833" width="9" style="75"/>
    <col min="13834" max="13834" width="12.5" style="75" customWidth="1"/>
    <col min="13835" max="14081" width="9" style="75"/>
    <col min="14082" max="14082" width="14.125" style="75" customWidth="1"/>
    <col min="14083" max="14084" width="9" style="75"/>
    <col min="14085" max="14085" width="11.75" style="75" customWidth="1"/>
    <col min="14086" max="14086" width="12.25" style="75" customWidth="1"/>
    <col min="14087" max="14089" width="9" style="75"/>
    <col min="14090" max="14090" width="12.5" style="75" customWidth="1"/>
    <col min="14091" max="14337" width="9" style="75"/>
    <col min="14338" max="14338" width="14.125" style="75" customWidth="1"/>
    <col min="14339" max="14340" width="9" style="75"/>
    <col min="14341" max="14341" width="11.75" style="75" customWidth="1"/>
    <col min="14342" max="14342" width="12.25" style="75" customWidth="1"/>
    <col min="14343" max="14345" width="9" style="75"/>
    <col min="14346" max="14346" width="12.5" style="75" customWidth="1"/>
    <col min="14347" max="14593" width="9" style="75"/>
    <col min="14594" max="14594" width="14.125" style="75" customWidth="1"/>
    <col min="14595" max="14596" width="9" style="75"/>
    <col min="14597" max="14597" width="11.75" style="75" customWidth="1"/>
    <col min="14598" max="14598" width="12.25" style="75" customWidth="1"/>
    <col min="14599" max="14601" width="9" style="75"/>
    <col min="14602" max="14602" width="12.5" style="75" customWidth="1"/>
    <col min="14603" max="14849" width="9" style="75"/>
    <col min="14850" max="14850" width="14.125" style="75" customWidth="1"/>
    <col min="14851" max="14852" width="9" style="75"/>
    <col min="14853" max="14853" width="11.75" style="75" customWidth="1"/>
    <col min="14854" max="14854" width="12.25" style="75" customWidth="1"/>
    <col min="14855" max="14857" width="9" style="75"/>
    <col min="14858" max="14858" width="12.5" style="75" customWidth="1"/>
    <col min="14859" max="15105" width="9" style="75"/>
    <col min="15106" max="15106" width="14.125" style="75" customWidth="1"/>
    <col min="15107" max="15108" width="9" style="75"/>
    <col min="15109" max="15109" width="11.75" style="75" customWidth="1"/>
    <col min="15110" max="15110" width="12.25" style="75" customWidth="1"/>
    <col min="15111" max="15113" width="9" style="75"/>
    <col min="15114" max="15114" width="12.5" style="75" customWidth="1"/>
    <col min="15115" max="15361" width="9" style="75"/>
    <col min="15362" max="15362" width="14.125" style="75" customWidth="1"/>
    <col min="15363" max="15364" width="9" style="75"/>
    <col min="15365" max="15365" width="11.75" style="75" customWidth="1"/>
    <col min="15366" max="15366" width="12.25" style="75" customWidth="1"/>
    <col min="15367" max="15369" width="9" style="75"/>
    <col min="15370" max="15370" width="12.5" style="75" customWidth="1"/>
    <col min="15371" max="15617" width="9" style="75"/>
    <col min="15618" max="15618" width="14.125" style="75" customWidth="1"/>
    <col min="15619" max="15620" width="9" style="75"/>
    <col min="15621" max="15621" width="11.75" style="75" customWidth="1"/>
    <col min="15622" max="15622" width="12.25" style="75" customWidth="1"/>
    <col min="15623" max="15625" width="9" style="75"/>
    <col min="15626" max="15626" width="12.5" style="75" customWidth="1"/>
    <col min="15627" max="15873" width="9" style="75"/>
    <col min="15874" max="15874" width="14.125" style="75" customWidth="1"/>
    <col min="15875" max="15876" width="9" style="75"/>
    <col min="15877" max="15877" width="11.75" style="75" customWidth="1"/>
    <col min="15878" max="15878" width="12.25" style="75" customWidth="1"/>
    <col min="15879" max="15881" width="9" style="75"/>
    <col min="15882" max="15882" width="12.5" style="75" customWidth="1"/>
    <col min="15883" max="16129" width="9" style="75"/>
    <col min="16130" max="16130" width="14.125" style="75" customWidth="1"/>
    <col min="16131" max="16132" width="9" style="75"/>
    <col min="16133" max="16133" width="11.75" style="75" customWidth="1"/>
    <col min="16134" max="16134" width="12.25" style="75" customWidth="1"/>
    <col min="16135" max="16137" width="9" style="75"/>
    <col min="16138" max="16138" width="12.5" style="75" customWidth="1"/>
    <col min="16139" max="16384" width="9" style="75"/>
  </cols>
  <sheetData>
    <row r="1" spans="1:10" x14ac:dyDescent="0.3">
      <c r="A1" s="479" t="s">
        <v>135</v>
      </c>
      <c r="B1" s="479"/>
      <c r="C1" s="480" t="s">
        <v>136</v>
      </c>
      <c r="D1" s="480"/>
      <c r="I1" s="481" t="s">
        <v>137</v>
      </c>
      <c r="J1" s="481"/>
    </row>
    <row r="3" spans="1:10" x14ac:dyDescent="0.3">
      <c r="C3" s="186" t="s">
        <v>138</v>
      </c>
    </row>
    <row r="4" spans="1:10" x14ac:dyDescent="0.3">
      <c r="D4" s="482" t="s">
        <v>139</v>
      </c>
      <c r="E4" s="482"/>
      <c r="F4" s="482"/>
      <c r="G4" s="482"/>
      <c r="H4" s="482"/>
      <c r="I4" s="482"/>
      <c r="J4" s="482"/>
    </row>
    <row r="5" spans="1:10" x14ac:dyDescent="0.3">
      <c r="A5" s="74" t="s">
        <v>140</v>
      </c>
      <c r="C5" s="38" t="s">
        <v>141</v>
      </c>
      <c r="D5" s="38"/>
      <c r="E5" s="38"/>
      <c r="F5" s="38" t="s">
        <v>141</v>
      </c>
      <c r="G5" s="132" t="s">
        <v>141</v>
      </c>
      <c r="H5" s="132" t="s">
        <v>141</v>
      </c>
      <c r="I5" s="132" t="s">
        <v>141</v>
      </c>
      <c r="J5" s="38" t="s">
        <v>142</v>
      </c>
    </row>
    <row r="6" spans="1:10" ht="17.25" thickBot="1" x14ac:dyDescent="0.35">
      <c r="A6" s="187" t="s">
        <v>143</v>
      </c>
      <c r="B6" s="188">
        <f>959833824/1.1</f>
        <v>872576203.63636351</v>
      </c>
      <c r="C6" s="38"/>
      <c r="D6" s="483" t="s">
        <v>144</v>
      </c>
      <c r="E6" s="483"/>
      <c r="F6" s="483"/>
      <c r="G6" s="189" t="s">
        <v>141</v>
      </c>
      <c r="H6" s="483" t="s">
        <v>145</v>
      </c>
      <c r="I6" s="483"/>
      <c r="J6" s="483"/>
    </row>
    <row r="7" spans="1:10" ht="18" thickTop="1" thickBot="1" x14ac:dyDescent="0.35">
      <c r="A7" s="187" t="s">
        <v>146</v>
      </c>
      <c r="B7" s="190">
        <f>B6/31</f>
        <v>28147619.472140759</v>
      </c>
      <c r="C7" s="38"/>
      <c r="D7" s="191">
        <f>F89</f>
        <v>0</v>
      </c>
      <c r="E7" s="132" t="s">
        <v>141</v>
      </c>
      <c r="F7" s="132" t="s">
        <v>141</v>
      </c>
      <c r="G7" s="38"/>
      <c r="H7" s="191">
        <f>F92</f>
        <v>0</v>
      </c>
      <c r="I7" s="132" t="s">
        <v>141</v>
      </c>
      <c r="J7" s="132" t="s">
        <v>141</v>
      </c>
    </row>
    <row r="8" spans="1:10" ht="17.25" thickTop="1" x14ac:dyDescent="0.3">
      <c r="A8" s="192"/>
      <c r="B8" s="193"/>
      <c r="C8" s="38"/>
      <c r="D8" s="194" t="s">
        <v>147</v>
      </c>
      <c r="E8" s="195" t="s">
        <v>148</v>
      </c>
      <c r="F8" s="195" t="s">
        <v>149</v>
      </c>
      <c r="G8" s="38"/>
      <c r="H8" s="194" t="s">
        <v>147</v>
      </c>
      <c r="I8" s="195" t="s">
        <v>148</v>
      </c>
      <c r="J8" s="195" t="s">
        <v>149</v>
      </c>
    </row>
    <row r="9" spans="1:10" x14ac:dyDescent="0.3">
      <c r="A9" s="196" t="s">
        <v>150</v>
      </c>
      <c r="B9" s="196" t="s">
        <v>141</v>
      </c>
      <c r="C9" s="38"/>
      <c r="D9" s="197"/>
      <c r="E9" s="198"/>
      <c r="F9" s="199">
        <f>D9*E9</f>
        <v>0</v>
      </c>
      <c r="G9" s="38"/>
      <c r="H9" s="197">
        <v>0</v>
      </c>
      <c r="I9" s="200">
        <v>0</v>
      </c>
      <c r="J9" s="199">
        <f>H9*I9</f>
        <v>0</v>
      </c>
    </row>
    <row r="10" spans="1:10" x14ac:dyDescent="0.3">
      <c r="A10" s="201" t="s">
        <v>13</v>
      </c>
      <c r="B10" s="202">
        <f>D7</f>
        <v>0</v>
      </c>
      <c r="C10" s="38"/>
      <c r="D10" s="203"/>
      <c r="E10" s="204"/>
      <c r="F10" s="205">
        <f>D10*E10</f>
        <v>0</v>
      </c>
      <c r="G10" s="38"/>
      <c r="H10" s="203">
        <v>0</v>
      </c>
      <c r="I10" s="206">
        <v>0</v>
      </c>
      <c r="J10" s="205">
        <f>H10*I10</f>
        <v>0</v>
      </c>
    </row>
    <row r="11" spans="1:10" ht="17.25" thickBot="1" x14ac:dyDescent="0.35">
      <c r="A11" s="187" t="s">
        <v>100</v>
      </c>
      <c r="B11" s="190">
        <f>D16</f>
        <v>373206</v>
      </c>
      <c r="C11" s="38"/>
      <c r="D11" s="207">
        <v>0</v>
      </c>
      <c r="E11" s="208">
        <v>0</v>
      </c>
      <c r="F11" s="209">
        <f>D11*E11</f>
        <v>0</v>
      </c>
      <c r="G11" s="38"/>
      <c r="H11" s="207">
        <v>0</v>
      </c>
      <c r="I11" s="208">
        <v>0</v>
      </c>
      <c r="J11" s="209">
        <f>H11*I11</f>
        <v>0</v>
      </c>
    </row>
    <row r="12" spans="1:10" ht="17.25" thickBot="1" x14ac:dyDescent="0.35">
      <c r="A12" s="187" t="s">
        <v>22</v>
      </c>
      <c r="B12" s="190">
        <f>H16</f>
        <v>283244</v>
      </c>
      <c r="C12" s="38"/>
      <c r="D12" s="210">
        <f>SUM(D9:D11)</f>
        <v>0</v>
      </c>
      <c r="E12" s="211"/>
      <c r="F12" s="212">
        <f>SUM(F9:F11)</f>
        <v>0</v>
      </c>
      <c r="H12" s="210">
        <f>SUM(H9:H11)</f>
        <v>0</v>
      </c>
      <c r="I12" s="211"/>
      <c r="J12" s="212">
        <f>SUM(J9:J11)</f>
        <v>0</v>
      </c>
    </row>
    <row r="13" spans="1:10" x14ac:dyDescent="0.3">
      <c r="A13" s="213" t="s">
        <v>25</v>
      </c>
      <c r="B13" s="214">
        <f>H7</f>
        <v>0</v>
      </c>
      <c r="C13" s="38"/>
    </row>
    <row r="14" spans="1:10" x14ac:dyDescent="0.3">
      <c r="A14" s="187" t="s">
        <v>151</v>
      </c>
      <c r="B14" s="190">
        <f>SUM(B10:B13)</f>
        <v>656450</v>
      </c>
      <c r="C14" s="38"/>
    </row>
    <row r="15" spans="1:10" ht="17.25" thickBot="1" x14ac:dyDescent="0.35">
      <c r="A15" s="192"/>
      <c r="B15" s="193"/>
      <c r="C15" s="38"/>
      <c r="D15" s="132" t="s">
        <v>152</v>
      </c>
      <c r="E15" s="38" t="s">
        <v>141</v>
      </c>
      <c r="F15" s="38"/>
      <c r="G15" s="38"/>
      <c r="H15" s="132" t="s">
        <v>153</v>
      </c>
      <c r="I15" s="38" t="s">
        <v>141</v>
      </c>
      <c r="J15" s="38"/>
    </row>
    <row r="16" spans="1:10" ht="18" thickTop="1" thickBot="1" x14ac:dyDescent="0.35">
      <c r="A16" s="187" t="s">
        <v>154</v>
      </c>
      <c r="B16" s="190">
        <f>(F12+J12+F32+J32)/1.1</f>
        <v>809646056.5272727</v>
      </c>
      <c r="C16" s="38"/>
      <c r="D16" s="215">
        <f>F90</f>
        <v>373206</v>
      </c>
      <c r="E16" s="132" t="s">
        <v>141</v>
      </c>
      <c r="F16" s="132" t="s">
        <v>141</v>
      </c>
      <c r="G16" s="38"/>
      <c r="H16" s="191">
        <f>F91</f>
        <v>283244</v>
      </c>
      <c r="I16" s="132" t="s">
        <v>141</v>
      </c>
      <c r="J16" s="132" t="s">
        <v>141</v>
      </c>
    </row>
    <row r="17" spans="1:12" ht="17.25" thickTop="1" x14ac:dyDescent="0.3">
      <c r="A17" s="187" t="s">
        <v>13</v>
      </c>
      <c r="B17" s="190">
        <f>F12/1.1</f>
        <v>0</v>
      </c>
      <c r="C17" s="38"/>
      <c r="D17" s="216" t="s">
        <v>147</v>
      </c>
      <c r="E17" s="195" t="s">
        <v>148</v>
      </c>
      <c r="F17" s="195" t="s">
        <v>149</v>
      </c>
      <c r="G17" s="38"/>
      <c r="H17" s="194" t="s">
        <v>147</v>
      </c>
      <c r="I17" s="195" t="s">
        <v>148</v>
      </c>
      <c r="J17" s="195" t="s">
        <v>149</v>
      </c>
    </row>
    <row r="18" spans="1:12" x14ac:dyDescent="0.3">
      <c r="A18" s="187" t="s">
        <v>100</v>
      </c>
      <c r="B18" s="190">
        <f>F32/1.1</f>
        <v>490727049.09090906</v>
      </c>
      <c r="C18" s="38"/>
      <c r="D18" s="217">
        <v>2250</v>
      </c>
      <c r="E18" s="218">
        <v>1376.248</v>
      </c>
      <c r="F18" s="217">
        <f t="shared" ref="F18:F31" si="0">D18*E18</f>
        <v>3096558</v>
      </c>
      <c r="G18" s="38"/>
      <c r="H18" s="217">
        <v>52009</v>
      </c>
      <c r="I18" s="219">
        <v>1227.02</v>
      </c>
      <c r="J18" s="220">
        <f>H18*I18</f>
        <v>63816083.18</v>
      </c>
    </row>
    <row r="19" spans="1:12" x14ac:dyDescent="0.3">
      <c r="A19" s="187" t="s">
        <v>22</v>
      </c>
      <c r="B19" s="190">
        <f>J32/1.1</f>
        <v>318919007.43636364</v>
      </c>
      <c r="C19" s="38"/>
      <c r="D19" s="203">
        <v>70000</v>
      </c>
      <c r="E19" s="218">
        <v>1396.248</v>
      </c>
      <c r="F19" s="203">
        <f t="shared" si="0"/>
        <v>97737360</v>
      </c>
      <c r="G19" s="38"/>
      <c r="H19" s="203">
        <v>20000</v>
      </c>
      <c r="I19" s="219">
        <v>1211.248</v>
      </c>
      <c r="J19" s="205">
        <f t="shared" ref="J19:J31" si="1">H19*I19</f>
        <v>24224960</v>
      </c>
    </row>
    <row r="20" spans="1:12" x14ac:dyDescent="0.3">
      <c r="A20" s="187" t="s">
        <v>25</v>
      </c>
      <c r="B20" s="190">
        <f>J12/1.1</f>
        <v>0</v>
      </c>
      <c r="C20" s="38"/>
      <c r="D20" s="203">
        <v>30000</v>
      </c>
      <c r="E20" s="221">
        <f>1460-20-19</f>
        <v>1421</v>
      </c>
      <c r="F20" s="203">
        <f t="shared" si="0"/>
        <v>42630000</v>
      </c>
      <c r="G20" s="38"/>
      <c r="H20" s="203">
        <v>60000</v>
      </c>
      <c r="I20" s="219">
        <v>1226.248</v>
      </c>
      <c r="J20" s="205">
        <f t="shared" si="1"/>
        <v>73574880</v>
      </c>
    </row>
    <row r="21" spans="1:12" x14ac:dyDescent="0.3">
      <c r="A21" s="187" t="s">
        <v>141</v>
      </c>
      <c r="B21" s="190"/>
      <c r="C21" s="38"/>
      <c r="D21" s="222">
        <v>20000</v>
      </c>
      <c r="E21" s="221">
        <v>1421</v>
      </c>
      <c r="F21" s="203">
        <f t="shared" si="0"/>
        <v>28420000</v>
      </c>
      <c r="G21" s="38"/>
      <c r="H21" s="222">
        <v>30000</v>
      </c>
      <c r="I21" s="223">
        <v>1251</v>
      </c>
      <c r="J21" s="205">
        <f t="shared" si="1"/>
        <v>37530000</v>
      </c>
    </row>
    <row r="22" spans="1:12" x14ac:dyDescent="0.3">
      <c r="A22" s="224" t="s">
        <v>155</v>
      </c>
      <c r="B22" s="225">
        <f>B6-B16</f>
        <v>62930147.109090805</v>
      </c>
      <c r="C22" s="38"/>
      <c r="D22" s="222">
        <v>20000</v>
      </c>
      <c r="E22" s="221">
        <v>1421</v>
      </c>
      <c r="F22" s="203">
        <f t="shared" si="0"/>
        <v>28420000</v>
      </c>
      <c r="G22" s="38"/>
      <c r="H22" s="203">
        <v>20000</v>
      </c>
      <c r="I22" s="221">
        <v>1251</v>
      </c>
      <c r="J22" s="205">
        <f t="shared" si="1"/>
        <v>25020000</v>
      </c>
    </row>
    <row r="23" spans="1:12" x14ac:dyDescent="0.3">
      <c r="A23" s="187" t="s">
        <v>156</v>
      </c>
      <c r="B23" s="216">
        <f>B22/B14</f>
        <v>95.864341700191645</v>
      </c>
      <c r="C23" s="38"/>
      <c r="D23" s="222">
        <v>20000</v>
      </c>
      <c r="E23" s="221">
        <v>1421</v>
      </c>
      <c r="F23" s="203">
        <f t="shared" si="0"/>
        <v>28420000</v>
      </c>
      <c r="G23" s="38"/>
      <c r="H23" s="203">
        <v>20000</v>
      </c>
      <c r="I23" s="221">
        <v>1251</v>
      </c>
      <c r="J23" s="205">
        <f t="shared" si="1"/>
        <v>25020000</v>
      </c>
    </row>
    <row r="24" spans="1:12" x14ac:dyDescent="0.3">
      <c r="A24" s="38"/>
      <c r="B24" s="226"/>
      <c r="C24" s="38"/>
      <c r="D24" s="222">
        <v>60000</v>
      </c>
      <c r="E24" s="221">
        <v>1466</v>
      </c>
      <c r="F24" s="203">
        <f t="shared" si="0"/>
        <v>87960000</v>
      </c>
      <c r="G24" s="38"/>
      <c r="H24" s="203">
        <v>20000</v>
      </c>
      <c r="I24" s="221">
        <v>1251</v>
      </c>
      <c r="J24" s="205">
        <f t="shared" si="1"/>
        <v>25020000</v>
      </c>
    </row>
    <row r="25" spans="1:12" x14ac:dyDescent="0.3">
      <c r="A25" s="38"/>
      <c r="B25" s="226"/>
      <c r="C25" s="38"/>
      <c r="D25" s="222">
        <v>30000</v>
      </c>
      <c r="E25" s="221">
        <v>1466</v>
      </c>
      <c r="F25" s="203">
        <f t="shared" si="0"/>
        <v>43980000</v>
      </c>
      <c r="G25" s="38"/>
      <c r="H25" s="203">
        <v>20000</v>
      </c>
      <c r="I25" s="221">
        <v>1251</v>
      </c>
      <c r="J25" s="205">
        <f t="shared" si="1"/>
        <v>25020000</v>
      </c>
    </row>
    <row r="26" spans="1:12" x14ac:dyDescent="0.3">
      <c r="A26" s="38"/>
      <c r="B26" s="226"/>
      <c r="C26" s="38"/>
      <c r="D26" s="222">
        <v>60000</v>
      </c>
      <c r="E26" s="221">
        <v>1481</v>
      </c>
      <c r="F26" s="203">
        <f t="shared" si="0"/>
        <v>88860000</v>
      </c>
      <c r="G26" s="38"/>
      <c r="H26" s="203">
        <v>41235</v>
      </c>
      <c r="I26" s="221">
        <v>1251</v>
      </c>
      <c r="J26" s="205">
        <f t="shared" si="1"/>
        <v>51584985</v>
      </c>
    </row>
    <row r="27" spans="1:12" x14ac:dyDescent="0.3">
      <c r="A27" s="38"/>
      <c r="B27" s="226"/>
      <c r="C27" s="38"/>
      <c r="D27" s="222">
        <v>20000</v>
      </c>
      <c r="E27" s="221">
        <v>1481</v>
      </c>
      <c r="F27" s="203">
        <f t="shared" si="0"/>
        <v>29620000</v>
      </c>
      <c r="G27" s="38"/>
      <c r="H27" s="227"/>
      <c r="I27" s="228"/>
      <c r="J27" s="205"/>
    </row>
    <row r="28" spans="1:12" x14ac:dyDescent="0.3">
      <c r="A28" s="38"/>
      <c r="B28" s="226"/>
      <c r="C28" s="38"/>
      <c r="D28" s="229">
        <v>40956</v>
      </c>
      <c r="E28" s="230">
        <v>1481</v>
      </c>
      <c r="F28" s="227">
        <f t="shared" si="0"/>
        <v>60655836</v>
      </c>
      <c r="G28" s="38"/>
      <c r="H28" s="227"/>
      <c r="I28" s="231"/>
      <c r="J28" s="232">
        <f t="shared" si="1"/>
        <v>0</v>
      </c>
    </row>
    <row r="29" spans="1:12" x14ac:dyDescent="0.3">
      <c r="A29" s="38"/>
      <c r="B29" s="226"/>
      <c r="C29" s="38"/>
      <c r="D29" s="222"/>
      <c r="E29" s="218"/>
      <c r="F29" s="227">
        <f t="shared" si="0"/>
        <v>0</v>
      </c>
      <c r="G29" s="38"/>
      <c r="H29" s="203"/>
      <c r="I29" s="233"/>
      <c r="J29" s="232">
        <f t="shared" si="1"/>
        <v>0</v>
      </c>
    </row>
    <row r="30" spans="1:12" x14ac:dyDescent="0.3">
      <c r="A30" s="38"/>
      <c r="B30" s="226"/>
      <c r="C30" s="38"/>
      <c r="D30" s="222"/>
      <c r="E30" s="218"/>
      <c r="F30" s="227">
        <f t="shared" si="0"/>
        <v>0</v>
      </c>
      <c r="G30" s="38"/>
      <c r="H30" s="203"/>
      <c r="I30" s="233"/>
      <c r="J30" s="232">
        <f t="shared" si="1"/>
        <v>0</v>
      </c>
    </row>
    <row r="31" spans="1:12" ht="17.25" thickBot="1" x14ac:dyDescent="0.35">
      <c r="A31" s="38"/>
      <c r="B31" s="226"/>
      <c r="C31" s="38"/>
      <c r="D31" s="234"/>
      <c r="E31" s="235"/>
      <c r="F31" s="227">
        <f t="shared" si="0"/>
        <v>0</v>
      </c>
      <c r="G31" s="38"/>
      <c r="H31" s="236"/>
      <c r="I31" s="237"/>
      <c r="J31" s="232">
        <f t="shared" si="1"/>
        <v>0</v>
      </c>
    </row>
    <row r="32" spans="1:12" ht="17.25" thickBot="1" x14ac:dyDescent="0.35">
      <c r="A32" s="38"/>
      <c r="B32" s="226"/>
      <c r="C32" s="38"/>
      <c r="D32" s="238">
        <f>SUM(D18:D31)</f>
        <v>373206</v>
      </c>
      <c r="E32" s="239"/>
      <c r="F32" s="240">
        <f>SUM(F18:F31)</f>
        <v>539799754</v>
      </c>
      <c r="G32" s="38"/>
      <c r="H32" s="241">
        <f>SUM(H18:H31)</f>
        <v>283244</v>
      </c>
      <c r="I32" s="242" t="s">
        <v>141</v>
      </c>
      <c r="J32" s="243">
        <f>SUM(J18:J31)</f>
        <v>350810908.18000001</v>
      </c>
      <c r="L32" s="244"/>
    </row>
    <row r="33" spans="1:10" x14ac:dyDescent="0.3">
      <c r="A33" s="38"/>
      <c r="B33" s="226"/>
      <c r="C33" s="38"/>
      <c r="D33" s="39"/>
      <c r="E33" s="38"/>
      <c r="F33" s="38"/>
      <c r="G33" s="38"/>
      <c r="H33" s="39"/>
      <c r="I33" s="38"/>
      <c r="J33" s="38"/>
    </row>
    <row r="34" spans="1:10" x14ac:dyDescent="0.3">
      <c r="A34" s="38"/>
      <c r="B34" s="226"/>
      <c r="C34" s="38"/>
      <c r="D34" s="484" t="s">
        <v>70</v>
      </c>
      <c r="E34" s="484"/>
      <c r="F34" s="484"/>
      <c r="G34" s="484"/>
      <c r="H34" s="484"/>
      <c r="I34" s="484"/>
      <c r="J34" s="38"/>
    </row>
    <row r="35" spans="1:10" x14ac:dyDescent="0.3">
      <c r="A35" s="38"/>
      <c r="B35" s="226"/>
      <c r="C35" s="38"/>
      <c r="D35" s="37" t="s">
        <v>142</v>
      </c>
      <c r="E35" s="38"/>
      <c r="F35" s="38"/>
      <c r="G35" s="38"/>
      <c r="H35" s="39"/>
      <c r="I35" s="38" t="s">
        <v>157</v>
      </c>
      <c r="J35" s="38"/>
    </row>
    <row r="36" spans="1:10" x14ac:dyDescent="0.3">
      <c r="A36" s="38"/>
      <c r="B36" s="226"/>
      <c r="C36" s="38"/>
      <c r="D36" s="195" t="s">
        <v>158</v>
      </c>
      <c r="E36" s="245" t="s">
        <v>159</v>
      </c>
      <c r="F36" s="195" t="s">
        <v>160</v>
      </c>
      <c r="G36" s="195" t="s">
        <v>161</v>
      </c>
      <c r="H36" s="485" t="s">
        <v>149</v>
      </c>
      <c r="I36" s="485"/>
      <c r="J36" s="38"/>
    </row>
    <row r="37" spans="1:10" x14ac:dyDescent="0.3">
      <c r="C37" s="38"/>
      <c r="D37" s="485" t="s">
        <v>162</v>
      </c>
      <c r="E37" s="486" t="s">
        <v>13</v>
      </c>
      <c r="F37" s="246">
        <f>'[4]4월매출및재고수불'!F102</f>
        <v>0</v>
      </c>
      <c r="G37" s="247"/>
      <c r="H37" s="487">
        <f>F37*G37</f>
        <v>0</v>
      </c>
      <c r="I37" s="487"/>
    </row>
    <row r="38" spans="1:10" x14ac:dyDescent="0.3">
      <c r="A38" s="38"/>
      <c r="B38" s="38"/>
      <c r="C38" s="38"/>
      <c r="D38" s="485"/>
      <c r="E38" s="486"/>
      <c r="F38" s="248"/>
      <c r="G38" s="248"/>
      <c r="H38" s="488">
        <f>F38*G38</f>
        <v>0</v>
      </c>
      <c r="I38" s="488"/>
    </row>
    <row r="39" spans="1:10" x14ac:dyDescent="0.3">
      <c r="A39" s="38"/>
      <c r="B39" s="38"/>
      <c r="C39" s="38"/>
      <c r="D39" s="485"/>
      <c r="E39" s="245" t="s">
        <v>163</v>
      </c>
      <c r="F39" s="190"/>
      <c r="G39" s="190"/>
      <c r="H39" s="489">
        <f>SUM(H37:H38)</f>
        <v>0</v>
      </c>
      <c r="I39" s="489"/>
    </row>
    <row r="40" spans="1:10" x14ac:dyDescent="0.3">
      <c r="A40" s="38"/>
      <c r="B40" s="38"/>
      <c r="C40" s="38"/>
      <c r="D40" s="485"/>
      <c r="E40" s="485" t="s">
        <v>100</v>
      </c>
      <c r="F40" s="310">
        <f>'[4]4월매출및재고수불'!F105</f>
        <v>2250</v>
      </c>
      <c r="G40" s="249">
        <f>'[4]4월매출및재고수불'!G105</f>
        <v>1376.248</v>
      </c>
      <c r="H40" s="487">
        <f>F40*G40</f>
        <v>3096558</v>
      </c>
      <c r="I40" s="487"/>
    </row>
    <row r="41" spans="1:10" x14ac:dyDescent="0.3">
      <c r="A41" s="38"/>
      <c r="B41" s="38"/>
      <c r="C41" s="38"/>
      <c r="D41" s="485"/>
      <c r="E41" s="485"/>
      <c r="F41" s="310">
        <f>'[4]4월매출및재고수불'!F106</f>
        <v>70000</v>
      </c>
      <c r="G41" s="249">
        <f>'[4]4월매출및재고수불'!G106</f>
        <v>1396.248</v>
      </c>
      <c r="H41" s="490">
        <f>F41*G41</f>
        <v>97737360</v>
      </c>
      <c r="I41" s="490"/>
    </row>
    <row r="42" spans="1:10" x14ac:dyDescent="0.3">
      <c r="A42" s="174"/>
      <c r="B42" s="174"/>
      <c r="C42" s="174"/>
      <c r="D42" s="485"/>
      <c r="E42" s="485"/>
      <c r="F42" s="207"/>
      <c r="G42" s="250"/>
      <c r="H42" s="490">
        <f>F42*G42</f>
        <v>0</v>
      </c>
      <c r="I42" s="490"/>
    </row>
    <row r="43" spans="1:10" x14ac:dyDescent="0.3">
      <c r="D43" s="485"/>
      <c r="E43" s="485"/>
      <c r="F43" s="251"/>
      <c r="G43" s="252"/>
      <c r="H43" s="493">
        <f>F43*G43</f>
        <v>0</v>
      </c>
      <c r="I43" s="493"/>
    </row>
    <row r="44" spans="1:10" x14ac:dyDescent="0.3">
      <c r="D44" s="485"/>
      <c r="E44" s="245" t="s">
        <v>163</v>
      </c>
      <c r="F44" s="253">
        <f>SUM(F40:F43)</f>
        <v>72250</v>
      </c>
      <c r="G44" s="253"/>
      <c r="H44" s="489">
        <f>SUM(H40:H43)</f>
        <v>100833918</v>
      </c>
      <c r="I44" s="489"/>
    </row>
    <row r="45" spans="1:10" x14ac:dyDescent="0.3">
      <c r="D45" s="485"/>
      <c r="E45" s="485" t="s">
        <v>22</v>
      </c>
      <c r="F45" s="321">
        <f>'[4]4월매출및재고수불'!F110</f>
        <v>52009</v>
      </c>
      <c r="G45" s="255">
        <f>'[4]4월매출및재고수불'!G110</f>
        <v>1227.02</v>
      </c>
      <c r="H45" s="487">
        <f>F45*G45</f>
        <v>63816083.18</v>
      </c>
      <c r="I45" s="487"/>
    </row>
    <row r="46" spans="1:10" x14ac:dyDescent="0.3">
      <c r="D46" s="485"/>
      <c r="E46" s="485"/>
      <c r="F46" s="321">
        <f>'[4]4월매출및재고수불'!F111</f>
        <v>20000</v>
      </c>
      <c r="G46" s="255">
        <f>'[4]4월매출및재고수불'!G111</f>
        <v>1211.248</v>
      </c>
      <c r="H46" s="490">
        <f>F46*G46</f>
        <v>24224960</v>
      </c>
      <c r="I46" s="490"/>
    </row>
    <row r="47" spans="1:10" x14ac:dyDescent="0.3">
      <c r="D47" s="485"/>
      <c r="E47" s="485"/>
      <c r="F47" s="322">
        <f>'[4]4월매출및재고수불'!F112</f>
        <v>60000</v>
      </c>
      <c r="G47" s="255">
        <f>'[4]4월매출및재고수불'!G112</f>
        <v>1226.248</v>
      </c>
      <c r="H47" s="490">
        <f>F47*G47</f>
        <v>73574880</v>
      </c>
      <c r="I47" s="490"/>
    </row>
    <row r="48" spans="1:10" x14ac:dyDescent="0.3">
      <c r="D48" s="485"/>
      <c r="E48" s="485"/>
      <c r="F48" s="323"/>
      <c r="G48" s="255"/>
      <c r="H48" s="493">
        <f>F48*G48</f>
        <v>0</v>
      </c>
      <c r="I48" s="493"/>
    </row>
    <row r="49" spans="4:12" x14ac:dyDescent="0.3">
      <c r="D49" s="485"/>
      <c r="E49" s="245" t="s">
        <v>163</v>
      </c>
      <c r="F49" s="253">
        <f>SUM(F45:F48)</f>
        <v>132009</v>
      </c>
      <c r="G49" s="253"/>
      <c r="H49" s="489">
        <f>SUM(H45:H48)</f>
        <v>161615923.18000001</v>
      </c>
      <c r="I49" s="489"/>
    </row>
    <row r="50" spans="4:12" x14ac:dyDescent="0.3">
      <c r="D50" s="485"/>
      <c r="E50" s="485" t="s">
        <v>25</v>
      </c>
      <c r="F50" s="246"/>
      <c r="G50" s="246"/>
      <c r="H50" s="487">
        <f>F50*G50</f>
        <v>0</v>
      </c>
      <c r="I50" s="487"/>
    </row>
    <row r="51" spans="4:12" x14ac:dyDescent="0.3">
      <c r="D51" s="485"/>
      <c r="E51" s="485"/>
      <c r="F51" s="251"/>
      <c r="G51" s="251"/>
      <c r="H51" s="488">
        <f>F51*G51</f>
        <v>0</v>
      </c>
      <c r="I51" s="488"/>
    </row>
    <row r="52" spans="4:12" ht="17.25" thickBot="1" x14ac:dyDescent="0.35">
      <c r="D52" s="485"/>
      <c r="E52" s="257" t="s">
        <v>163</v>
      </c>
      <c r="F52" s="258">
        <f>SUM(F50:F51)</f>
        <v>0</v>
      </c>
      <c r="G52" s="258"/>
      <c r="H52" s="491">
        <f>SUM(H50:H51)</f>
        <v>0</v>
      </c>
      <c r="I52" s="491"/>
    </row>
    <row r="53" spans="4:12" ht="18" thickTop="1" thickBot="1" x14ac:dyDescent="0.35">
      <c r="D53" s="485"/>
      <c r="E53" s="259" t="s">
        <v>164</v>
      </c>
      <c r="F53" s="260">
        <f>F39+F44+F49+F52</f>
        <v>204259</v>
      </c>
      <c r="G53" s="260"/>
      <c r="H53" s="492">
        <f>H39+H44+H49+H52</f>
        <v>262449841.18000001</v>
      </c>
      <c r="I53" s="492"/>
      <c r="J53" s="261" t="s">
        <v>165</v>
      </c>
    </row>
    <row r="54" spans="4:12" x14ac:dyDescent="0.3">
      <c r="D54" s="485" t="s">
        <v>166</v>
      </c>
      <c r="E54" s="486" t="s">
        <v>13</v>
      </c>
      <c r="F54" s="246"/>
      <c r="G54" s="262"/>
      <c r="H54" s="491">
        <f>F54*G54</f>
        <v>0</v>
      </c>
      <c r="I54" s="491"/>
      <c r="J54" s="263"/>
    </row>
    <row r="55" spans="4:12" x14ac:dyDescent="0.3">
      <c r="D55" s="447"/>
      <c r="E55" s="455"/>
      <c r="F55" s="264"/>
      <c r="G55" s="264"/>
      <c r="H55" s="495">
        <f>F55*G55</f>
        <v>0</v>
      </c>
      <c r="I55" s="495"/>
      <c r="J55" s="265" t="s">
        <v>141</v>
      </c>
    </row>
    <row r="56" spans="4:12" x14ac:dyDescent="0.3">
      <c r="D56" s="485"/>
      <c r="E56" s="245" t="s">
        <v>163</v>
      </c>
      <c r="F56" s="190">
        <f>SUM(F54:F55)</f>
        <v>0</v>
      </c>
      <c r="G56" s="190"/>
      <c r="H56" s="489">
        <f>SUM(H54:H55)</f>
        <v>0</v>
      </c>
      <c r="I56" s="489"/>
      <c r="J56" s="266" t="s">
        <v>141</v>
      </c>
    </row>
    <row r="57" spans="4:12" x14ac:dyDescent="0.3">
      <c r="D57" s="485"/>
      <c r="E57" s="485" t="s">
        <v>100</v>
      </c>
      <c r="F57" s="314">
        <v>30000</v>
      </c>
      <c r="G57" s="267">
        <v>1421</v>
      </c>
      <c r="H57" s="491">
        <f t="shared" ref="H57:H70" si="2">F57*G57</f>
        <v>42630000</v>
      </c>
      <c r="I57" s="491"/>
      <c r="J57" s="263">
        <v>43586</v>
      </c>
    </row>
    <row r="58" spans="4:12" x14ac:dyDescent="0.3">
      <c r="D58" s="447"/>
      <c r="E58" s="447"/>
      <c r="F58" s="315">
        <v>20000</v>
      </c>
      <c r="G58" s="268">
        <v>1421</v>
      </c>
      <c r="H58" s="494">
        <f t="shared" si="2"/>
        <v>28420000</v>
      </c>
      <c r="I58" s="494"/>
      <c r="J58" s="269">
        <v>43587</v>
      </c>
    </row>
    <row r="59" spans="4:12" x14ac:dyDescent="0.3">
      <c r="D59" s="447"/>
      <c r="E59" s="447"/>
      <c r="F59" s="316">
        <v>20000</v>
      </c>
      <c r="G59" s="268">
        <v>1421</v>
      </c>
      <c r="H59" s="494">
        <f t="shared" si="2"/>
        <v>28420000</v>
      </c>
      <c r="I59" s="494"/>
      <c r="J59" s="269">
        <v>43589</v>
      </c>
    </row>
    <row r="60" spans="4:12" x14ac:dyDescent="0.3">
      <c r="D60" s="447"/>
      <c r="E60" s="447"/>
      <c r="F60" s="316">
        <v>20000</v>
      </c>
      <c r="G60" s="268">
        <v>1421</v>
      </c>
      <c r="H60" s="494">
        <f t="shared" si="2"/>
        <v>28420000</v>
      </c>
      <c r="I60" s="494"/>
      <c r="J60" s="269">
        <v>43590</v>
      </c>
      <c r="L60" s="270"/>
    </row>
    <row r="61" spans="4:12" x14ac:dyDescent="0.3">
      <c r="D61" s="447"/>
      <c r="E61" s="447"/>
      <c r="F61" s="316">
        <v>60000</v>
      </c>
      <c r="G61" s="268">
        <f>1490-5-19</f>
        <v>1466</v>
      </c>
      <c r="H61" s="494">
        <f t="shared" si="2"/>
        <v>87960000</v>
      </c>
      <c r="I61" s="494"/>
      <c r="J61" s="269">
        <v>43594</v>
      </c>
      <c r="L61" s="270"/>
    </row>
    <row r="62" spans="4:12" x14ac:dyDescent="0.3">
      <c r="D62" s="447"/>
      <c r="E62" s="447"/>
      <c r="F62" s="316">
        <v>30000</v>
      </c>
      <c r="G62" s="268">
        <f>1500-19</f>
        <v>1481</v>
      </c>
      <c r="H62" s="494">
        <f t="shared" si="2"/>
        <v>44430000</v>
      </c>
      <c r="I62" s="494"/>
      <c r="J62" s="269">
        <v>43597</v>
      </c>
      <c r="L62" s="270"/>
    </row>
    <row r="63" spans="4:12" x14ac:dyDescent="0.3">
      <c r="D63" s="447"/>
      <c r="E63" s="447"/>
      <c r="F63" s="310">
        <v>60000</v>
      </c>
      <c r="G63" s="268">
        <f>1500-19</f>
        <v>1481</v>
      </c>
      <c r="H63" s="494">
        <f t="shared" si="2"/>
        <v>88860000</v>
      </c>
      <c r="I63" s="494"/>
      <c r="J63" s="269">
        <v>43600</v>
      </c>
    </row>
    <row r="64" spans="4:12" x14ac:dyDescent="0.3">
      <c r="D64" s="447"/>
      <c r="E64" s="447"/>
      <c r="F64" s="310">
        <v>20000</v>
      </c>
      <c r="G64" s="268">
        <f>1500-19</f>
        <v>1481</v>
      </c>
      <c r="H64" s="494">
        <f t="shared" si="2"/>
        <v>29620000</v>
      </c>
      <c r="I64" s="494"/>
      <c r="J64" s="269">
        <v>43603</v>
      </c>
    </row>
    <row r="65" spans="4:12" x14ac:dyDescent="0.3">
      <c r="D65" s="447"/>
      <c r="E65" s="447"/>
      <c r="F65" s="310">
        <v>50000</v>
      </c>
      <c r="G65" s="268">
        <f>1500-19</f>
        <v>1481</v>
      </c>
      <c r="H65" s="494">
        <f t="shared" si="2"/>
        <v>74050000</v>
      </c>
      <c r="I65" s="494"/>
      <c r="J65" s="269">
        <v>43605</v>
      </c>
    </row>
    <row r="66" spans="4:12" x14ac:dyDescent="0.3">
      <c r="D66" s="447"/>
      <c r="E66" s="447"/>
      <c r="F66" s="203">
        <v>20000</v>
      </c>
      <c r="G66" s="268">
        <f>1500-19</f>
        <v>1481</v>
      </c>
      <c r="H66" s="494">
        <f t="shared" si="2"/>
        <v>29620000</v>
      </c>
      <c r="I66" s="494"/>
      <c r="J66" s="269">
        <v>43606</v>
      </c>
    </row>
    <row r="67" spans="4:12" x14ac:dyDescent="0.3">
      <c r="D67" s="447"/>
      <c r="E67" s="447"/>
      <c r="F67" s="203">
        <v>30000</v>
      </c>
      <c r="G67" s="268">
        <v>1481</v>
      </c>
      <c r="H67" s="494">
        <f t="shared" si="2"/>
        <v>44430000</v>
      </c>
      <c r="I67" s="494"/>
      <c r="J67" s="269">
        <v>43609</v>
      </c>
    </row>
    <row r="68" spans="4:12" x14ac:dyDescent="0.3">
      <c r="D68" s="447"/>
      <c r="E68" s="447"/>
      <c r="F68" s="203"/>
      <c r="G68" s="271"/>
      <c r="H68" s="494">
        <f t="shared" si="2"/>
        <v>0</v>
      </c>
      <c r="I68" s="494"/>
      <c r="J68" s="272"/>
    </row>
    <row r="69" spans="4:12" x14ac:dyDescent="0.3">
      <c r="D69" s="447"/>
      <c r="E69" s="447"/>
      <c r="F69" s="254"/>
      <c r="G69" s="273"/>
      <c r="H69" s="494">
        <f t="shared" si="2"/>
        <v>0</v>
      </c>
      <c r="I69" s="494"/>
      <c r="J69" s="272"/>
    </row>
    <row r="70" spans="4:12" x14ac:dyDescent="0.3">
      <c r="D70" s="447"/>
      <c r="E70" s="447"/>
      <c r="F70" s="274"/>
      <c r="G70" s="274"/>
      <c r="H70" s="496">
        <f t="shared" si="2"/>
        <v>0</v>
      </c>
      <c r="I70" s="496"/>
      <c r="J70" s="275"/>
    </row>
    <row r="71" spans="4:12" x14ac:dyDescent="0.3">
      <c r="D71" s="447"/>
      <c r="E71" s="276" t="s">
        <v>163</v>
      </c>
      <c r="F71" s="277">
        <f>SUM(F57:F70)</f>
        <v>360000</v>
      </c>
      <c r="G71" s="277"/>
      <c r="H71" s="497">
        <f>SUM(H57:H70)</f>
        <v>526860000</v>
      </c>
      <c r="I71" s="497"/>
      <c r="J71" s="266"/>
    </row>
    <row r="72" spans="4:12" x14ac:dyDescent="0.3">
      <c r="D72" s="447"/>
      <c r="E72" s="464" t="s">
        <v>22</v>
      </c>
      <c r="F72" s="324">
        <v>30000</v>
      </c>
      <c r="G72" s="279">
        <v>1251</v>
      </c>
      <c r="H72" s="498">
        <f t="shared" ref="H72:H77" si="3">F72*G72</f>
        <v>37530000</v>
      </c>
      <c r="I72" s="498"/>
      <c r="J72" s="263">
        <v>43587</v>
      </c>
    </row>
    <row r="73" spans="4:12" x14ac:dyDescent="0.3">
      <c r="D73" s="447"/>
      <c r="E73" s="465"/>
      <c r="F73" s="321">
        <v>20000</v>
      </c>
      <c r="G73" s="280">
        <v>1251</v>
      </c>
      <c r="H73" s="494">
        <f t="shared" si="3"/>
        <v>25020000</v>
      </c>
      <c r="I73" s="494"/>
      <c r="J73" s="269">
        <v>43593</v>
      </c>
    </row>
    <row r="74" spans="4:12" x14ac:dyDescent="0.3">
      <c r="D74" s="447"/>
      <c r="E74" s="465"/>
      <c r="F74" s="321">
        <v>20000</v>
      </c>
      <c r="G74" s="280">
        <v>1251</v>
      </c>
      <c r="H74" s="494">
        <f t="shared" si="3"/>
        <v>25020000</v>
      </c>
      <c r="I74" s="494"/>
      <c r="J74" s="269">
        <v>43594</v>
      </c>
      <c r="L74" s="270"/>
    </row>
    <row r="75" spans="4:12" x14ac:dyDescent="0.3">
      <c r="D75" s="447"/>
      <c r="E75" s="465"/>
      <c r="F75" s="321">
        <v>20000</v>
      </c>
      <c r="G75" s="280"/>
      <c r="H75" s="494">
        <f t="shared" si="3"/>
        <v>0</v>
      </c>
      <c r="I75" s="494"/>
      <c r="J75" s="269">
        <v>43600</v>
      </c>
      <c r="L75" s="270"/>
    </row>
    <row r="76" spans="4:12" x14ac:dyDescent="0.3">
      <c r="D76" s="447"/>
      <c r="E76" s="465"/>
      <c r="F76" s="321">
        <v>20000</v>
      </c>
      <c r="G76" s="280"/>
      <c r="H76" s="494">
        <f t="shared" si="3"/>
        <v>0</v>
      </c>
      <c r="I76" s="494"/>
      <c r="J76" s="269">
        <v>43601</v>
      </c>
    </row>
    <row r="77" spans="4:12" x14ac:dyDescent="0.3">
      <c r="D77" s="447"/>
      <c r="E77" s="465"/>
      <c r="F77" s="321">
        <v>50000</v>
      </c>
      <c r="G77" s="280"/>
      <c r="H77" s="494">
        <f t="shared" si="3"/>
        <v>0</v>
      </c>
      <c r="I77" s="494"/>
      <c r="J77" s="265">
        <v>43602</v>
      </c>
    </row>
    <row r="78" spans="4:12" x14ac:dyDescent="0.3">
      <c r="D78" s="447"/>
      <c r="E78" s="465"/>
      <c r="F78" s="254">
        <v>40000</v>
      </c>
      <c r="G78" s="280"/>
      <c r="H78" s="494">
        <f>F78*G78</f>
        <v>0</v>
      </c>
      <c r="I78" s="494"/>
      <c r="J78" s="265">
        <v>43604</v>
      </c>
    </row>
    <row r="79" spans="4:12" x14ac:dyDescent="0.3">
      <c r="D79" s="447"/>
      <c r="E79" s="465"/>
      <c r="F79" s="256">
        <v>30000</v>
      </c>
      <c r="G79" s="281"/>
      <c r="H79" s="501">
        <f>F79*G79</f>
        <v>0</v>
      </c>
      <c r="I79" s="501"/>
      <c r="J79" s="265">
        <v>43605</v>
      </c>
    </row>
    <row r="80" spans="4:12" x14ac:dyDescent="0.3">
      <c r="D80" s="447"/>
      <c r="E80" s="466"/>
      <c r="F80" s="254">
        <v>20000</v>
      </c>
      <c r="G80" s="280"/>
      <c r="H80" s="499">
        <f>F80*G80</f>
        <v>0</v>
      </c>
      <c r="I80" s="460"/>
      <c r="J80" s="269">
        <v>43607</v>
      </c>
    </row>
    <row r="81" spans="4:10" x14ac:dyDescent="0.3">
      <c r="D81" s="447"/>
      <c r="E81" s="466"/>
      <c r="F81" s="254"/>
      <c r="G81" s="280"/>
      <c r="H81" s="499"/>
      <c r="I81" s="460"/>
      <c r="J81" s="269"/>
    </row>
    <row r="82" spans="4:10" x14ac:dyDescent="0.3">
      <c r="D82" s="447"/>
      <c r="E82" s="466"/>
      <c r="F82" s="254"/>
      <c r="G82" s="280"/>
      <c r="H82" s="499"/>
      <c r="I82" s="460"/>
      <c r="J82" s="269"/>
    </row>
    <row r="83" spans="4:10" x14ac:dyDescent="0.3">
      <c r="D83" s="447"/>
      <c r="E83" s="467"/>
      <c r="F83" s="251"/>
      <c r="G83" s="282"/>
      <c r="H83" s="500"/>
      <c r="I83" s="462"/>
      <c r="J83" s="283"/>
    </row>
    <row r="84" spans="4:10" ht="15.75" customHeight="1" x14ac:dyDescent="0.3">
      <c r="D84" s="447"/>
      <c r="E84" s="276" t="s">
        <v>163</v>
      </c>
      <c r="F84" s="277">
        <f>SUM(F72:F83)</f>
        <v>250000</v>
      </c>
      <c r="G84" s="277"/>
      <c r="H84" s="497">
        <f>SUM(H72:H83)</f>
        <v>87570000</v>
      </c>
      <c r="I84" s="497"/>
      <c r="J84" s="266"/>
    </row>
    <row r="85" spans="4:10" x14ac:dyDescent="0.3">
      <c r="D85" s="447"/>
      <c r="E85" s="447" t="s">
        <v>25</v>
      </c>
      <c r="F85" s="284"/>
      <c r="G85" s="284"/>
      <c r="H85" s="498">
        <f>F85*G85</f>
        <v>0</v>
      </c>
      <c r="I85" s="498"/>
      <c r="J85" s="285"/>
    </row>
    <row r="86" spans="4:10" x14ac:dyDescent="0.3">
      <c r="D86" s="447"/>
      <c r="E86" s="447"/>
      <c r="F86" s="286"/>
      <c r="G86" s="286"/>
      <c r="H86" s="495">
        <f>F86*G86</f>
        <v>0</v>
      </c>
      <c r="I86" s="495"/>
      <c r="J86" s="287"/>
    </row>
    <row r="87" spans="4:10" ht="17.25" thickBot="1" x14ac:dyDescent="0.35">
      <c r="D87" s="447"/>
      <c r="E87" s="288" t="s">
        <v>163</v>
      </c>
      <c r="F87" s="284">
        <f>SUM(F85+F86)</f>
        <v>0</v>
      </c>
      <c r="G87" s="284"/>
      <c r="H87" s="498">
        <f>SUM(H85:H86)</f>
        <v>0</v>
      </c>
      <c r="I87" s="498"/>
      <c r="J87" s="289"/>
    </row>
    <row r="88" spans="4:10" ht="18" thickTop="1" thickBot="1" x14ac:dyDescent="0.35">
      <c r="D88" s="447"/>
      <c r="E88" s="259" t="s">
        <v>164</v>
      </c>
      <c r="F88" s="260">
        <f>F56+F71+F84+F87</f>
        <v>610000</v>
      </c>
      <c r="G88" s="260"/>
      <c r="H88" s="492">
        <f>H56+H71+H84+H87</f>
        <v>614430000</v>
      </c>
      <c r="I88" s="492"/>
    </row>
    <row r="89" spans="4:10" x14ac:dyDescent="0.3">
      <c r="D89" s="447" t="s">
        <v>167</v>
      </c>
      <c r="E89" s="95" t="s">
        <v>13</v>
      </c>
      <c r="F89" s="290"/>
      <c r="G89" s="291" t="e">
        <f>H89/F89</f>
        <v>#DIV/0!</v>
      </c>
      <c r="H89" s="504">
        <f>F12</f>
        <v>0</v>
      </c>
      <c r="I89" s="504"/>
    </row>
    <row r="90" spans="4:10" x14ac:dyDescent="0.3">
      <c r="D90" s="447"/>
      <c r="E90" s="292" t="s">
        <v>100</v>
      </c>
      <c r="F90" s="293">
        <v>373206</v>
      </c>
      <c r="G90" s="294">
        <f>H90/F90</f>
        <v>1446.3855189895125</v>
      </c>
      <c r="H90" s="490">
        <f>F32</f>
        <v>539799754</v>
      </c>
      <c r="I90" s="490"/>
    </row>
    <row r="91" spans="4:10" x14ac:dyDescent="0.3">
      <c r="D91" s="447"/>
      <c r="E91" s="292" t="s">
        <v>22</v>
      </c>
      <c r="F91" s="254">
        <v>283244</v>
      </c>
      <c r="G91" s="294">
        <f>H91/F91</f>
        <v>1238.5466529917669</v>
      </c>
      <c r="H91" s="490">
        <f>J32</f>
        <v>350810908.18000001</v>
      </c>
      <c r="I91" s="490"/>
    </row>
    <row r="92" spans="4:10" ht="17.25" thickBot="1" x14ac:dyDescent="0.35">
      <c r="D92" s="447"/>
      <c r="E92" s="95" t="s">
        <v>25</v>
      </c>
      <c r="F92" s="295"/>
      <c r="G92" s="296" t="e">
        <f>H92/F92</f>
        <v>#DIV/0!</v>
      </c>
      <c r="H92" s="502">
        <f>J12</f>
        <v>0</v>
      </c>
      <c r="I92" s="502"/>
    </row>
    <row r="93" spans="4:10" ht="17.25" thickBot="1" x14ac:dyDescent="0.35">
      <c r="D93" s="447"/>
      <c r="E93" s="297" t="s">
        <v>164</v>
      </c>
      <c r="F93" s="260">
        <f>SUM(F89:F92)</f>
        <v>656450</v>
      </c>
      <c r="G93" s="260"/>
      <c r="H93" s="503">
        <f>SUM(H89:H92)</f>
        <v>890610662.18000007</v>
      </c>
      <c r="I93" s="503"/>
    </row>
    <row r="94" spans="4:10" x14ac:dyDescent="0.3">
      <c r="D94" s="447" t="s">
        <v>168</v>
      </c>
      <c r="E94" s="95" t="s">
        <v>13</v>
      </c>
      <c r="F94" s="291">
        <f>F39+F56-F89</f>
        <v>0</v>
      </c>
      <c r="G94" s="291" t="e">
        <f>H94/F94</f>
        <v>#DIV/0!</v>
      </c>
      <c r="H94" s="498">
        <f>H39+H56-H89</f>
        <v>0</v>
      </c>
      <c r="I94" s="498"/>
    </row>
    <row r="95" spans="4:10" x14ac:dyDescent="0.3">
      <c r="D95" s="447"/>
      <c r="E95" s="292" t="s">
        <v>100</v>
      </c>
      <c r="F95" s="294">
        <f>F44+F71-F90</f>
        <v>59044</v>
      </c>
      <c r="G95" s="294">
        <f>H95/F95</f>
        <v>1488.6214348621368</v>
      </c>
      <c r="H95" s="494">
        <f>H44+H71-H90</f>
        <v>87894164</v>
      </c>
      <c r="I95" s="494"/>
    </row>
    <row r="96" spans="4:10" x14ac:dyDescent="0.3">
      <c r="D96" s="447"/>
      <c r="E96" s="292" t="s">
        <v>22</v>
      </c>
      <c r="F96" s="294">
        <f>F49+F84-F91</f>
        <v>98765</v>
      </c>
      <c r="G96" s="294">
        <f>H96/F96</f>
        <v>-1028.9574748139523</v>
      </c>
      <c r="H96" s="494">
        <f>H49+H84-H91</f>
        <v>-101624985</v>
      </c>
      <c r="I96" s="494"/>
    </row>
    <row r="97" spans="4:9" ht="17.25" thickBot="1" x14ac:dyDescent="0.35">
      <c r="D97" s="447"/>
      <c r="E97" s="95" t="s">
        <v>25</v>
      </c>
      <c r="F97" s="298">
        <f>F52+F87-F92</f>
        <v>0</v>
      </c>
      <c r="G97" s="296" t="e">
        <f>H97/F97</f>
        <v>#DIV/0!</v>
      </c>
      <c r="H97" s="502">
        <f>H52+H87-H92</f>
        <v>0</v>
      </c>
      <c r="I97" s="502"/>
    </row>
    <row r="98" spans="4:9" ht="17.25" thickBot="1" x14ac:dyDescent="0.35">
      <c r="D98" s="447"/>
      <c r="E98" s="297" t="s">
        <v>164</v>
      </c>
      <c r="F98" s="260">
        <f>SUM(F94:F97)</f>
        <v>157809</v>
      </c>
      <c r="G98" s="260">
        <f>H98/F98</f>
        <v>-87.00911228130208</v>
      </c>
      <c r="H98" s="503">
        <f>SUM(H94:H97)</f>
        <v>-13730821</v>
      </c>
      <c r="I98" s="503"/>
    </row>
    <row r="99" spans="4:9" x14ac:dyDescent="0.3">
      <c r="F99" s="299"/>
      <c r="G99" s="299"/>
      <c r="H99" s="299"/>
      <c r="I99" s="299"/>
    </row>
    <row r="100" spans="4:9" x14ac:dyDescent="0.3">
      <c r="F100" s="299"/>
      <c r="G100" s="299"/>
      <c r="H100" s="299"/>
      <c r="I100" s="299"/>
    </row>
    <row r="101" spans="4:9" x14ac:dyDescent="0.3">
      <c r="D101" s="300" t="s">
        <v>158</v>
      </c>
      <c r="E101" s="276" t="s">
        <v>159</v>
      </c>
      <c r="F101" s="301" t="s">
        <v>160</v>
      </c>
      <c r="G101" s="301" t="s">
        <v>161</v>
      </c>
      <c r="H101" s="497" t="s">
        <v>149</v>
      </c>
      <c r="I101" s="497"/>
    </row>
    <row r="102" spans="4:9" x14ac:dyDescent="0.3">
      <c r="D102" s="447" t="s">
        <v>169</v>
      </c>
      <c r="E102" s="455" t="s">
        <v>13</v>
      </c>
      <c r="F102" s="278"/>
      <c r="G102" s="302"/>
      <c r="H102" s="498">
        <f>F102*G102</f>
        <v>0</v>
      </c>
      <c r="I102" s="498"/>
    </row>
    <row r="103" spans="4:9" x14ac:dyDescent="0.3">
      <c r="D103" s="447"/>
      <c r="E103" s="455"/>
      <c r="F103" s="264"/>
      <c r="G103" s="303"/>
      <c r="H103" s="495">
        <f>F103*G103</f>
        <v>0</v>
      </c>
      <c r="I103" s="495"/>
    </row>
    <row r="104" spans="4:9" x14ac:dyDescent="0.3">
      <c r="D104" s="447"/>
      <c r="E104" s="276" t="s">
        <v>163</v>
      </c>
      <c r="F104" s="304">
        <f>SUM(F102:F103)</f>
        <v>0</v>
      </c>
      <c r="G104" s="305"/>
      <c r="H104" s="497">
        <f>SUM(H102:H103)</f>
        <v>0</v>
      </c>
      <c r="I104" s="497"/>
    </row>
    <row r="105" spans="4:9" x14ac:dyDescent="0.3">
      <c r="D105" s="447"/>
      <c r="E105" s="447" t="s">
        <v>100</v>
      </c>
      <c r="F105" s="222"/>
      <c r="G105" s="306"/>
      <c r="H105" s="498">
        <f>F105*G105</f>
        <v>0</v>
      </c>
      <c r="I105" s="498"/>
    </row>
    <row r="106" spans="4:9" x14ac:dyDescent="0.3">
      <c r="D106" s="447"/>
      <c r="E106" s="447"/>
      <c r="F106" s="222"/>
      <c r="G106" s="271"/>
      <c r="H106" s="494">
        <f>F106*G106</f>
        <v>0</v>
      </c>
      <c r="I106" s="494"/>
    </row>
    <row r="107" spans="4:9" x14ac:dyDescent="0.3">
      <c r="D107" s="447"/>
      <c r="E107" s="447"/>
      <c r="F107" s="222"/>
      <c r="G107" s="271"/>
      <c r="H107" s="494">
        <f>F107*G107</f>
        <v>0</v>
      </c>
      <c r="I107" s="494"/>
    </row>
    <row r="108" spans="4:9" x14ac:dyDescent="0.3">
      <c r="D108" s="447"/>
      <c r="E108" s="447"/>
      <c r="F108" s="203"/>
      <c r="G108" s="307"/>
      <c r="H108" s="496">
        <f>F108*G108</f>
        <v>0</v>
      </c>
      <c r="I108" s="496"/>
    </row>
    <row r="109" spans="4:9" x14ac:dyDescent="0.3">
      <c r="D109" s="447"/>
      <c r="E109" s="276" t="s">
        <v>163</v>
      </c>
      <c r="F109" s="277">
        <f>SUM(F105:F108)</f>
        <v>0</v>
      </c>
      <c r="G109" s="308"/>
      <c r="H109" s="497">
        <f>SUM(H105:H108)</f>
        <v>0</v>
      </c>
      <c r="I109" s="497"/>
    </row>
    <row r="110" spans="4:9" x14ac:dyDescent="0.3">
      <c r="D110" s="447"/>
      <c r="E110" s="447" t="s">
        <v>22</v>
      </c>
      <c r="F110" s="254">
        <f>F76-H24</f>
        <v>0</v>
      </c>
      <c r="G110" s="273"/>
      <c r="H110" s="498">
        <f>F110*G110</f>
        <v>0</v>
      </c>
      <c r="I110" s="498"/>
    </row>
    <row r="111" spans="4:9" x14ac:dyDescent="0.3">
      <c r="D111" s="447"/>
      <c r="E111" s="447"/>
      <c r="F111" s="254">
        <f>F77</f>
        <v>50000</v>
      </c>
      <c r="G111" s="273"/>
      <c r="H111" s="494">
        <f>F111*G111</f>
        <v>0</v>
      </c>
      <c r="I111" s="494"/>
    </row>
    <row r="112" spans="4:9" x14ac:dyDescent="0.3">
      <c r="D112" s="447"/>
      <c r="E112" s="447"/>
      <c r="F112" s="254">
        <f>F78</f>
        <v>40000</v>
      </c>
      <c r="G112" s="273"/>
      <c r="H112" s="494">
        <f>F112*G112</f>
        <v>0</v>
      </c>
      <c r="I112" s="494"/>
    </row>
    <row r="113" spans="4:9" x14ac:dyDescent="0.3">
      <c r="D113" s="447"/>
      <c r="E113" s="447"/>
      <c r="F113" s="254">
        <f>F79</f>
        <v>30000</v>
      </c>
      <c r="G113" s="273"/>
      <c r="H113" s="494">
        <f>F113*G113</f>
        <v>0</v>
      </c>
      <c r="I113" s="494"/>
    </row>
    <row r="114" spans="4:9" x14ac:dyDescent="0.3">
      <c r="D114" s="447"/>
      <c r="E114" s="447"/>
      <c r="F114" s="251">
        <f>F80</f>
        <v>20000</v>
      </c>
      <c r="G114" s="309"/>
      <c r="H114" s="496">
        <f>F114*G114</f>
        <v>0</v>
      </c>
      <c r="I114" s="496"/>
    </row>
    <row r="115" spans="4:9" x14ac:dyDescent="0.3">
      <c r="D115" s="447"/>
      <c r="E115" s="276" t="s">
        <v>163</v>
      </c>
      <c r="F115" s="277">
        <f>SUM(F110:F114)</f>
        <v>140000</v>
      </c>
      <c r="G115" s="277"/>
      <c r="H115" s="497">
        <f>SUM(H110:H114)</f>
        <v>0</v>
      </c>
      <c r="I115" s="497"/>
    </row>
    <row r="116" spans="4:9" x14ac:dyDescent="0.3">
      <c r="D116" s="447"/>
      <c r="E116" s="447" t="s">
        <v>25</v>
      </c>
      <c r="F116" s="284"/>
      <c r="G116" s="284"/>
      <c r="H116" s="498">
        <f>F116*G116</f>
        <v>0</v>
      </c>
      <c r="I116" s="498"/>
    </row>
    <row r="117" spans="4:9" x14ac:dyDescent="0.3">
      <c r="D117" s="447"/>
      <c r="E117" s="447"/>
      <c r="F117" s="286"/>
      <c r="G117" s="286"/>
      <c r="H117" s="495">
        <f>F117*G117</f>
        <v>0</v>
      </c>
      <c r="I117" s="495"/>
    </row>
    <row r="118" spans="4:9" ht="17.25" thickBot="1" x14ac:dyDescent="0.35">
      <c r="D118" s="447"/>
      <c r="E118" s="288" t="s">
        <v>163</v>
      </c>
      <c r="F118" s="284">
        <f>SUM(F116:F117)</f>
        <v>0</v>
      </c>
      <c r="G118" s="284"/>
      <c r="H118" s="498">
        <f>SUM(H116:H117)</f>
        <v>0</v>
      </c>
      <c r="I118" s="498"/>
    </row>
    <row r="119" spans="4:9" ht="17.25" thickBot="1" x14ac:dyDescent="0.35">
      <c r="D119" s="447"/>
      <c r="E119" s="259" t="s">
        <v>164</v>
      </c>
      <c r="F119" s="260">
        <f>F104+F109+F115+F118</f>
        <v>140000</v>
      </c>
      <c r="G119" s="260"/>
      <c r="H119" s="492">
        <f>H104+H109+H115+H118</f>
        <v>0</v>
      </c>
      <c r="I119" s="492"/>
    </row>
  </sheetData>
  <mergeCells count="106">
    <mergeCell ref="H101:I101"/>
    <mergeCell ref="D102:D119"/>
    <mergeCell ref="E102:E103"/>
    <mergeCell ref="H102:I102"/>
    <mergeCell ref="H103:I103"/>
    <mergeCell ref="H104:I104"/>
    <mergeCell ref="E105:E108"/>
    <mergeCell ref="H105:I105"/>
    <mergeCell ref="H106:I106"/>
    <mergeCell ref="H107:I107"/>
    <mergeCell ref="H115:I115"/>
    <mergeCell ref="E116:E117"/>
    <mergeCell ref="H116:I116"/>
    <mergeCell ref="H117:I117"/>
    <mergeCell ref="H118:I118"/>
    <mergeCell ref="H119:I119"/>
    <mergeCell ref="H108:I108"/>
    <mergeCell ref="H109:I109"/>
    <mergeCell ref="E110:E114"/>
    <mergeCell ref="H110:I110"/>
    <mergeCell ref="H111:I111"/>
    <mergeCell ref="H112:I112"/>
    <mergeCell ref="H113:I113"/>
    <mergeCell ref="H114:I114"/>
    <mergeCell ref="D94:D98"/>
    <mergeCell ref="H94:I94"/>
    <mergeCell ref="H95:I95"/>
    <mergeCell ref="H96:I96"/>
    <mergeCell ref="H97:I97"/>
    <mergeCell ref="H98:I98"/>
    <mergeCell ref="H87:I87"/>
    <mergeCell ref="H88:I88"/>
    <mergeCell ref="D89:D93"/>
    <mergeCell ref="H89:I89"/>
    <mergeCell ref="H90:I90"/>
    <mergeCell ref="H91:I91"/>
    <mergeCell ref="H92:I92"/>
    <mergeCell ref="H93:I93"/>
    <mergeCell ref="H83:I83"/>
    <mergeCell ref="H84:I84"/>
    <mergeCell ref="E85:E86"/>
    <mergeCell ref="H85:I85"/>
    <mergeCell ref="H86:I86"/>
    <mergeCell ref="H76:I76"/>
    <mergeCell ref="H77:I77"/>
    <mergeCell ref="H78:I78"/>
    <mergeCell ref="H79:I79"/>
    <mergeCell ref="H80:I80"/>
    <mergeCell ref="H81:I81"/>
    <mergeCell ref="H64:I64"/>
    <mergeCell ref="H65:I65"/>
    <mergeCell ref="H66:I66"/>
    <mergeCell ref="D54:D88"/>
    <mergeCell ref="E54:E55"/>
    <mergeCell ref="H54:I54"/>
    <mergeCell ref="H55:I55"/>
    <mergeCell ref="H56:I56"/>
    <mergeCell ref="E57:E70"/>
    <mergeCell ref="H57:I57"/>
    <mergeCell ref="H58:I58"/>
    <mergeCell ref="H59:I59"/>
    <mergeCell ref="H60:I60"/>
    <mergeCell ref="H67:I67"/>
    <mergeCell ref="H68:I68"/>
    <mergeCell ref="H69:I69"/>
    <mergeCell ref="H70:I70"/>
    <mergeCell ref="H71:I71"/>
    <mergeCell ref="E72:E83"/>
    <mergeCell ref="H72:I72"/>
    <mergeCell ref="H73:I73"/>
    <mergeCell ref="H74:I74"/>
    <mergeCell ref="H75:I75"/>
    <mergeCell ref="H82:I82"/>
    <mergeCell ref="H44:I44"/>
    <mergeCell ref="E45:E48"/>
    <mergeCell ref="H45:I45"/>
    <mergeCell ref="H46:I46"/>
    <mergeCell ref="H47:I47"/>
    <mergeCell ref="H48:I48"/>
    <mergeCell ref="H61:I61"/>
    <mergeCell ref="H62:I62"/>
    <mergeCell ref="H63:I63"/>
    <mergeCell ref="A1:B1"/>
    <mergeCell ref="C1:D1"/>
    <mergeCell ref="I1:J1"/>
    <mergeCell ref="D4:J4"/>
    <mergeCell ref="D6:F6"/>
    <mergeCell ref="H6:J6"/>
    <mergeCell ref="D34:I34"/>
    <mergeCell ref="H36:I36"/>
    <mergeCell ref="D37:D53"/>
    <mergeCell ref="E37:E38"/>
    <mergeCell ref="H37:I37"/>
    <mergeCell ref="H38:I38"/>
    <mergeCell ref="H39:I39"/>
    <mergeCell ref="E40:E43"/>
    <mergeCell ref="H40:I40"/>
    <mergeCell ref="H41:I41"/>
    <mergeCell ref="H49:I49"/>
    <mergeCell ref="E50:E51"/>
    <mergeCell ref="H50:I50"/>
    <mergeCell ref="H51:I51"/>
    <mergeCell ref="H52:I52"/>
    <mergeCell ref="H53:I53"/>
    <mergeCell ref="H42:I42"/>
    <mergeCell ref="H43:I43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F4D9-C50C-47DC-B00A-A712F3BF4493}">
  <sheetPr>
    <pageSetUpPr fitToPage="1"/>
  </sheetPr>
  <dimension ref="A1:X39"/>
  <sheetViews>
    <sheetView topLeftCell="B1" zoomScale="84" zoomScaleNormal="84" zoomScaleSheetLayoutView="86" workbookViewId="0">
      <selection activeCell="L30" sqref="L30"/>
    </sheetView>
  </sheetViews>
  <sheetFormatPr defaultRowHeight="16.5" x14ac:dyDescent="0.3"/>
  <cols>
    <col min="1" max="1" width="9.75" customWidth="1"/>
    <col min="2" max="2" width="5.375" customWidth="1"/>
    <col min="3" max="3" width="12.25" style="114" customWidth="1"/>
    <col min="4" max="4" width="9" style="114"/>
    <col min="5" max="5" width="13.25" style="114" customWidth="1"/>
    <col min="7" max="7" width="9.875" customWidth="1"/>
    <col min="8" max="9" width="12.5" style="115" customWidth="1"/>
    <col min="10" max="10" width="14.25" style="114" customWidth="1"/>
    <col min="11" max="11" width="10.75" customWidth="1"/>
    <col min="12" max="12" width="9.75" bestFit="1" customWidth="1"/>
    <col min="13" max="13" width="10.25" customWidth="1"/>
    <col min="14" max="14" width="9.125" style="114" customWidth="1"/>
    <col min="15" max="15" width="11.625" style="114" customWidth="1"/>
    <col min="16" max="16" width="9" style="114" customWidth="1"/>
    <col min="18" max="18" width="14.75" customWidth="1"/>
    <col min="19" max="19" width="16.625" customWidth="1"/>
    <col min="20" max="20" width="14.25" customWidth="1"/>
    <col min="21" max="21" width="13" customWidth="1"/>
    <col min="22" max="22" width="11.125" customWidth="1"/>
    <col min="23" max="23" width="13" customWidth="1"/>
    <col min="24" max="24" width="18.125" customWidth="1"/>
  </cols>
  <sheetData>
    <row r="1" spans="1:24" ht="20.25" x14ac:dyDescent="0.3">
      <c r="A1" s="1" t="s">
        <v>0</v>
      </c>
    </row>
    <row r="3" spans="1:24" s="32" customFormat="1" x14ac:dyDescent="0.3">
      <c r="C3" s="124">
        <v>98993</v>
      </c>
      <c r="D3" s="125" t="s">
        <v>69</v>
      </c>
      <c r="F3" s="36"/>
      <c r="H3" s="7">
        <v>193534</v>
      </c>
      <c r="I3" s="124" t="s">
        <v>69</v>
      </c>
      <c r="K3" s="129"/>
      <c r="L3" s="33"/>
      <c r="M3" s="124">
        <v>24497</v>
      </c>
      <c r="N3" s="35" t="s">
        <v>69</v>
      </c>
      <c r="O3" s="36"/>
      <c r="U3" s="126">
        <v>0.3</v>
      </c>
      <c r="V3" s="126">
        <v>1</v>
      </c>
    </row>
    <row r="4" spans="1:24" x14ac:dyDescent="0.3">
      <c r="A4" s="445" t="s">
        <v>40</v>
      </c>
      <c r="B4" s="445" t="s">
        <v>41</v>
      </c>
      <c r="C4" s="437" t="s">
        <v>101</v>
      </c>
      <c r="D4" s="438"/>
      <c r="E4" s="438"/>
      <c r="F4" s="438"/>
      <c r="G4" s="439"/>
      <c r="H4" s="440" t="s">
        <v>102</v>
      </c>
      <c r="I4" s="441"/>
      <c r="J4" s="441"/>
      <c r="K4" s="441"/>
      <c r="L4" s="442"/>
      <c r="M4" s="446" t="s">
        <v>104</v>
      </c>
      <c r="N4" s="446"/>
      <c r="O4" s="446"/>
      <c r="P4" s="446"/>
      <c r="Q4" s="446"/>
      <c r="R4" s="433" t="s">
        <v>86</v>
      </c>
      <c r="S4" s="433" t="s">
        <v>94</v>
      </c>
      <c r="T4" s="435" t="s">
        <v>48</v>
      </c>
      <c r="U4" s="34" t="s">
        <v>67</v>
      </c>
      <c r="V4" s="34" t="s">
        <v>68</v>
      </c>
      <c r="W4" s="421" t="s">
        <v>85</v>
      </c>
      <c r="X4" s="423" t="s">
        <v>103</v>
      </c>
    </row>
    <row r="5" spans="1:24" x14ac:dyDescent="0.3">
      <c r="A5" s="445"/>
      <c r="B5" s="445"/>
      <c r="C5" s="7" t="s">
        <v>43</v>
      </c>
      <c r="D5" s="7" t="s">
        <v>66</v>
      </c>
      <c r="E5" s="7" t="s">
        <v>95</v>
      </c>
      <c r="F5" s="23" t="s">
        <v>64</v>
      </c>
      <c r="G5" s="24" t="s">
        <v>65</v>
      </c>
      <c r="H5" s="7" t="s">
        <v>43</v>
      </c>
      <c r="I5" s="7" t="s">
        <v>66</v>
      </c>
      <c r="J5" s="7" t="s">
        <v>95</v>
      </c>
      <c r="K5" s="23" t="s">
        <v>64</v>
      </c>
      <c r="L5" s="24" t="s">
        <v>65</v>
      </c>
      <c r="M5" s="24" t="s">
        <v>43</v>
      </c>
      <c r="N5" s="7" t="s">
        <v>66</v>
      </c>
      <c r="O5" s="7" t="s">
        <v>95</v>
      </c>
      <c r="P5" s="23" t="s">
        <v>64</v>
      </c>
      <c r="Q5" s="24" t="s">
        <v>65</v>
      </c>
      <c r="R5" s="434"/>
      <c r="S5" s="434"/>
      <c r="T5" s="436"/>
      <c r="U5" s="24" t="s">
        <v>46</v>
      </c>
      <c r="V5" s="24" t="s">
        <v>46</v>
      </c>
      <c r="W5" s="422"/>
      <c r="X5" s="424"/>
    </row>
    <row r="6" spans="1:24" x14ac:dyDescent="0.3">
      <c r="A6" s="25">
        <v>43586</v>
      </c>
      <c r="B6" s="24" t="s">
        <v>60</v>
      </c>
      <c r="C6" s="35">
        <v>700.89999999990687</v>
      </c>
      <c r="D6" s="35">
        <v>1515</v>
      </c>
      <c r="E6" s="35">
        <f>C6*D6</f>
        <v>1061863.4999998589</v>
      </c>
      <c r="F6" s="26">
        <v>14294.100000000093</v>
      </c>
      <c r="G6" s="68">
        <v>1321.13</v>
      </c>
      <c r="H6" s="7">
        <v>6489.4400000013411</v>
      </c>
      <c r="I6" s="35">
        <v>1395</v>
      </c>
      <c r="J6" s="35">
        <f>H6*I6</f>
        <v>9052768.8000018708</v>
      </c>
      <c r="K6" s="26">
        <v>28879.559999998659</v>
      </c>
      <c r="L6" s="66">
        <v>1211.04</v>
      </c>
      <c r="M6" s="26">
        <v>2008.0799999999581</v>
      </c>
      <c r="N6" s="35">
        <v>990</v>
      </c>
      <c r="O6" s="35">
        <f>M6*N6</f>
        <v>1987999.1999999585</v>
      </c>
      <c r="P6" s="26">
        <v>2574.9200000000419</v>
      </c>
      <c r="Q6" s="66">
        <v>806.04</v>
      </c>
      <c r="R6" s="26">
        <f>E6+J6+O6</f>
        <v>12102631.500001688</v>
      </c>
      <c r="S6" s="5">
        <f>C6*G6+H6*L6+M6*Q6</f>
        <v>10403544.237801466</v>
      </c>
      <c r="T6" s="28">
        <f>R6-S6</f>
        <v>1699087.2622002214</v>
      </c>
      <c r="U6" s="26">
        <v>63000</v>
      </c>
      <c r="V6" s="26">
        <v>63000</v>
      </c>
      <c r="W6" s="26">
        <f t="shared" ref="W6:W27" si="0">U6*0.7</f>
        <v>44100</v>
      </c>
      <c r="X6" s="117">
        <f>T6+V6+W6</f>
        <v>1806187.2622002214</v>
      </c>
    </row>
    <row r="7" spans="1:24" x14ac:dyDescent="0.3">
      <c r="A7" s="25">
        <v>43587</v>
      </c>
      <c r="B7" s="24" t="s">
        <v>61</v>
      </c>
      <c r="C7" s="35">
        <v>2124.8300000000745</v>
      </c>
      <c r="D7" s="35">
        <v>1515</v>
      </c>
      <c r="E7" s="35">
        <f t="shared" ref="E7:E34" si="1">C7*D7</f>
        <v>3219117.4500001129</v>
      </c>
      <c r="F7" s="26">
        <v>12169.270000000019</v>
      </c>
      <c r="G7" s="68">
        <v>1321.13</v>
      </c>
      <c r="H7" s="7">
        <v>15346.079999998212</v>
      </c>
      <c r="I7" s="35">
        <v>1395</v>
      </c>
      <c r="J7" s="35">
        <f t="shared" ref="J7:J36" si="2">H7*I7</f>
        <v>21407781.599997506</v>
      </c>
      <c r="K7" s="26">
        <v>13533.480000000447</v>
      </c>
      <c r="L7" s="66">
        <v>1211.04</v>
      </c>
      <c r="M7" s="26">
        <v>0</v>
      </c>
      <c r="N7" s="35">
        <v>990</v>
      </c>
      <c r="O7" s="35">
        <f t="shared" ref="O7:O36" si="3">M7*N7</f>
        <v>0</v>
      </c>
      <c r="P7" s="26">
        <v>2574.9200000000419</v>
      </c>
      <c r="Q7" s="66">
        <v>806.04</v>
      </c>
      <c r="R7" s="26">
        <f t="shared" ref="R7:R36" si="4">E7+J7+O7</f>
        <v>24626899.04999762</v>
      </c>
      <c r="S7" s="5">
        <f t="shared" ref="S7:S36" si="5">C7*G7+H7*L7+M7*Q7</f>
        <v>21391893.381097931</v>
      </c>
      <c r="T7" s="28">
        <f t="shared" ref="T7:T36" si="6">R7-S7</f>
        <v>3235005.6688996889</v>
      </c>
      <c r="U7" s="26">
        <v>231000</v>
      </c>
      <c r="V7" s="128">
        <v>14300</v>
      </c>
      <c r="W7" s="26">
        <f t="shared" si="0"/>
        <v>161700</v>
      </c>
      <c r="X7" s="117">
        <f t="shared" ref="X7:X36" si="7">T7+V7+W7</f>
        <v>3411005.6688996889</v>
      </c>
    </row>
    <row r="8" spans="1:24" x14ac:dyDescent="0.3">
      <c r="A8" s="25">
        <v>43588</v>
      </c>
      <c r="B8" s="24" t="s">
        <v>52</v>
      </c>
      <c r="C8" s="35">
        <v>2076.7000000001863</v>
      </c>
      <c r="D8" s="35">
        <v>1515</v>
      </c>
      <c r="E8" s="35">
        <f t="shared" si="1"/>
        <v>3146200.5000002822</v>
      </c>
      <c r="F8" s="26">
        <v>10092.569999999832</v>
      </c>
      <c r="G8" s="68">
        <v>1321.13</v>
      </c>
      <c r="H8" s="7">
        <v>12509.980000000447</v>
      </c>
      <c r="I8" s="35">
        <v>1395</v>
      </c>
      <c r="J8" s="35">
        <f t="shared" si="2"/>
        <v>17451422.100000624</v>
      </c>
      <c r="K8" s="26">
        <v>1023.5</v>
      </c>
      <c r="L8" s="66">
        <v>1211.04</v>
      </c>
      <c r="M8" s="26">
        <v>700</v>
      </c>
      <c r="N8" s="35">
        <v>990</v>
      </c>
      <c r="O8" s="35">
        <f t="shared" si="3"/>
        <v>693000</v>
      </c>
      <c r="P8" s="26">
        <v>1874.9200000000419</v>
      </c>
      <c r="Q8" s="66">
        <v>806.04</v>
      </c>
      <c r="R8" s="26">
        <f t="shared" si="4"/>
        <v>21290622.600000907</v>
      </c>
      <c r="S8" s="5">
        <f t="shared" si="5"/>
        <v>18457904.850200787</v>
      </c>
      <c r="T8" s="28">
        <f t="shared" si="6"/>
        <v>2832717.7498001195</v>
      </c>
      <c r="U8" s="26">
        <v>381000</v>
      </c>
      <c r="V8" s="26">
        <v>151000</v>
      </c>
      <c r="W8" s="26">
        <f t="shared" si="0"/>
        <v>266700</v>
      </c>
      <c r="X8" s="117">
        <f t="shared" si="7"/>
        <v>3250417.7498001195</v>
      </c>
    </row>
    <row r="9" spans="1:24" x14ac:dyDescent="0.3">
      <c r="A9" s="25">
        <v>43589</v>
      </c>
      <c r="B9" s="24" t="s">
        <v>62</v>
      </c>
      <c r="C9" s="35">
        <v>1464.4300000001676</v>
      </c>
      <c r="D9" s="35">
        <v>1515</v>
      </c>
      <c r="E9" s="35">
        <f t="shared" si="1"/>
        <v>2218611.450000254</v>
      </c>
      <c r="F9" s="26">
        <v>8628.1399999996647</v>
      </c>
      <c r="G9" s="68">
        <v>1321.13</v>
      </c>
      <c r="H9" s="7">
        <v>6370.0399999991059</v>
      </c>
      <c r="I9" s="35">
        <v>1395</v>
      </c>
      <c r="J9" s="35">
        <f t="shared" si="2"/>
        <v>8886205.7999987528</v>
      </c>
      <c r="K9" s="119">
        <v>89419.460000000894</v>
      </c>
      <c r="L9" s="120">
        <v>1223.6286970172682</v>
      </c>
      <c r="M9" s="26">
        <v>0</v>
      </c>
      <c r="N9" s="35">
        <v>990</v>
      </c>
      <c r="O9" s="35">
        <f t="shared" si="3"/>
        <v>0</v>
      </c>
      <c r="P9" s="26">
        <v>1874.9200000000419</v>
      </c>
      <c r="Q9" s="66">
        <v>806.04</v>
      </c>
      <c r="R9" s="26">
        <f t="shared" si="4"/>
        <v>11104817.249999007</v>
      </c>
      <c r="S9" s="5">
        <f t="shared" si="5"/>
        <v>9729266.1510470062</v>
      </c>
      <c r="T9" s="28">
        <f t="shared" si="6"/>
        <v>1375551.098952001</v>
      </c>
      <c r="U9" s="26">
        <v>419000</v>
      </c>
      <c r="V9" s="26">
        <v>113000</v>
      </c>
      <c r="W9" s="26">
        <f t="shared" si="0"/>
        <v>293300</v>
      </c>
      <c r="X9" s="117">
        <f t="shared" si="7"/>
        <v>1781851.098952001</v>
      </c>
    </row>
    <row r="10" spans="1:24" x14ac:dyDescent="0.3">
      <c r="A10" s="25">
        <v>43590</v>
      </c>
      <c r="B10" s="24" t="s">
        <v>63</v>
      </c>
      <c r="C10" s="35">
        <v>855.12999999942258</v>
      </c>
      <c r="D10" s="35">
        <v>1515</v>
      </c>
      <c r="E10" s="35">
        <f t="shared" si="1"/>
        <v>1295521.9499991252</v>
      </c>
      <c r="F10" s="26">
        <v>7773.0100000002421</v>
      </c>
      <c r="G10" s="68">
        <v>1321.13</v>
      </c>
      <c r="H10" s="7">
        <v>3133.4500000011176</v>
      </c>
      <c r="I10" s="35">
        <v>1395</v>
      </c>
      <c r="J10" s="35">
        <f t="shared" si="2"/>
        <v>4371162.750001559</v>
      </c>
      <c r="K10" s="26">
        <v>86286.009999999776</v>
      </c>
      <c r="L10" s="66">
        <v>1226.04</v>
      </c>
      <c r="M10" s="26">
        <v>0</v>
      </c>
      <c r="N10" s="35">
        <v>990</v>
      </c>
      <c r="O10" s="35">
        <f t="shared" si="3"/>
        <v>0</v>
      </c>
      <c r="P10" s="26">
        <v>1874.9200000000419</v>
      </c>
      <c r="Q10" s="66">
        <v>806.04</v>
      </c>
      <c r="R10" s="26">
        <f t="shared" si="4"/>
        <v>5666684.7000006847</v>
      </c>
      <c r="S10" s="5">
        <f t="shared" si="5"/>
        <v>4971472.9349006079</v>
      </c>
      <c r="T10" s="28">
        <f t="shared" si="6"/>
        <v>695211.76510007679</v>
      </c>
      <c r="U10" s="26">
        <v>464000</v>
      </c>
      <c r="V10" s="26">
        <v>59000</v>
      </c>
      <c r="W10" s="26">
        <f t="shared" si="0"/>
        <v>324800</v>
      </c>
      <c r="X10" s="117">
        <f t="shared" si="7"/>
        <v>1079011.7651000768</v>
      </c>
    </row>
    <row r="11" spans="1:24" x14ac:dyDescent="0.3">
      <c r="A11" s="25">
        <v>43591</v>
      </c>
      <c r="B11" s="24" t="s">
        <v>55</v>
      </c>
      <c r="C11" s="35">
        <v>1450.2900000005029</v>
      </c>
      <c r="D11" s="35">
        <v>1515</v>
      </c>
      <c r="E11" s="35">
        <f t="shared" si="1"/>
        <v>2197189.3500007619</v>
      </c>
      <c r="F11" s="26">
        <v>6322.7199999997392</v>
      </c>
      <c r="G11" s="68">
        <v>1321.13</v>
      </c>
      <c r="H11" s="7">
        <v>8387.730000000447</v>
      </c>
      <c r="I11" s="35">
        <v>1395</v>
      </c>
      <c r="J11" s="35">
        <f t="shared" si="2"/>
        <v>11700883.350000624</v>
      </c>
      <c r="K11" s="26">
        <v>77898.279999999329</v>
      </c>
      <c r="L11" s="66">
        <v>1226.04</v>
      </c>
      <c r="M11" s="26">
        <v>0</v>
      </c>
      <c r="N11" s="35">
        <v>990</v>
      </c>
      <c r="O11" s="35">
        <f t="shared" si="3"/>
        <v>0</v>
      </c>
      <c r="P11" s="26">
        <v>1874.9200000000419</v>
      </c>
      <c r="Q11" s="66">
        <v>806.04</v>
      </c>
      <c r="R11" s="26">
        <f t="shared" si="4"/>
        <v>13898072.700001385</v>
      </c>
      <c r="S11" s="5">
        <f t="shared" si="5"/>
        <v>12199714.116901211</v>
      </c>
      <c r="T11" s="28">
        <f t="shared" si="6"/>
        <v>1698358.5831001736</v>
      </c>
      <c r="U11" s="26">
        <v>504000</v>
      </c>
      <c r="V11" s="26">
        <v>104000</v>
      </c>
      <c r="W11" s="26">
        <f t="shared" si="0"/>
        <v>352800</v>
      </c>
      <c r="X11" s="117">
        <f t="shared" si="7"/>
        <v>2155158.5831001736</v>
      </c>
    </row>
    <row r="12" spans="1:24" x14ac:dyDescent="0.3">
      <c r="A12" s="25">
        <v>43592</v>
      </c>
      <c r="B12" s="24" t="s">
        <v>56</v>
      </c>
      <c r="C12" s="35">
        <v>1573.2299999995157</v>
      </c>
      <c r="D12" s="35">
        <v>1535</v>
      </c>
      <c r="E12" s="35">
        <f t="shared" si="1"/>
        <v>2414908.0499992566</v>
      </c>
      <c r="F12" s="26">
        <v>4749.4900000002235</v>
      </c>
      <c r="G12" s="68">
        <v>1321.13</v>
      </c>
      <c r="H12" s="7">
        <v>12580.949999999255</v>
      </c>
      <c r="I12" s="35">
        <v>1415</v>
      </c>
      <c r="J12" s="35">
        <f t="shared" si="2"/>
        <v>17802044.249998946</v>
      </c>
      <c r="K12" s="26">
        <v>65317.330000000075</v>
      </c>
      <c r="L12" s="66">
        <v>1226.04</v>
      </c>
      <c r="M12" s="26">
        <v>0</v>
      </c>
      <c r="N12" s="35">
        <v>990</v>
      </c>
      <c r="O12" s="35">
        <f t="shared" si="3"/>
        <v>0</v>
      </c>
      <c r="P12" s="26">
        <v>1874.9200000000419</v>
      </c>
      <c r="Q12" s="66">
        <v>806.04</v>
      </c>
      <c r="R12" s="26">
        <f t="shared" si="4"/>
        <v>20216952.299998201</v>
      </c>
      <c r="S12" s="5">
        <f t="shared" si="5"/>
        <v>17503189.287898447</v>
      </c>
      <c r="T12" s="28">
        <f t="shared" si="6"/>
        <v>2713763.0120997541</v>
      </c>
      <c r="U12" s="26">
        <v>577000</v>
      </c>
      <c r="V12" s="26">
        <v>156000</v>
      </c>
      <c r="W12" s="26">
        <f t="shared" si="0"/>
        <v>403900</v>
      </c>
      <c r="X12" s="117">
        <f t="shared" si="7"/>
        <v>3273663.0120997541</v>
      </c>
    </row>
    <row r="13" spans="1:24" x14ac:dyDescent="0.3">
      <c r="A13" s="25">
        <v>43593</v>
      </c>
      <c r="B13" s="24" t="s">
        <v>57</v>
      </c>
      <c r="C13" s="35">
        <v>1664.9199999999255</v>
      </c>
      <c r="D13" s="35">
        <v>1535</v>
      </c>
      <c r="E13" s="35">
        <f t="shared" si="1"/>
        <v>2555652.1999998856</v>
      </c>
      <c r="F13" s="26">
        <v>3084.570000000298</v>
      </c>
      <c r="G13" s="68">
        <v>1321.13</v>
      </c>
      <c r="H13" s="7">
        <v>11147.529999999329</v>
      </c>
      <c r="I13" s="35">
        <v>1415</v>
      </c>
      <c r="J13" s="35">
        <f t="shared" si="2"/>
        <v>15773754.949999051</v>
      </c>
      <c r="K13" s="26">
        <v>54169.800000000745</v>
      </c>
      <c r="L13" s="66">
        <v>1226.04</v>
      </c>
      <c r="M13" s="26">
        <v>2000</v>
      </c>
      <c r="N13" s="35">
        <v>990</v>
      </c>
      <c r="O13" s="35">
        <f t="shared" si="3"/>
        <v>1980000</v>
      </c>
      <c r="P13" s="119">
        <v>19788.920000000042</v>
      </c>
      <c r="Q13" s="120">
        <v>807.29</v>
      </c>
      <c r="R13" s="26">
        <f t="shared" si="4"/>
        <v>20309407.149998937</v>
      </c>
      <c r="S13" s="5">
        <f t="shared" si="5"/>
        <v>17481473.44079908</v>
      </c>
      <c r="T13" s="28">
        <f t="shared" si="6"/>
        <v>2827933.709199857</v>
      </c>
      <c r="U13" s="26">
        <v>712000</v>
      </c>
      <c r="V13" s="26">
        <v>118000</v>
      </c>
      <c r="W13" s="26">
        <f t="shared" si="0"/>
        <v>498399.99999999994</v>
      </c>
      <c r="X13" s="117">
        <f t="shared" si="7"/>
        <v>3444333.709199857</v>
      </c>
    </row>
    <row r="14" spans="1:24" x14ac:dyDescent="0.3">
      <c r="A14" s="25">
        <v>43594</v>
      </c>
      <c r="B14" s="24" t="s">
        <v>58</v>
      </c>
      <c r="C14" s="35">
        <v>1368.7700000004843</v>
      </c>
      <c r="D14" s="35">
        <v>1535</v>
      </c>
      <c r="E14" s="35">
        <f t="shared" si="1"/>
        <v>2101061.9500007434</v>
      </c>
      <c r="F14" s="26">
        <v>1715.7999999998137</v>
      </c>
      <c r="G14" s="68">
        <v>1321.13</v>
      </c>
      <c r="H14" s="7">
        <v>11274.440000001341</v>
      </c>
      <c r="I14" s="35">
        <v>1415</v>
      </c>
      <c r="J14" s="35">
        <f t="shared" si="2"/>
        <v>15953332.600001898</v>
      </c>
      <c r="K14" s="26">
        <v>42895.359999999404</v>
      </c>
      <c r="L14" s="66">
        <v>1226.04</v>
      </c>
      <c r="M14" s="26">
        <v>20.200000000011642</v>
      </c>
      <c r="N14" s="35">
        <v>990</v>
      </c>
      <c r="O14" s="35">
        <f t="shared" si="3"/>
        <v>19998.000000011525</v>
      </c>
      <c r="P14" s="26">
        <v>19768.72000000003</v>
      </c>
      <c r="Q14" s="66">
        <v>826.04</v>
      </c>
      <c r="R14" s="26">
        <f t="shared" si="4"/>
        <v>18074392.550002653</v>
      </c>
      <c r="S14" s="5">
        <f t="shared" si="5"/>
        <v>15647923.535702292</v>
      </c>
      <c r="T14" s="28">
        <f t="shared" si="6"/>
        <v>2426469.0143003613</v>
      </c>
      <c r="U14" s="26">
        <v>743000</v>
      </c>
      <c r="V14" s="26">
        <v>106000</v>
      </c>
      <c r="W14" s="26">
        <f t="shared" si="0"/>
        <v>520099.99999999994</v>
      </c>
      <c r="X14" s="117">
        <f t="shared" si="7"/>
        <v>3052569.0143003613</v>
      </c>
    </row>
    <row r="15" spans="1:24" x14ac:dyDescent="0.3">
      <c r="A15" s="25">
        <v>43595</v>
      </c>
      <c r="B15" s="24" t="s">
        <v>59</v>
      </c>
      <c r="C15" s="130">
        <v>1972.1951999994926</v>
      </c>
      <c r="D15" s="35">
        <v>1535</v>
      </c>
      <c r="E15" s="35">
        <f t="shared" si="1"/>
        <v>3027319.6319992212</v>
      </c>
      <c r="F15" s="69">
        <v>39742.604800000321</v>
      </c>
      <c r="G15" s="118">
        <v>1405.6242799188642</v>
      </c>
      <c r="H15" s="7">
        <v>15106.699999999255</v>
      </c>
      <c r="I15" s="35">
        <v>1415</v>
      </c>
      <c r="J15" s="35">
        <f t="shared" si="2"/>
        <v>21375980.499998946</v>
      </c>
      <c r="K15" s="26">
        <v>27788.660000000149</v>
      </c>
      <c r="L15" s="66">
        <v>1226.04</v>
      </c>
      <c r="M15" s="26">
        <v>0</v>
      </c>
      <c r="N15" s="35">
        <v>990</v>
      </c>
      <c r="O15" s="35">
        <f t="shared" si="3"/>
        <v>0</v>
      </c>
      <c r="P15" s="26">
        <v>19768.72000000003</v>
      </c>
      <c r="Q15" s="66">
        <v>826.04</v>
      </c>
      <c r="R15" s="26">
        <f t="shared" si="4"/>
        <v>24403300.131998166</v>
      </c>
      <c r="S15" s="5">
        <f t="shared" si="5"/>
        <v>21293583.925857812</v>
      </c>
      <c r="T15" s="28">
        <f t="shared" si="6"/>
        <v>3109716.2061403543</v>
      </c>
      <c r="U15" s="26">
        <v>782000</v>
      </c>
      <c r="V15" s="26">
        <v>122000</v>
      </c>
      <c r="W15" s="26">
        <f t="shared" si="0"/>
        <v>547400</v>
      </c>
      <c r="X15" s="117">
        <f t="shared" si="7"/>
        <v>3779116.2061403543</v>
      </c>
    </row>
    <row r="16" spans="1:24" x14ac:dyDescent="0.3">
      <c r="A16" s="25">
        <v>43596</v>
      </c>
      <c r="B16" s="24" t="s">
        <v>53</v>
      </c>
      <c r="C16" s="35">
        <v>1717.5148000004701</v>
      </c>
      <c r="D16" s="35">
        <v>1535</v>
      </c>
      <c r="E16" s="35">
        <f t="shared" si="1"/>
        <v>2636385.2180007217</v>
      </c>
      <c r="F16" s="26">
        <v>38025.089999999851</v>
      </c>
      <c r="G16" s="67">
        <v>1316.04</v>
      </c>
      <c r="H16" s="7">
        <v>7443.480000000447</v>
      </c>
      <c r="I16" s="35">
        <v>1415</v>
      </c>
      <c r="J16" s="35">
        <f t="shared" si="2"/>
        <v>10532524.200000633</v>
      </c>
      <c r="K16" s="26">
        <v>20345.179999999702</v>
      </c>
      <c r="L16" s="66">
        <v>1226.04</v>
      </c>
      <c r="M16" s="26">
        <v>0</v>
      </c>
      <c r="N16" s="35">
        <v>990</v>
      </c>
      <c r="O16" s="35">
        <f t="shared" si="3"/>
        <v>0</v>
      </c>
      <c r="P16" s="26">
        <v>19768.72000000003</v>
      </c>
      <c r="Q16" s="66">
        <v>826.04</v>
      </c>
      <c r="R16" s="26">
        <f t="shared" si="4"/>
        <v>13168909.418001354</v>
      </c>
      <c r="S16" s="5">
        <f t="shared" si="5"/>
        <v>11386322.396593167</v>
      </c>
      <c r="T16" s="28">
        <f t="shared" si="6"/>
        <v>1782587.0214081872</v>
      </c>
      <c r="U16" s="26">
        <v>909000</v>
      </c>
      <c r="V16" s="26">
        <v>181000</v>
      </c>
      <c r="W16" s="26">
        <f t="shared" si="0"/>
        <v>636300</v>
      </c>
      <c r="X16" s="117">
        <f t="shared" si="7"/>
        <v>2599887.0214081872</v>
      </c>
    </row>
    <row r="17" spans="1:24" x14ac:dyDescent="0.3">
      <c r="A17" s="25">
        <v>43597</v>
      </c>
      <c r="B17" s="24" t="s">
        <v>54</v>
      </c>
      <c r="C17" s="35">
        <v>294.95999999996275</v>
      </c>
      <c r="D17" s="35">
        <v>1565</v>
      </c>
      <c r="E17" s="35">
        <f t="shared" si="1"/>
        <v>461612.3999999417</v>
      </c>
      <c r="F17" s="26">
        <v>37730.129999999888</v>
      </c>
      <c r="G17" s="67">
        <v>1316.04</v>
      </c>
      <c r="H17" s="7">
        <v>2821.519999999553</v>
      </c>
      <c r="I17" s="35">
        <v>1435</v>
      </c>
      <c r="J17" s="35">
        <f t="shared" si="2"/>
        <v>4048881.1999993585</v>
      </c>
      <c r="K17" s="26">
        <v>17523.660000000149</v>
      </c>
      <c r="L17" s="66">
        <v>1226.04</v>
      </c>
      <c r="M17" s="26">
        <v>0</v>
      </c>
      <c r="N17" s="35">
        <v>990</v>
      </c>
      <c r="O17" s="35">
        <f t="shared" si="3"/>
        <v>0</v>
      </c>
      <c r="P17" s="26">
        <v>19768.72000000003</v>
      </c>
      <c r="Q17" s="66">
        <v>826.04</v>
      </c>
      <c r="R17" s="26">
        <f t="shared" si="4"/>
        <v>4510493.5999993002</v>
      </c>
      <c r="S17" s="5">
        <f t="shared" si="5"/>
        <v>3847475.5391994026</v>
      </c>
      <c r="T17" s="28">
        <f t="shared" si="6"/>
        <v>663018.06079989765</v>
      </c>
      <c r="U17" s="26">
        <v>949000</v>
      </c>
      <c r="V17" s="26">
        <v>68000</v>
      </c>
      <c r="W17" s="26">
        <f t="shared" si="0"/>
        <v>664300</v>
      </c>
      <c r="X17" s="117">
        <f t="shared" si="7"/>
        <v>1395318.0607998976</v>
      </c>
    </row>
    <row r="18" spans="1:24" x14ac:dyDescent="0.3">
      <c r="A18" s="25">
        <v>43598</v>
      </c>
      <c r="B18" s="24" t="s">
        <v>55</v>
      </c>
      <c r="C18" s="35">
        <v>1659.3300000005402</v>
      </c>
      <c r="D18" s="35">
        <v>1565</v>
      </c>
      <c r="E18" s="35">
        <f t="shared" si="1"/>
        <v>2596851.4500008454</v>
      </c>
      <c r="F18" s="26">
        <v>36070.799999999348</v>
      </c>
      <c r="G18" s="67">
        <v>1316.04</v>
      </c>
      <c r="H18" s="7">
        <v>10832.080000000075</v>
      </c>
      <c r="I18" s="35">
        <v>1435</v>
      </c>
      <c r="J18" s="35">
        <f t="shared" si="2"/>
        <v>15544034.800000107</v>
      </c>
      <c r="K18" s="26">
        <v>6691.5800000000745</v>
      </c>
      <c r="L18" s="66">
        <v>1226.04</v>
      </c>
      <c r="M18" s="26">
        <v>0</v>
      </c>
      <c r="N18" s="35">
        <v>990</v>
      </c>
      <c r="O18" s="35">
        <f t="shared" si="3"/>
        <v>0</v>
      </c>
      <c r="P18" s="26">
        <v>19768.72000000003</v>
      </c>
      <c r="Q18" s="66">
        <v>826.04</v>
      </c>
      <c r="R18" s="26">
        <f t="shared" si="4"/>
        <v>18140886.250000954</v>
      </c>
      <c r="S18" s="5">
        <f t="shared" si="5"/>
        <v>15464308.016400801</v>
      </c>
      <c r="T18" s="28">
        <f t="shared" si="6"/>
        <v>2676578.2336001527</v>
      </c>
      <c r="U18" s="26">
        <v>1079000</v>
      </c>
      <c r="V18" s="26">
        <v>50000</v>
      </c>
      <c r="W18" s="26">
        <f t="shared" si="0"/>
        <v>755300</v>
      </c>
      <c r="X18" s="117">
        <f t="shared" si="7"/>
        <v>3481878.2336001527</v>
      </c>
    </row>
    <row r="19" spans="1:24" x14ac:dyDescent="0.3">
      <c r="A19" s="25">
        <v>43599</v>
      </c>
      <c r="B19" s="24" t="s">
        <v>56</v>
      </c>
      <c r="C19" s="35">
        <v>1349.3499999991618</v>
      </c>
      <c r="D19" s="35">
        <v>1565</v>
      </c>
      <c r="E19" s="35">
        <f t="shared" si="1"/>
        <v>2111732.7499986882</v>
      </c>
      <c r="F19" s="26">
        <v>34721.450000000186</v>
      </c>
      <c r="G19" s="67">
        <v>1316.04</v>
      </c>
      <c r="H19" s="7">
        <v>11934.85000000149</v>
      </c>
      <c r="I19" s="35">
        <v>1435</v>
      </c>
      <c r="J19" s="35">
        <f t="shared" si="2"/>
        <v>17126509.750002138</v>
      </c>
      <c r="K19" s="119">
        <v>58155.729999998584</v>
      </c>
      <c r="L19" s="120">
        <v>1237.0224046920821</v>
      </c>
      <c r="M19" s="26">
        <v>0</v>
      </c>
      <c r="N19" s="35">
        <v>990</v>
      </c>
      <c r="O19" s="35">
        <f t="shared" si="3"/>
        <v>0</v>
      </c>
      <c r="P19" s="26">
        <v>19768.72000000003</v>
      </c>
      <c r="Q19" s="66">
        <v>826.04</v>
      </c>
      <c r="R19" s="26">
        <f t="shared" si="4"/>
        <v>19238242.500000827</v>
      </c>
      <c r="S19" s="5">
        <f t="shared" si="5"/>
        <v>16539475.420640036</v>
      </c>
      <c r="T19" s="28">
        <f t="shared" si="6"/>
        <v>2698767.0793607906</v>
      </c>
      <c r="U19" s="26">
        <v>1110000</v>
      </c>
      <c r="V19" s="26">
        <v>115000</v>
      </c>
      <c r="W19" s="26">
        <f t="shared" si="0"/>
        <v>777000</v>
      </c>
      <c r="X19" s="117">
        <f t="shared" si="7"/>
        <v>3590767.0793607906</v>
      </c>
    </row>
    <row r="20" spans="1:24" x14ac:dyDescent="0.3">
      <c r="A20" s="25">
        <v>43600</v>
      </c>
      <c r="B20" s="24" t="s">
        <v>57</v>
      </c>
      <c r="C20" s="35">
        <v>2126.6700000003912</v>
      </c>
      <c r="D20" s="35">
        <v>1565</v>
      </c>
      <c r="E20" s="35">
        <f t="shared" si="1"/>
        <v>3328238.5500006122</v>
      </c>
      <c r="F20" s="26">
        <v>32594.779999999795</v>
      </c>
      <c r="G20" s="67">
        <v>1316.04</v>
      </c>
      <c r="H20" s="7">
        <v>13149.320000000298</v>
      </c>
      <c r="I20" s="35">
        <v>1435</v>
      </c>
      <c r="J20" s="35">
        <f t="shared" si="2"/>
        <v>18869274.200000428</v>
      </c>
      <c r="K20" s="72">
        <v>45006.409999998286</v>
      </c>
      <c r="L20" s="66">
        <v>1241.04</v>
      </c>
      <c r="M20" s="26">
        <v>1.0499999999883585</v>
      </c>
      <c r="N20" s="35">
        <v>990</v>
      </c>
      <c r="O20" s="35">
        <f t="shared" si="3"/>
        <v>1039.4999999884749</v>
      </c>
      <c r="P20" s="26">
        <v>19767.670000000042</v>
      </c>
      <c r="Q20" s="66">
        <v>826.04</v>
      </c>
      <c r="R20" s="26">
        <f t="shared" si="4"/>
        <v>22198552.250001028</v>
      </c>
      <c r="S20" s="5">
        <f t="shared" si="5"/>
        <v>19118482.221600872</v>
      </c>
      <c r="T20" s="28">
        <f t="shared" si="6"/>
        <v>3080070.0284001566</v>
      </c>
      <c r="U20" s="26">
        <v>1132000</v>
      </c>
      <c r="V20" s="26">
        <v>123000</v>
      </c>
      <c r="W20" s="26">
        <f t="shared" si="0"/>
        <v>792400</v>
      </c>
      <c r="X20" s="117">
        <f t="shared" si="7"/>
        <v>3995470.0284001566</v>
      </c>
    </row>
    <row r="21" spans="1:24" x14ac:dyDescent="0.3">
      <c r="A21" s="25">
        <v>43601</v>
      </c>
      <c r="B21" s="24" t="s">
        <v>58</v>
      </c>
      <c r="C21" s="35">
        <v>1620.6800000001676</v>
      </c>
      <c r="D21" s="35">
        <v>1565</v>
      </c>
      <c r="E21" s="35">
        <f t="shared" si="1"/>
        <v>2536364.2000002624</v>
      </c>
      <c r="F21" s="26">
        <v>30974.099999999627</v>
      </c>
      <c r="G21" s="67">
        <v>1316.04</v>
      </c>
      <c r="H21" s="7">
        <v>11144.299999998882</v>
      </c>
      <c r="I21" s="35">
        <v>1435</v>
      </c>
      <c r="J21" s="35">
        <f t="shared" si="2"/>
        <v>15992070.499998396</v>
      </c>
      <c r="K21" s="72">
        <v>33862.109999999404</v>
      </c>
      <c r="L21" s="66">
        <v>1241.04</v>
      </c>
      <c r="M21" s="26">
        <v>0</v>
      </c>
      <c r="N21" s="35">
        <v>990</v>
      </c>
      <c r="O21" s="35">
        <f t="shared" si="3"/>
        <v>0</v>
      </c>
      <c r="P21" s="26">
        <v>19767.670000000042</v>
      </c>
      <c r="Q21" s="66">
        <v>826.04</v>
      </c>
      <c r="R21" s="26">
        <f t="shared" si="4"/>
        <v>18528434.699998658</v>
      </c>
      <c r="S21" s="5">
        <f t="shared" si="5"/>
        <v>15963401.779198833</v>
      </c>
      <c r="T21" s="28">
        <f t="shared" si="6"/>
        <v>2565032.9207998253</v>
      </c>
      <c r="U21" s="26">
        <v>1196000</v>
      </c>
      <c r="V21" s="26">
        <v>83000</v>
      </c>
      <c r="W21" s="26">
        <f t="shared" si="0"/>
        <v>837200</v>
      </c>
      <c r="X21" s="117">
        <f t="shared" si="7"/>
        <v>3485232.9207998253</v>
      </c>
    </row>
    <row r="22" spans="1:24" x14ac:dyDescent="0.3">
      <c r="A22" s="25">
        <v>43602</v>
      </c>
      <c r="B22" s="24" t="s">
        <v>59</v>
      </c>
      <c r="C22" s="35">
        <v>2148.5800000000745</v>
      </c>
      <c r="D22" s="35">
        <v>1565</v>
      </c>
      <c r="E22" s="35">
        <f t="shared" si="1"/>
        <v>3362527.7000001166</v>
      </c>
      <c r="F22" s="71">
        <v>28825.519999999553</v>
      </c>
      <c r="G22" s="67">
        <v>1316.04</v>
      </c>
      <c r="H22" s="7">
        <v>12900.219999998808</v>
      </c>
      <c r="I22" s="35">
        <v>1435</v>
      </c>
      <c r="J22" s="35">
        <f t="shared" si="2"/>
        <v>18511815.699998289</v>
      </c>
      <c r="K22" s="72">
        <v>20961.890000000596</v>
      </c>
      <c r="L22" s="66">
        <v>1241.04</v>
      </c>
      <c r="M22" s="26">
        <v>5.0500000000465661</v>
      </c>
      <c r="N22" s="35">
        <v>990</v>
      </c>
      <c r="O22" s="35">
        <f t="shared" si="3"/>
        <v>4999.5000000461005</v>
      </c>
      <c r="P22" s="26">
        <v>19762.619999999995</v>
      </c>
      <c r="Q22" s="66">
        <v>826.04</v>
      </c>
      <c r="R22" s="26">
        <f t="shared" si="4"/>
        <v>21879342.899998449</v>
      </c>
      <c r="S22" s="5">
        <f t="shared" si="5"/>
        <v>18841477.753998656</v>
      </c>
      <c r="T22" s="28">
        <f t="shared" si="6"/>
        <v>3037865.145999793</v>
      </c>
      <c r="U22" s="26">
        <v>1254000</v>
      </c>
      <c r="V22" s="26">
        <v>92000</v>
      </c>
      <c r="W22" s="26">
        <f t="shared" si="0"/>
        <v>877800</v>
      </c>
      <c r="X22" s="117">
        <f t="shared" si="7"/>
        <v>4007665.145999793</v>
      </c>
    </row>
    <row r="23" spans="1:24" x14ac:dyDescent="0.3">
      <c r="A23" s="25">
        <v>43603</v>
      </c>
      <c r="B23" s="24" t="s">
        <v>53</v>
      </c>
      <c r="C23" s="35">
        <v>952.15999999968335</v>
      </c>
      <c r="D23" s="35">
        <v>1565</v>
      </c>
      <c r="E23" s="35">
        <f t="shared" si="1"/>
        <v>1490130.3999995044</v>
      </c>
      <c r="F23" s="26">
        <v>26676.939999999478</v>
      </c>
      <c r="G23" s="67">
        <v>1316.04</v>
      </c>
      <c r="H23" s="7">
        <v>6015.5499999988824</v>
      </c>
      <c r="I23" s="35">
        <v>1435</v>
      </c>
      <c r="J23" s="35">
        <f t="shared" si="2"/>
        <v>8632314.2499983963</v>
      </c>
      <c r="K23" s="72">
        <v>14946.340000001714</v>
      </c>
      <c r="L23" s="66">
        <v>1241.04</v>
      </c>
      <c r="M23" s="26">
        <v>0</v>
      </c>
      <c r="N23" s="35">
        <v>990</v>
      </c>
      <c r="O23" s="35">
        <f t="shared" si="3"/>
        <v>0</v>
      </c>
      <c r="P23" s="26">
        <v>19762.619999999995</v>
      </c>
      <c r="Q23" s="66">
        <v>826.04</v>
      </c>
      <c r="R23" s="26">
        <f t="shared" si="4"/>
        <v>10122444.649997901</v>
      </c>
      <c r="S23" s="5">
        <f t="shared" si="5"/>
        <v>8718618.8183981963</v>
      </c>
      <c r="T23" s="28">
        <f t="shared" si="6"/>
        <v>1403825.8315997049</v>
      </c>
      <c r="U23" s="26">
        <v>1317000</v>
      </c>
      <c r="V23" s="26">
        <v>0</v>
      </c>
      <c r="W23" s="26">
        <f t="shared" si="0"/>
        <v>921899.99999999988</v>
      </c>
      <c r="X23" s="117">
        <f t="shared" si="7"/>
        <v>2325725.8315997049</v>
      </c>
    </row>
    <row r="24" spans="1:24" x14ac:dyDescent="0.3">
      <c r="A24" s="25">
        <v>43604</v>
      </c>
      <c r="B24" s="24" t="s">
        <v>54</v>
      </c>
      <c r="C24" s="35">
        <v>621.02000000001863</v>
      </c>
      <c r="D24" s="35">
        <v>1565</v>
      </c>
      <c r="E24" s="35">
        <f t="shared" si="1"/>
        <v>971896.30000002915</v>
      </c>
      <c r="F24" s="26">
        <v>30055.91999999946</v>
      </c>
      <c r="G24" s="67">
        <v>1316.04</v>
      </c>
      <c r="H24" s="7">
        <v>2258.6500000022352</v>
      </c>
      <c r="I24" s="35">
        <v>1435</v>
      </c>
      <c r="J24" s="35">
        <f t="shared" si="2"/>
        <v>3241162.7500032075</v>
      </c>
      <c r="K24" s="72">
        <v>12687.689999999478</v>
      </c>
      <c r="L24" s="66">
        <v>1241.04</v>
      </c>
      <c r="M24" s="26">
        <v>19.190000000002328</v>
      </c>
      <c r="N24" s="35">
        <v>990</v>
      </c>
      <c r="O24" s="35">
        <f t="shared" si="3"/>
        <v>18998.100000002305</v>
      </c>
      <c r="P24" s="26">
        <v>19743.429999999993</v>
      </c>
      <c r="Q24" s="66">
        <v>826.04</v>
      </c>
      <c r="R24" s="26">
        <f t="shared" si="4"/>
        <v>4232057.1500032386</v>
      </c>
      <c r="S24" s="5">
        <f t="shared" si="5"/>
        <v>3636213.8644027999</v>
      </c>
      <c r="T24" s="28">
        <f t="shared" si="6"/>
        <v>595843.28560043871</v>
      </c>
      <c r="U24" s="26">
        <v>1317000</v>
      </c>
      <c r="V24" s="26">
        <v>1000</v>
      </c>
      <c r="W24" s="26">
        <f t="shared" si="0"/>
        <v>921899.99999999988</v>
      </c>
      <c r="X24" s="117">
        <f t="shared" si="7"/>
        <v>1518743.2856004387</v>
      </c>
    </row>
    <row r="25" spans="1:24" x14ac:dyDescent="0.3">
      <c r="A25" s="25">
        <v>43605</v>
      </c>
      <c r="B25" s="24" t="s">
        <v>55</v>
      </c>
      <c r="C25" s="35">
        <v>1483.4799999999814</v>
      </c>
      <c r="D25" s="35">
        <v>1565</v>
      </c>
      <c r="E25" s="35">
        <f t="shared" si="1"/>
        <v>2321646.1999999708</v>
      </c>
      <c r="F25" s="26">
        <v>36573.439999999478</v>
      </c>
      <c r="G25" s="67">
        <v>1316.04</v>
      </c>
      <c r="H25" s="7">
        <v>11926.960000000894</v>
      </c>
      <c r="I25" s="35">
        <v>1435</v>
      </c>
      <c r="J25" s="35">
        <f t="shared" si="2"/>
        <v>17115187.600001283</v>
      </c>
      <c r="K25" s="72">
        <v>760.72999999858439</v>
      </c>
      <c r="L25" s="66">
        <v>1241.04</v>
      </c>
      <c r="M25" s="26">
        <v>0</v>
      </c>
      <c r="N25" s="35">
        <v>990</v>
      </c>
      <c r="O25" s="35">
        <f t="shared" si="3"/>
        <v>0</v>
      </c>
      <c r="P25" s="26">
        <v>19743.429999999993</v>
      </c>
      <c r="Q25" s="66">
        <v>826.04</v>
      </c>
      <c r="R25" s="26">
        <f t="shared" si="4"/>
        <v>19436833.800001252</v>
      </c>
      <c r="S25" s="5">
        <f t="shared" si="5"/>
        <v>16754153.457601083</v>
      </c>
      <c r="T25" s="28">
        <f t="shared" si="6"/>
        <v>2682680.342400169</v>
      </c>
      <c r="U25" s="26">
        <v>1407000</v>
      </c>
      <c r="V25" s="26">
        <v>70000</v>
      </c>
      <c r="W25" s="26">
        <f t="shared" si="0"/>
        <v>984899.99999999988</v>
      </c>
      <c r="X25" s="117">
        <f t="shared" si="7"/>
        <v>3737580.342400169</v>
      </c>
    </row>
    <row r="26" spans="1:24" x14ac:dyDescent="0.3">
      <c r="A26" s="25">
        <v>43606</v>
      </c>
      <c r="B26" s="24" t="s">
        <v>56</v>
      </c>
      <c r="C26" s="35">
        <v>2077.8099999995902</v>
      </c>
      <c r="D26" s="35">
        <v>1565</v>
      </c>
      <c r="E26" s="35">
        <f t="shared" si="1"/>
        <v>3251772.6499993587</v>
      </c>
      <c r="F26" s="26">
        <v>34495.629999999888</v>
      </c>
      <c r="G26" s="67">
        <v>1316.04</v>
      </c>
      <c r="H26" s="7">
        <v>10510.589999997988</v>
      </c>
      <c r="I26" s="35">
        <v>1435</v>
      </c>
      <c r="J26" s="35">
        <f t="shared" si="2"/>
        <v>15082696.649997113</v>
      </c>
      <c r="K26" s="121">
        <v>2097.140000000596</v>
      </c>
      <c r="L26" s="122">
        <v>1249.3512929312149</v>
      </c>
      <c r="M26" s="26">
        <v>0</v>
      </c>
      <c r="N26" s="35">
        <v>990</v>
      </c>
      <c r="O26" s="35">
        <f t="shared" si="3"/>
        <v>0</v>
      </c>
      <c r="P26" s="26">
        <v>19743.429999999993</v>
      </c>
      <c r="Q26" s="66">
        <v>826.04</v>
      </c>
      <c r="R26" s="26">
        <f t="shared" si="4"/>
        <v>18334469.299996473</v>
      </c>
      <c r="S26" s="5">
        <f t="shared" si="5"/>
        <v>15865900.278366845</v>
      </c>
      <c r="T26" s="28">
        <f t="shared" si="6"/>
        <v>2468569.0216296278</v>
      </c>
      <c r="U26" s="26">
        <v>1443000</v>
      </c>
      <c r="V26" s="26">
        <v>93000</v>
      </c>
      <c r="W26" s="26">
        <f t="shared" si="0"/>
        <v>1010099.9999999999</v>
      </c>
      <c r="X26" s="117">
        <f t="shared" si="7"/>
        <v>3571669.0216296278</v>
      </c>
    </row>
    <row r="27" spans="1:24" x14ac:dyDescent="0.3">
      <c r="A27" s="25">
        <v>43607</v>
      </c>
      <c r="B27" s="24" t="s">
        <v>57</v>
      </c>
      <c r="C27" s="35">
        <v>1944.480000000447</v>
      </c>
      <c r="D27" s="35">
        <v>1565</v>
      </c>
      <c r="E27" s="35">
        <f t="shared" si="1"/>
        <v>3043111.2000006996</v>
      </c>
      <c r="F27" s="26">
        <v>32551.149999999441</v>
      </c>
      <c r="G27" s="67">
        <v>1316.04</v>
      </c>
      <c r="H27" s="7">
        <v>12684.75</v>
      </c>
      <c r="I27" s="35">
        <v>1435</v>
      </c>
      <c r="J27" s="35">
        <f t="shared" si="2"/>
        <v>18202616.25</v>
      </c>
      <c r="K27" s="121">
        <v>9254.390000000596</v>
      </c>
      <c r="L27" s="122">
        <v>1212.3316476152936</v>
      </c>
      <c r="M27" s="26">
        <v>0</v>
      </c>
      <c r="N27" s="35">
        <v>990</v>
      </c>
      <c r="O27" s="35">
        <f t="shared" si="3"/>
        <v>0</v>
      </c>
      <c r="P27" s="26">
        <v>19743.429999999993</v>
      </c>
      <c r="Q27" s="66">
        <v>826.04</v>
      </c>
      <c r="R27" s="26">
        <f t="shared" si="4"/>
        <v>21245727.4500007</v>
      </c>
      <c r="S27" s="5">
        <f t="shared" si="5"/>
        <v>17937137.326288685</v>
      </c>
      <c r="T27" s="28">
        <f t="shared" si="6"/>
        <v>3308590.1237120144</v>
      </c>
      <c r="U27" s="26">
        <v>1570000</v>
      </c>
      <c r="V27" s="26">
        <v>56000</v>
      </c>
      <c r="W27" s="26">
        <f t="shared" si="0"/>
        <v>1099000</v>
      </c>
      <c r="X27" s="117">
        <f t="shared" si="7"/>
        <v>4463590.1237120144</v>
      </c>
    </row>
    <row r="28" spans="1:24" x14ac:dyDescent="0.3">
      <c r="A28" s="25">
        <v>43608</v>
      </c>
      <c r="B28" s="24" t="s">
        <v>58</v>
      </c>
      <c r="C28" s="35">
        <v>1975.3899999996647</v>
      </c>
      <c r="D28" s="35">
        <v>1565</v>
      </c>
      <c r="E28" s="35">
        <f t="shared" si="1"/>
        <v>3091485.3499994753</v>
      </c>
      <c r="F28" s="26">
        <v>30575.759999999776</v>
      </c>
      <c r="G28" s="67">
        <v>1316.04</v>
      </c>
      <c r="H28" s="7">
        <v>13599.940000001341</v>
      </c>
      <c r="I28" s="35">
        <v>1435</v>
      </c>
      <c r="J28" s="35">
        <f t="shared" si="2"/>
        <v>19515913.900001924</v>
      </c>
      <c r="K28" s="121">
        <v>15332.449999999255</v>
      </c>
      <c r="L28" s="122">
        <v>1219.3801470588235</v>
      </c>
      <c r="M28" s="26">
        <v>0</v>
      </c>
      <c r="N28" s="35">
        <v>990</v>
      </c>
      <c r="O28" s="35">
        <f t="shared" si="3"/>
        <v>0</v>
      </c>
      <c r="P28" s="26">
        <v>19743.429999999993</v>
      </c>
      <c r="Q28" s="66">
        <v>826.04</v>
      </c>
      <c r="R28" s="26">
        <f t="shared" si="4"/>
        <v>22607399.250001401</v>
      </c>
      <c r="S28" s="5">
        <f t="shared" si="5"/>
        <v>19183189.092792369</v>
      </c>
      <c r="T28" s="28">
        <f t="shared" si="6"/>
        <v>3424210.1572090313</v>
      </c>
      <c r="U28" s="26">
        <v>77000</v>
      </c>
      <c r="V28" s="26">
        <v>60000</v>
      </c>
      <c r="W28" s="26">
        <f>U28*0.7</f>
        <v>53900</v>
      </c>
      <c r="X28" s="117">
        <f t="shared" si="7"/>
        <v>3538110.1572090313</v>
      </c>
    </row>
    <row r="29" spans="1:24" x14ac:dyDescent="0.3">
      <c r="A29" s="25">
        <v>43609</v>
      </c>
      <c r="B29" s="24" t="s">
        <v>59</v>
      </c>
      <c r="C29" s="35">
        <v>2167.4599999999627</v>
      </c>
      <c r="D29" s="35">
        <v>1565</v>
      </c>
      <c r="E29" s="35">
        <f t="shared" si="1"/>
        <v>3392074.8999999417</v>
      </c>
      <c r="F29" s="26">
        <f>F28-C29</f>
        <v>28408.299999999814</v>
      </c>
      <c r="G29" s="67">
        <v>1316.04</v>
      </c>
      <c r="H29" s="7">
        <v>12601.25</v>
      </c>
      <c r="I29" s="35">
        <v>1435</v>
      </c>
      <c r="J29" s="35">
        <f t="shared" si="2"/>
        <v>18082793.75</v>
      </c>
      <c r="K29" s="26">
        <f>K28-H29</f>
        <v>2731.1999999992549</v>
      </c>
      <c r="L29" s="66">
        <v>1250</v>
      </c>
      <c r="M29" s="26">
        <v>0</v>
      </c>
      <c r="N29" s="35">
        <v>990</v>
      </c>
      <c r="O29" s="35">
        <f t="shared" si="3"/>
        <v>0</v>
      </c>
      <c r="P29" s="26">
        <v>19743.429999999993</v>
      </c>
      <c r="Q29" s="66">
        <v>826.04</v>
      </c>
      <c r="R29" s="26">
        <f t="shared" si="4"/>
        <v>21474868.649999943</v>
      </c>
      <c r="S29" s="5">
        <f t="shared" si="5"/>
        <v>18604026.558399953</v>
      </c>
      <c r="T29" s="28">
        <f t="shared" si="6"/>
        <v>2870842.0915999897</v>
      </c>
      <c r="U29" s="26">
        <v>1716000</v>
      </c>
      <c r="V29" s="26">
        <v>105000</v>
      </c>
      <c r="W29" s="5">
        <f>U29*0.7</f>
        <v>1201200</v>
      </c>
      <c r="X29" s="117">
        <f>T29+V29+W29</f>
        <v>4177042.0915999897</v>
      </c>
    </row>
    <row r="30" spans="1:24" x14ac:dyDescent="0.3">
      <c r="A30" s="25">
        <v>43610</v>
      </c>
      <c r="B30" s="24" t="s">
        <v>53</v>
      </c>
      <c r="C30" s="35">
        <v>1147.1100000003353</v>
      </c>
      <c r="D30" s="35">
        <v>1565</v>
      </c>
      <c r="E30" s="35">
        <f t="shared" si="1"/>
        <v>1795227.1500005247</v>
      </c>
      <c r="F30" s="26">
        <f t="shared" ref="F30:F36" si="8">F29-C30</f>
        <v>27261.189999999478</v>
      </c>
      <c r="G30" s="67">
        <v>1316.04</v>
      </c>
      <c r="H30" s="7">
        <v>6226.9399999994785</v>
      </c>
      <c r="I30" s="35">
        <v>1435</v>
      </c>
      <c r="J30" s="35">
        <f t="shared" si="2"/>
        <v>8935658.8999992516</v>
      </c>
      <c r="K30" s="121">
        <f>K29-H30+온산_재고!F74</f>
        <v>16266.259999999776</v>
      </c>
      <c r="L30" s="122">
        <v>1250</v>
      </c>
      <c r="M30" s="26">
        <v>0</v>
      </c>
      <c r="N30" s="35">
        <v>990</v>
      </c>
      <c r="O30" s="35">
        <f t="shared" si="3"/>
        <v>0</v>
      </c>
      <c r="P30" s="26">
        <v>19743.429999999993</v>
      </c>
      <c r="Q30" s="66">
        <v>826.04</v>
      </c>
      <c r="R30" s="26">
        <f t="shared" si="4"/>
        <v>10730886.049999777</v>
      </c>
      <c r="S30" s="5">
        <f t="shared" si="5"/>
        <v>9293317.6443997882</v>
      </c>
      <c r="T30" s="28">
        <f t="shared" si="6"/>
        <v>1437568.405599989</v>
      </c>
      <c r="U30" s="26">
        <v>1829000</v>
      </c>
      <c r="V30" s="26">
        <v>90000</v>
      </c>
      <c r="W30" s="5">
        <f>U30*0.7</f>
        <v>1280300</v>
      </c>
      <c r="X30" s="117">
        <f t="shared" si="7"/>
        <v>2807868.405599989</v>
      </c>
    </row>
    <row r="31" spans="1:24" x14ac:dyDescent="0.3">
      <c r="A31" s="25">
        <v>43611</v>
      </c>
      <c r="B31" s="24" t="s">
        <v>54</v>
      </c>
      <c r="C31" s="35">
        <v>481.87999999942258</v>
      </c>
      <c r="D31" s="35">
        <v>1565</v>
      </c>
      <c r="E31" s="35">
        <f t="shared" si="1"/>
        <v>754142.19999909634</v>
      </c>
      <c r="F31" s="26">
        <f>F30-C31</f>
        <v>26779.310000000056</v>
      </c>
      <c r="G31" s="67">
        <v>1316.04</v>
      </c>
      <c r="H31" s="7">
        <v>3350.9800000023097</v>
      </c>
      <c r="I31" s="35">
        <v>1435</v>
      </c>
      <c r="J31" s="35">
        <f t="shared" si="2"/>
        <v>4808656.3000033144</v>
      </c>
      <c r="K31" s="26">
        <f>K30-H31</f>
        <v>12915.279999997467</v>
      </c>
      <c r="L31" s="66"/>
      <c r="M31" s="26">
        <v>0</v>
      </c>
      <c r="N31" s="35">
        <v>990</v>
      </c>
      <c r="O31" s="35">
        <f t="shared" si="3"/>
        <v>0</v>
      </c>
      <c r="P31" s="26">
        <v>19743.429999999993</v>
      </c>
      <c r="Q31" s="66">
        <v>826.04</v>
      </c>
      <c r="R31" s="26">
        <f t="shared" si="4"/>
        <v>5562798.5000024103</v>
      </c>
      <c r="S31" s="5">
        <f t="shared" si="5"/>
        <v>634173.35519924003</v>
      </c>
      <c r="T31" s="28">
        <f t="shared" si="6"/>
        <v>4928625.1448031701</v>
      </c>
      <c r="U31" s="26">
        <v>1848000</v>
      </c>
      <c r="V31" s="26">
        <v>31000</v>
      </c>
      <c r="W31" s="5">
        <f>U31*0.7</f>
        <v>1293600</v>
      </c>
      <c r="X31" s="117">
        <f t="shared" si="7"/>
        <v>6253225.1448031701</v>
      </c>
    </row>
    <row r="32" spans="1:24" x14ac:dyDescent="0.3">
      <c r="A32" s="25">
        <v>43612</v>
      </c>
      <c r="B32" s="24" t="s">
        <v>55</v>
      </c>
      <c r="C32" s="35">
        <v>0</v>
      </c>
      <c r="D32" s="35" t="e">
        <f>#REF!</f>
        <v>#REF!</v>
      </c>
      <c r="E32" s="35" t="e">
        <f t="shared" si="1"/>
        <v>#REF!</v>
      </c>
      <c r="F32" s="26">
        <f t="shared" si="8"/>
        <v>26779.310000000056</v>
      </c>
      <c r="G32" s="67">
        <v>1316.04</v>
      </c>
      <c r="H32" s="7">
        <v>0</v>
      </c>
      <c r="I32" s="35">
        <v>0</v>
      </c>
      <c r="J32" s="35">
        <f t="shared" si="2"/>
        <v>0</v>
      </c>
      <c r="K32" s="26">
        <f t="shared" ref="K32:K36" si="9">K31-H32</f>
        <v>12915.279999997467</v>
      </c>
      <c r="L32" s="66"/>
      <c r="M32" s="26">
        <v>0</v>
      </c>
      <c r="N32" s="35">
        <v>0</v>
      </c>
      <c r="O32" s="35">
        <f t="shared" si="3"/>
        <v>0</v>
      </c>
      <c r="P32" s="26">
        <v>19743.429999999993</v>
      </c>
      <c r="Q32" s="66">
        <v>826.04</v>
      </c>
      <c r="R32" s="26"/>
      <c r="S32" s="5"/>
      <c r="T32" s="28"/>
      <c r="U32" s="26"/>
      <c r="V32" s="26"/>
      <c r="W32" s="5"/>
      <c r="X32" s="117">
        <f t="shared" si="7"/>
        <v>0</v>
      </c>
    </row>
    <row r="33" spans="1:24" x14ac:dyDescent="0.3">
      <c r="A33" s="25">
        <v>43613</v>
      </c>
      <c r="B33" s="24" t="s">
        <v>56</v>
      </c>
      <c r="C33" s="35">
        <v>0</v>
      </c>
      <c r="D33" s="35" t="e">
        <f>#REF!</f>
        <v>#REF!</v>
      </c>
      <c r="E33" s="35" t="e">
        <f t="shared" si="1"/>
        <v>#REF!</v>
      </c>
      <c r="F33" s="26">
        <f t="shared" si="8"/>
        <v>26779.310000000056</v>
      </c>
      <c r="G33" s="67">
        <v>1316.04</v>
      </c>
      <c r="H33" s="7">
        <v>0</v>
      </c>
      <c r="I33" s="35">
        <v>0</v>
      </c>
      <c r="J33" s="35">
        <f t="shared" si="2"/>
        <v>0</v>
      </c>
      <c r="K33" s="26">
        <f t="shared" si="9"/>
        <v>12915.279999997467</v>
      </c>
      <c r="L33" s="66"/>
      <c r="M33" s="26">
        <v>0</v>
      </c>
      <c r="N33" s="35">
        <v>0</v>
      </c>
      <c r="O33" s="35">
        <f t="shared" si="3"/>
        <v>0</v>
      </c>
      <c r="P33" s="26">
        <v>19743.429999999993</v>
      </c>
      <c r="Q33" s="66">
        <v>826.04</v>
      </c>
      <c r="R33" s="26"/>
      <c r="S33" s="5"/>
      <c r="T33" s="28"/>
      <c r="U33" s="26"/>
      <c r="V33" s="26"/>
      <c r="W33" s="5"/>
      <c r="X33" s="117">
        <f>T33+V33+W33</f>
        <v>0</v>
      </c>
    </row>
    <row r="34" spans="1:24" x14ac:dyDescent="0.3">
      <c r="A34" s="25">
        <v>43614</v>
      </c>
      <c r="B34" s="24" t="s">
        <v>57</v>
      </c>
      <c r="C34" s="35">
        <v>0</v>
      </c>
      <c r="D34" s="35" t="e">
        <f>#REF!</f>
        <v>#REF!</v>
      </c>
      <c r="E34" s="35" t="e">
        <f t="shared" si="1"/>
        <v>#REF!</v>
      </c>
      <c r="F34" s="26">
        <f t="shared" si="8"/>
        <v>26779.310000000056</v>
      </c>
      <c r="G34" s="67">
        <v>1316.04</v>
      </c>
      <c r="H34" s="7">
        <v>0</v>
      </c>
      <c r="I34" s="35">
        <v>0</v>
      </c>
      <c r="J34" s="35">
        <f t="shared" si="2"/>
        <v>0</v>
      </c>
      <c r="K34" s="26">
        <f t="shared" si="9"/>
        <v>12915.279999997467</v>
      </c>
      <c r="L34" s="66"/>
      <c r="M34" s="26">
        <v>0</v>
      </c>
      <c r="N34" s="35">
        <v>0</v>
      </c>
      <c r="O34" s="35">
        <f t="shared" si="3"/>
        <v>0</v>
      </c>
      <c r="P34" s="26">
        <v>19743.429999999993</v>
      </c>
      <c r="Q34" s="66">
        <v>826.04</v>
      </c>
      <c r="R34" s="26"/>
      <c r="S34" s="5"/>
      <c r="T34" s="28"/>
      <c r="U34" s="26"/>
      <c r="V34" s="26"/>
      <c r="W34" s="70"/>
      <c r="X34" s="117">
        <f>T34+V34+W34</f>
        <v>0</v>
      </c>
    </row>
    <row r="35" spans="1:24" x14ac:dyDescent="0.3">
      <c r="A35" s="25">
        <v>43615</v>
      </c>
      <c r="B35" s="24" t="s">
        <v>58</v>
      </c>
      <c r="C35" s="35"/>
      <c r="D35" s="35"/>
      <c r="E35" s="35"/>
      <c r="F35" s="26">
        <f t="shared" si="8"/>
        <v>26779.310000000056</v>
      </c>
      <c r="G35" s="67">
        <v>1316.04</v>
      </c>
      <c r="H35" s="7">
        <v>0</v>
      </c>
      <c r="I35" s="35">
        <v>0</v>
      </c>
      <c r="J35" s="35">
        <f t="shared" si="2"/>
        <v>0</v>
      </c>
      <c r="K35" s="26">
        <f t="shared" si="9"/>
        <v>12915.279999997467</v>
      </c>
      <c r="L35" s="66"/>
      <c r="M35" s="26">
        <v>0</v>
      </c>
      <c r="N35" s="35">
        <v>0</v>
      </c>
      <c r="O35" s="35">
        <f t="shared" si="3"/>
        <v>0</v>
      </c>
      <c r="P35" s="26">
        <v>19743.429999999993</v>
      </c>
      <c r="Q35" s="66">
        <v>826.04</v>
      </c>
      <c r="R35" s="26">
        <f t="shared" si="4"/>
        <v>0</v>
      </c>
      <c r="S35" s="5">
        <f t="shared" si="5"/>
        <v>0</v>
      </c>
      <c r="T35" s="28">
        <f t="shared" si="6"/>
        <v>0</v>
      </c>
      <c r="U35" s="26"/>
      <c r="V35" s="26"/>
      <c r="W35" s="70"/>
      <c r="X35" s="117">
        <f t="shared" si="7"/>
        <v>0</v>
      </c>
    </row>
    <row r="36" spans="1:24" x14ac:dyDescent="0.3">
      <c r="A36" s="25">
        <v>43616</v>
      </c>
      <c r="B36" s="24" t="s">
        <v>59</v>
      </c>
      <c r="C36" s="35"/>
      <c r="D36" s="35"/>
      <c r="E36" s="35"/>
      <c r="F36" s="26">
        <f t="shared" si="8"/>
        <v>26779.310000000056</v>
      </c>
      <c r="G36" s="67">
        <v>1316.04</v>
      </c>
      <c r="H36" s="7">
        <v>0</v>
      </c>
      <c r="I36" s="35">
        <v>0</v>
      </c>
      <c r="J36" s="35">
        <f t="shared" si="2"/>
        <v>0</v>
      </c>
      <c r="K36" s="26">
        <f t="shared" si="9"/>
        <v>12915.279999997467</v>
      </c>
      <c r="L36" s="66"/>
      <c r="M36" s="26">
        <v>0</v>
      </c>
      <c r="N36" s="35">
        <v>0</v>
      </c>
      <c r="O36" s="35">
        <f t="shared" si="3"/>
        <v>0</v>
      </c>
      <c r="P36" s="26">
        <v>19743.429999999993</v>
      </c>
      <c r="Q36" s="66">
        <v>826.04</v>
      </c>
      <c r="R36" s="26">
        <f t="shared" si="4"/>
        <v>0</v>
      </c>
      <c r="S36" s="5">
        <f t="shared" si="5"/>
        <v>0</v>
      </c>
      <c r="T36" s="28">
        <f t="shared" si="6"/>
        <v>0</v>
      </c>
      <c r="U36" s="26"/>
      <c r="V36" s="26"/>
      <c r="W36" s="70"/>
      <c r="X36" s="117">
        <f t="shared" si="7"/>
        <v>0</v>
      </c>
    </row>
    <row r="37" spans="1:24" x14ac:dyDescent="0.3">
      <c r="A37" s="25"/>
      <c r="B37" s="24"/>
      <c r="C37" s="437" t="s">
        <v>101</v>
      </c>
      <c r="D37" s="438"/>
      <c r="E37" s="438"/>
      <c r="F37" s="438"/>
      <c r="G37" s="439"/>
      <c r="H37" s="440" t="s">
        <v>102</v>
      </c>
      <c r="I37" s="441"/>
      <c r="J37" s="441"/>
      <c r="K37" s="441"/>
      <c r="L37" s="442"/>
      <c r="M37" s="443" t="s">
        <v>104</v>
      </c>
      <c r="N37" s="443"/>
      <c r="O37" s="443"/>
      <c r="P37" s="443"/>
      <c r="Q37" s="443"/>
      <c r="R37" s="418" t="s">
        <v>99</v>
      </c>
      <c r="S37" s="444" t="s">
        <v>106</v>
      </c>
      <c r="T37" s="444" t="s">
        <v>107</v>
      </c>
      <c r="U37" s="420" t="s">
        <v>98</v>
      </c>
      <c r="V37" s="420" t="s">
        <v>105</v>
      </c>
      <c r="W37" s="421" t="s">
        <v>85</v>
      </c>
      <c r="X37" s="423" t="s">
        <v>103</v>
      </c>
    </row>
    <row r="38" spans="1:24" s="17" customFormat="1" x14ac:dyDescent="0.3">
      <c r="A38" s="425"/>
      <c r="B38" s="426"/>
      <c r="C38" s="116" t="s">
        <v>96</v>
      </c>
      <c r="D38" s="429"/>
      <c r="E38" s="116" t="s">
        <v>97</v>
      </c>
      <c r="F38" s="431"/>
      <c r="G38" s="418"/>
      <c r="H38" s="116" t="s">
        <v>96</v>
      </c>
      <c r="I38" s="418"/>
      <c r="J38" s="116" t="s">
        <v>97</v>
      </c>
      <c r="K38" s="431" t="s">
        <v>38</v>
      </c>
      <c r="L38" s="418"/>
      <c r="M38" s="116" t="s">
        <v>96</v>
      </c>
      <c r="N38" s="418"/>
      <c r="O38" s="116" t="s">
        <v>97</v>
      </c>
      <c r="P38" s="418"/>
      <c r="Q38" s="418"/>
      <c r="R38" s="419"/>
      <c r="S38" s="444"/>
      <c r="T38" s="444"/>
      <c r="U38" s="420"/>
      <c r="V38" s="420"/>
      <c r="W38" s="422"/>
      <c r="X38" s="424"/>
    </row>
    <row r="39" spans="1:24" s="17" customFormat="1" x14ac:dyDescent="0.3">
      <c r="A39" s="427"/>
      <c r="B39" s="428"/>
      <c r="C39" s="116">
        <f>SUM(C6:C38)</f>
        <v>39019.269999999553</v>
      </c>
      <c r="D39" s="430"/>
      <c r="E39" s="116" t="e">
        <f>SUM(E6:E37)</f>
        <v>#REF!</v>
      </c>
      <c r="F39" s="432"/>
      <c r="G39" s="419"/>
      <c r="H39" s="116">
        <f>SUM(H6:H38)</f>
        <v>251747.72000000253</v>
      </c>
      <c r="I39" s="419"/>
      <c r="J39" s="116">
        <f>SUM(J6:J37)</f>
        <v>358017447.40000367</v>
      </c>
      <c r="K39" s="432"/>
      <c r="L39" s="419"/>
      <c r="M39" s="116">
        <f>SUM(M6:M37)</f>
        <v>4753.570000000007</v>
      </c>
      <c r="N39" s="419"/>
      <c r="O39" s="116">
        <f>SUM(O6:O37)</f>
        <v>4706034.3000000073</v>
      </c>
      <c r="P39" s="419"/>
      <c r="Q39" s="419"/>
      <c r="R39" s="116">
        <f>SUM(R6:R37)</f>
        <v>423106126.35000288</v>
      </c>
      <c r="S39" s="116">
        <f>SUM(S6:S37)</f>
        <v>360867639.38568741</v>
      </c>
      <c r="T39" s="116">
        <f t="shared" ref="T39" si="10">SUM(T6:T37)</f>
        <v>62238486.964315563</v>
      </c>
      <c r="U39" s="116">
        <f>SUM(U6:U37)</f>
        <v>25029000</v>
      </c>
      <c r="V39" s="116">
        <f>SUM(V6:V37)</f>
        <v>2224300</v>
      </c>
      <c r="W39" s="116">
        <f>SUM(W6:W37)</f>
        <v>17520300</v>
      </c>
      <c r="X39" s="127">
        <f t="shared" ref="X39" si="11">SUM(X6:X37)</f>
        <v>81983086.964315534</v>
      </c>
    </row>
  </sheetData>
  <mergeCells count="30">
    <mergeCell ref="X37:X38"/>
    <mergeCell ref="K38:K39"/>
    <mergeCell ref="L38:L39"/>
    <mergeCell ref="H4:L4"/>
    <mergeCell ref="C37:G37"/>
    <mergeCell ref="H37:L37"/>
    <mergeCell ref="I38:I39"/>
    <mergeCell ref="C4:G4"/>
    <mergeCell ref="M4:Q4"/>
    <mergeCell ref="W4:W5"/>
    <mergeCell ref="Q38:Q39"/>
    <mergeCell ref="R4:R5"/>
    <mergeCell ref="S4:S5"/>
    <mergeCell ref="X4:X5"/>
    <mergeCell ref="T4:T5"/>
    <mergeCell ref="M37:Q37"/>
    <mergeCell ref="A4:A5"/>
    <mergeCell ref="B4:B5"/>
    <mergeCell ref="A38:B39"/>
    <mergeCell ref="G38:G39"/>
    <mergeCell ref="F38:F39"/>
    <mergeCell ref="D38:D39"/>
    <mergeCell ref="U37:U38"/>
    <mergeCell ref="V37:V38"/>
    <mergeCell ref="W37:W38"/>
    <mergeCell ref="N38:N39"/>
    <mergeCell ref="P38:P39"/>
    <mergeCell ref="R37:R38"/>
    <mergeCell ref="S37:S38"/>
    <mergeCell ref="T37:T38"/>
  </mergeCells>
  <phoneticPr fontId="4" type="noConversion"/>
  <pageMargins left="0.25" right="0.25" top="0.75" bottom="0.75" header="0.3" footer="0.3"/>
  <pageSetup paperSize="9" scale="4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341D-252F-413B-AD95-C6B509BFC49B}">
  <dimension ref="A1:N121"/>
  <sheetViews>
    <sheetView topLeftCell="A58" workbookViewId="0">
      <selection activeCell="E131" sqref="E131"/>
    </sheetView>
  </sheetViews>
  <sheetFormatPr defaultRowHeight="16.5" x14ac:dyDescent="0.3"/>
  <cols>
    <col min="1" max="1" width="9" style="75"/>
    <col min="2" max="2" width="14.125" style="75" customWidth="1"/>
    <col min="3" max="4" width="9" style="75"/>
    <col min="5" max="5" width="11.75" style="75" customWidth="1"/>
    <col min="6" max="6" width="12.25" style="75" customWidth="1"/>
    <col min="7" max="7" width="9" style="177"/>
    <col min="8" max="8" width="9" style="75" customWidth="1"/>
    <col min="9" max="9" width="9" style="75"/>
    <col min="10" max="10" width="10.625" style="75" bestFit="1" customWidth="1"/>
    <col min="11" max="11" width="9" style="74"/>
    <col min="12" max="14" width="9" style="75"/>
    <col min="15" max="15" width="9" style="75" customWidth="1"/>
    <col min="16" max="257" width="9" style="75"/>
    <col min="258" max="258" width="14.125" style="75" customWidth="1"/>
    <col min="259" max="260" width="9" style="75"/>
    <col min="261" max="261" width="11.75" style="75" customWidth="1"/>
    <col min="262" max="262" width="12.25" style="75" customWidth="1"/>
    <col min="263" max="265" width="9" style="75"/>
    <col min="266" max="266" width="10.625" style="75" bestFit="1" customWidth="1"/>
    <col min="267" max="513" width="9" style="75"/>
    <col min="514" max="514" width="14.125" style="75" customWidth="1"/>
    <col min="515" max="516" width="9" style="75"/>
    <col min="517" max="517" width="11.75" style="75" customWidth="1"/>
    <col min="518" max="518" width="12.25" style="75" customWidth="1"/>
    <col min="519" max="521" width="9" style="75"/>
    <col min="522" max="522" width="10.625" style="75" bestFit="1" customWidth="1"/>
    <col min="523" max="769" width="9" style="75"/>
    <col min="770" max="770" width="14.125" style="75" customWidth="1"/>
    <col min="771" max="772" width="9" style="75"/>
    <col min="773" max="773" width="11.75" style="75" customWidth="1"/>
    <col min="774" max="774" width="12.25" style="75" customWidth="1"/>
    <col min="775" max="777" width="9" style="75"/>
    <col min="778" max="778" width="10.625" style="75" bestFit="1" customWidth="1"/>
    <col min="779" max="1025" width="9" style="75"/>
    <col min="1026" max="1026" width="14.125" style="75" customWidth="1"/>
    <col min="1027" max="1028" width="9" style="75"/>
    <col min="1029" max="1029" width="11.75" style="75" customWidth="1"/>
    <col min="1030" max="1030" width="12.25" style="75" customWidth="1"/>
    <col min="1031" max="1033" width="9" style="75"/>
    <col min="1034" max="1034" width="10.625" style="75" bestFit="1" customWidth="1"/>
    <col min="1035" max="1281" width="9" style="75"/>
    <col min="1282" max="1282" width="14.125" style="75" customWidth="1"/>
    <col min="1283" max="1284" width="9" style="75"/>
    <col min="1285" max="1285" width="11.75" style="75" customWidth="1"/>
    <col min="1286" max="1286" width="12.25" style="75" customWidth="1"/>
    <col min="1287" max="1289" width="9" style="75"/>
    <col min="1290" max="1290" width="10.625" style="75" bestFit="1" customWidth="1"/>
    <col min="1291" max="1537" width="9" style="75"/>
    <col min="1538" max="1538" width="14.125" style="75" customWidth="1"/>
    <col min="1539" max="1540" width="9" style="75"/>
    <col min="1541" max="1541" width="11.75" style="75" customWidth="1"/>
    <col min="1542" max="1542" width="12.25" style="75" customWidth="1"/>
    <col min="1543" max="1545" width="9" style="75"/>
    <col min="1546" max="1546" width="10.625" style="75" bestFit="1" customWidth="1"/>
    <col min="1547" max="1793" width="9" style="75"/>
    <col min="1794" max="1794" width="14.125" style="75" customWidth="1"/>
    <col min="1795" max="1796" width="9" style="75"/>
    <col min="1797" max="1797" width="11.75" style="75" customWidth="1"/>
    <col min="1798" max="1798" width="12.25" style="75" customWidth="1"/>
    <col min="1799" max="1801" width="9" style="75"/>
    <col min="1802" max="1802" width="10.625" style="75" bestFit="1" customWidth="1"/>
    <col min="1803" max="2049" width="9" style="75"/>
    <col min="2050" max="2050" width="14.125" style="75" customWidth="1"/>
    <col min="2051" max="2052" width="9" style="75"/>
    <col min="2053" max="2053" width="11.75" style="75" customWidth="1"/>
    <col min="2054" max="2054" width="12.25" style="75" customWidth="1"/>
    <col min="2055" max="2057" width="9" style="75"/>
    <col min="2058" max="2058" width="10.625" style="75" bestFit="1" customWidth="1"/>
    <col min="2059" max="2305" width="9" style="75"/>
    <col min="2306" max="2306" width="14.125" style="75" customWidth="1"/>
    <col min="2307" max="2308" width="9" style="75"/>
    <col min="2309" max="2309" width="11.75" style="75" customWidth="1"/>
    <col min="2310" max="2310" width="12.25" style="75" customWidth="1"/>
    <col min="2311" max="2313" width="9" style="75"/>
    <col min="2314" max="2314" width="10.625" style="75" bestFit="1" customWidth="1"/>
    <col min="2315" max="2561" width="9" style="75"/>
    <col min="2562" max="2562" width="14.125" style="75" customWidth="1"/>
    <col min="2563" max="2564" width="9" style="75"/>
    <col min="2565" max="2565" width="11.75" style="75" customWidth="1"/>
    <col min="2566" max="2566" width="12.25" style="75" customWidth="1"/>
    <col min="2567" max="2569" width="9" style="75"/>
    <col min="2570" max="2570" width="10.625" style="75" bestFit="1" customWidth="1"/>
    <col min="2571" max="2817" width="9" style="75"/>
    <col min="2818" max="2818" width="14.125" style="75" customWidth="1"/>
    <col min="2819" max="2820" width="9" style="75"/>
    <col min="2821" max="2821" width="11.75" style="75" customWidth="1"/>
    <col min="2822" max="2822" width="12.25" style="75" customWidth="1"/>
    <col min="2823" max="2825" width="9" style="75"/>
    <col min="2826" max="2826" width="10.625" style="75" bestFit="1" customWidth="1"/>
    <col min="2827" max="3073" width="9" style="75"/>
    <col min="3074" max="3074" width="14.125" style="75" customWidth="1"/>
    <col min="3075" max="3076" width="9" style="75"/>
    <col min="3077" max="3077" width="11.75" style="75" customWidth="1"/>
    <col min="3078" max="3078" width="12.25" style="75" customWidth="1"/>
    <col min="3079" max="3081" width="9" style="75"/>
    <col min="3082" max="3082" width="10.625" style="75" bestFit="1" customWidth="1"/>
    <col min="3083" max="3329" width="9" style="75"/>
    <col min="3330" max="3330" width="14.125" style="75" customWidth="1"/>
    <col min="3331" max="3332" width="9" style="75"/>
    <col min="3333" max="3333" width="11.75" style="75" customWidth="1"/>
    <col min="3334" max="3334" width="12.25" style="75" customWidth="1"/>
    <col min="3335" max="3337" width="9" style="75"/>
    <col min="3338" max="3338" width="10.625" style="75" bestFit="1" customWidth="1"/>
    <col min="3339" max="3585" width="9" style="75"/>
    <col min="3586" max="3586" width="14.125" style="75" customWidth="1"/>
    <col min="3587" max="3588" width="9" style="75"/>
    <col min="3589" max="3589" width="11.75" style="75" customWidth="1"/>
    <col min="3590" max="3590" width="12.25" style="75" customWidth="1"/>
    <col min="3591" max="3593" width="9" style="75"/>
    <col min="3594" max="3594" width="10.625" style="75" bestFit="1" customWidth="1"/>
    <col min="3595" max="3841" width="9" style="75"/>
    <col min="3842" max="3842" width="14.125" style="75" customWidth="1"/>
    <col min="3843" max="3844" width="9" style="75"/>
    <col min="3845" max="3845" width="11.75" style="75" customWidth="1"/>
    <col min="3846" max="3846" width="12.25" style="75" customWidth="1"/>
    <col min="3847" max="3849" width="9" style="75"/>
    <col min="3850" max="3850" width="10.625" style="75" bestFit="1" customWidth="1"/>
    <col min="3851" max="4097" width="9" style="75"/>
    <col min="4098" max="4098" width="14.125" style="75" customWidth="1"/>
    <col min="4099" max="4100" width="9" style="75"/>
    <col min="4101" max="4101" width="11.75" style="75" customWidth="1"/>
    <col min="4102" max="4102" width="12.25" style="75" customWidth="1"/>
    <col min="4103" max="4105" width="9" style="75"/>
    <col min="4106" max="4106" width="10.625" style="75" bestFit="1" customWidth="1"/>
    <col min="4107" max="4353" width="9" style="75"/>
    <col min="4354" max="4354" width="14.125" style="75" customWidth="1"/>
    <col min="4355" max="4356" width="9" style="75"/>
    <col min="4357" max="4357" width="11.75" style="75" customWidth="1"/>
    <col min="4358" max="4358" width="12.25" style="75" customWidth="1"/>
    <col min="4359" max="4361" width="9" style="75"/>
    <col min="4362" max="4362" width="10.625" style="75" bestFit="1" customWidth="1"/>
    <col min="4363" max="4609" width="9" style="75"/>
    <col min="4610" max="4610" width="14.125" style="75" customWidth="1"/>
    <col min="4611" max="4612" width="9" style="75"/>
    <col min="4613" max="4613" width="11.75" style="75" customWidth="1"/>
    <col min="4614" max="4614" width="12.25" style="75" customWidth="1"/>
    <col min="4615" max="4617" width="9" style="75"/>
    <col min="4618" max="4618" width="10.625" style="75" bestFit="1" customWidth="1"/>
    <col min="4619" max="4865" width="9" style="75"/>
    <col min="4866" max="4866" width="14.125" style="75" customWidth="1"/>
    <col min="4867" max="4868" width="9" style="75"/>
    <col min="4869" max="4869" width="11.75" style="75" customWidth="1"/>
    <col min="4870" max="4870" width="12.25" style="75" customWidth="1"/>
    <col min="4871" max="4873" width="9" style="75"/>
    <col min="4874" max="4874" width="10.625" style="75" bestFit="1" customWidth="1"/>
    <col min="4875" max="5121" width="9" style="75"/>
    <col min="5122" max="5122" width="14.125" style="75" customWidth="1"/>
    <col min="5123" max="5124" width="9" style="75"/>
    <col min="5125" max="5125" width="11.75" style="75" customWidth="1"/>
    <col min="5126" max="5126" width="12.25" style="75" customWidth="1"/>
    <col min="5127" max="5129" width="9" style="75"/>
    <col min="5130" max="5130" width="10.625" style="75" bestFit="1" customWidth="1"/>
    <col min="5131" max="5377" width="9" style="75"/>
    <col min="5378" max="5378" width="14.125" style="75" customWidth="1"/>
    <col min="5379" max="5380" width="9" style="75"/>
    <col min="5381" max="5381" width="11.75" style="75" customWidth="1"/>
    <col min="5382" max="5382" width="12.25" style="75" customWidth="1"/>
    <col min="5383" max="5385" width="9" style="75"/>
    <col min="5386" max="5386" width="10.625" style="75" bestFit="1" customWidth="1"/>
    <col min="5387" max="5633" width="9" style="75"/>
    <col min="5634" max="5634" width="14.125" style="75" customWidth="1"/>
    <col min="5635" max="5636" width="9" style="75"/>
    <col min="5637" max="5637" width="11.75" style="75" customWidth="1"/>
    <col min="5638" max="5638" width="12.25" style="75" customWidth="1"/>
    <col min="5639" max="5641" width="9" style="75"/>
    <col min="5642" max="5642" width="10.625" style="75" bestFit="1" customWidth="1"/>
    <col min="5643" max="5889" width="9" style="75"/>
    <col min="5890" max="5890" width="14.125" style="75" customWidth="1"/>
    <col min="5891" max="5892" width="9" style="75"/>
    <col min="5893" max="5893" width="11.75" style="75" customWidth="1"/>
    <col min="5894" max="5894" width="12.25" style="75" customWidth="1"/>
    <col min="5895" max="5897" width="9" style="75"/>
    <col min="5898" max="5898" width="10.625" style="75" bestFit="1" customWidth="1"/>
    <col min="5899" max="6145" width="9" style="75"/>
    <col min="6146" max="6146" width="14.125" style="75" customWidth="1"/>
    <col min="6147" max="6148" width="9" style="75"/>
    <col min="6149" max="6149" width="11.75" style="75" customWidth="1"/>
    <col min="6150" max="6150" width="12.25" style="75" customWidth="1"/>
    <col min="6151" max="6153" width="9" style="75"/>
    <col min="6154" max="6154" width="10.625" style="75" bestFit="1" customWidth="1"/>
    <col min="6155" max="6401" width="9" style="75"/>
    <col min="6402" max="6402" width="14.125" style="75" customWidth="1"/>
    <col min="6403" max="6404" width="9" style="75"/>
    <col min="6405" max="6405" width="11.75" style="75" customWidth="1"/>
    <col min="6406" max="6406" width="12.25" style="75" customWidth="1"/>
    <col min="6407" max="6409" width="9" style="75"/>
    <col min="6410" max="6410" width="10.625" style="75" bestFit="1" customWidth="1"/>
    <col min="6411" max="6657" width="9" style="75"/>
    <col min="6658" max="6658" width="14.125" style="75" customWidth="1"/>
    <col min="6659" max="6660" width="9" style="75"/>
    <col min="6661" max="6661" width="11.75" style="75" customWidth="1"/>
    <col min="6662" max="6662" width="12.25" style="75" customWidth="1"/>
    <col min="6663" max="6665" width="9" style="75"/>
    <col min="6666" max="6666" width="10.625" style="75" bestFit="1" customWidth="1"/>
    <col min="6667" max="6913" width="9" style="75"/>
    <col min="6914" max="6914" width="14.125" style="75" customWidth="1"/>
    <col min="6915" max="6916" width="9" style="75"/>
    <col min="6917" max="6917" width="11.75" style="75" customWidth="1"/>
    <col min="6918" max="6918" width="12.25" style="75" customWidth="1"/>
    <col min="6919" max="6921" width="9" style="75"/>
    <col min="6922" max="6922" width="10.625" style="75" bestFit="1" customWidth="1"/>
    <col min="6923" max="7169" width="9" style="75"/>
    <col min="7170" max="7170" width="14.125" style="75" customWidth="1"/>
    <col min="7171" max="7172" width="9" style="75"/>
    <col min="7173" max="7173" width="11.75" style="75" customWidth="1"/>
    <col min="7174" max="7174" width="12.25" style="75" customWidth="1"/>
    <col min="7175" max="7177" width="9" style="75"/>
    <col min="7178" max="7178" width="10.625" style="75" bestFit="1" customWidth="1"/>
    <col min="7179" max="7425" width="9" style="75"/>
    <col min="7426" max="7426" width="14.125" style="75" customWidth="1"/>
    <col min="7427" max="7428" width="9" style="75"/>
    <col min="7429" max="7429" width="11.75" style="75" customWidth="1"/>
    <col min="7430" max="7430" width="12.25" style="75" customWidth="1"/>
    <col min="7431" max="7433" width="9" style="75"/>
    <col min="7434" max="7434" width="10.625" style="75" bestFit="1" customWidth="1"/>
    <col min="7435" max="7681" width="9" style="75"/>
    <col min="7682" max="7682" width="14.125" style="75" customWidth="1"/>
    <col min="7683" max="7684" width="9" style="75"/>
    <col min="7685" max="7685" width="11.75" style="75" customWidth="1"/>
    <col min="7686" max="7686" width="12.25" style="75" customWidth="1"/>
    <col min="7687" max="7689" width="9" style="75"/>
    <col min="7690" max="7690" width="10.625" style="75" bestFit="1" customWidth="1"/>
    <col min="7691" max="7937" width="9" style="75"/>
    <col min="7938" max="7938" width="14.125" style="75" customWidth="1"/>
    <col min="7939" max="7940" width="9" style="75"/>
    <col min="7941" max="7941" width="11.75" style="75" customWidth="1"/>
    <col min="7942" max="7942" width="12.25" style="75" customWidth="1"/>
    <col min="7943" max="7945" width="9" style="75"/>
    <col min="7946" max="7946" width="10.625" style="75" bestFit="1" customWidth="1"/>
    <col min="7947" max="8193" width="9" style="75"/>
    <col min="8194" max="8194" width="14.125" style="75" customWidth="1"/>
    <col min="8195" max="8196" width="9" style="75"/>
    <col min="8197" max="8197" width="11.75" style="75" customWidth="1"/>
    <col min="8198" max="8198" width="12.25" style="75" customWidth="1"/>
    <col min="8199" max="8201" width="9" style="75"/>
    <col min="8202" max="8202" width="10.625" style="75" bestFit="1" customWidth="1"/>
    <col min="8203" max="8449" width="9" style="75"/>
    <col min="8450" max="8450" width="14.125" style="75" customWidth="1"/>
    <col min="8451" max="8452" width="9" style="75"/>
    <col min="8453" max="8453" width="11.75" style="75" customWidth="1"/>
    <col min="8454" max="8454" width="12.25" style="75" customWidth="1"/>
    <col min="8455" max="8457" width="9" style="75"/>
    <col min="8458" max="8458" width="10.625" style="75" bestFit="1" customWidth="1"/>
    <col min="8459" max="8705" width="9" style="75"/>
    <col min="8706" max="8706" width="14.125" style="75" customWidth="1"/>
    <col min="8707" max="8708" width="9" style="75"/>
    <col min="8709" max="8709" width="11.75" style="75" customWidth="1"/>
    <col min="8710" max="8710" width="12.25" style="75" customWidth="1"/>
    <col min="8711" max="8713" width="9" style="75"/>
    <col min="8714" max="8714" width="10.625" style="75" bestFit="1" customWidth="1"/>
    <col min="8715" max="8961" width="9" style="75"/>
    <col min="8962" max="8962" width="14.125" style="75" customWidth="1"/>
    <col min="8963" max="8964" width="9" style="75"/>
    <col min="8965" max="8965" width="11.75" style="75" customWidth="1"/>
    <col min="8966" max="8966" width="12.25" style="75" customWidth="1"/>
    <col min="8967" max="8969" width="9" style="75"/>
    <col min="8970" max="8970" width="10.625" style="75" bestFit="1" customWidth="1"/>
    <col min="8971" max="9217" width="9" style="75"/>
    <col min="9218" max="9218" width="14.125" style="75" customWidth="1"/>
    <col min="9219" max="9220" width="9" style="75"/>
    <col min="9221" max="9221" width="11.75" style="75" customWidth="1"/>
    <col min="9222" max="9222" width="12.25" style="75" customWidth="1"/>
    <col min="9223" max="9225" width="9" style="75"/>
    <col min="9226" max="9226" width="10.625" style="75" bestFit="1" customWidth="1"/>
    <col min="9227" max="9473" width="9" style="75"/>
    <col min="9474" max="9474" width="14.125" style="75" customWidth="1"/>
    <col min="9475" max="9476" width="9" style="75"/>
    <col min="9477" max="9477" width="11.75" style="75" customWidth="1"/>
    <col min="9478" max="9478" width="12.25" style="75" customWidth="1"/>
    <col min="9479" max="9481" width="9" style="75"/>
    <col min="9482" max="9482" width="10.625" style="75" bestFit="1" customWidth="1"/>
    <col min="9483" max="9729" width="9" style="75"/>
    <col min="9730" max="9730" width="14.125" style="75" customWidth="1"/>
    <col min="9731" max="9732" width="9" style="75"/>
    <col min="9733" max="9733" width="11.75" style="75" customWidth="1"/>
    <col min="9734" max="9734" width="12.25" style="75" customWidth="1"/>
    <col min="9735" max="9737" width="9" style="75"/>
    <col min="9738" max="9738" width="10.625" style="75" bestFit="1" customWidth="1"/>
    <col min="9739" max="9985" width="9" style="75"/>
    <col min="9986" max="9986" width="14.125" style="75" customWidth="1"/>
    <col min="9987" max="9988" width="9" style="75"/>
    <col min="9989" max="9989" width="11.75" style="75" customWidth="1"/>
    <col min="9990" max="9990" width="12.25" style="75" customWidth="1"/>
    <col min="9991" max="9993" width="9" style="75"/>
    <col min="9994" max="9994" width="10.625" style="75" bestFit="1" customWidth="1"/>
    <col min="9995" max="10241" width="9" style="75"/>
    <col min="10242" max="10242" width="14.125" style="75" customWidth="1"/>
    <col min="10243" max="10244" width="9" style="75"/>
    <col min="10245" max="10245" width="11.75" style="75" customWidth="1"/>
    <col min="10246" max="10246" width="12.25" style="75" customWidth="1"/>
    <col min="10247" max="10249" width="9" style="75"/>
    <col min="10250" max="10250" width="10.625" style="75" bestFit="1" customWidth="1"/>
    <col min="10251" max="10497" width="9" style="75"/>
    <col min="10498" max="10498" width="14.125" style="75" customWidth="1"/>
    <col min="10499" max="10500" width="9" style="75"/>
    <col min="10501" max="10501" width="11.75" style="75" customWidth="1"/>
    <col min="10502" max="10502" width="12.25" style="75" customWidth="1"/>
    <col min="10503" max="10505" width="9" style="75"/>
    <col min="10506" max="10506" width="10.625" style="75" bestFit="1" customWidth="1"/>
    <col min="10507" max="10753" width="9" style="75"/>
    <col min="10754" max="10754" width="14.125" style="75" customWidth="1"/>
    <col min="10755" max="10756" width="9" style="75"/>
    <col min="10757" max="10757" width="11.75" style="75" customWidth="1"/>
    <col min="10758" max="10758" width="12.25" style="75" customWidth="1"/>
    <col min="10759" max="10761" width="9" style="75"/>
    <col min="10762" max="10762" width="10.625" style="75" bestFit="1" customWidth="1"/>
    <col min="10763" max="11009" width="9" style="75"/>
    <col min="11010" max="11010" width="14.125" style="75" customWidth="1"/>
    <col min="11011" max="11012" width="9" style="75"/>
    <col min="11013" max="11013" width="11.75" style="75" customWidth="1"/>
    <col min="11014" max="11014" width="12.25" style="75" customWidth="1"/>
    <col min="11015" max="11017" width="9" style="75"/>
    <col min="11018" max="11018" width="10.625" style="75" bestFit="1" customWidth="1"/>
    <col min="11019" max="11265" width="9" style="75"/>
    <col min="11266" max="11266" width="14.125" style="75" customWidth="1"/>
    <col min="11267" max="11268" width="9" style="75"/>
    <col min="11269" max="11269" width="11.75" style="75" customWidth="1"/>
    <col min="11270" max="11270" width="12.25" style="75" customWidth="1"/>
    <col min="11271" max="11273" width="9" style="75"/>
    <col min="11274" max="11274" width="10.625" style="75" bestFit="1" customWidth="1"/>
    <col min="11275" max="11521" width="9" style="75"/>
    <col min="11522" max="11522" width="14.125" style="75" customWidth="1"/>
    <col min="11523" max="11524" width="9" style="75"/>
    <col min="11525" max="11525" width="11.75" style="75" customWidth="1"/>
    <col min="11526" max="11526" width="12.25" style="75" customWidth="1"/>
    <col min="11527" max="11529" width="9" style="75"/>
    <col min="11530" max="11530" width="10.625" style="75" bestFit="1" customWidth="1"/>
    <col min="11531" max="11777" width="9" style="75"/>
    <col min="11778" max="11778" width="14.125" style="75" customWidth="1"/>
    <col min="11779" max="11780" width="9" style="75"/>
    <col min="11781" max="11781" width="11.75" style="75" customWidth="1"/>
    <col min="11782" max="11782" width="12.25" style="75" customWidth="1"/>
    <col min="11783" max="11785" width="9" style="75"/>
    <col min="11786" max="11786" width="10.625" style="75" bestFit="1" customWidth="1"/>
    <col min="11787" max="12033" width="9" style="75"/>
    <col min="12034" max="12034" width="14.125" style="75" customWidth="1"/>
    <col min="12035" max="12036" width="9" style="75"/>
    <col min="12037" max="12037" width="11.75" style="75" customWidth="1"/>
    <col min="12038" max="12038" width="12.25" style="75" customWidth="1"/>
    <col min="12039" max="12041" width="9" style="75"/>
    <col min="12042" max="12042" width="10.625" style="75" bestFit="1" customWidth="1"/>
    <col min="12043" max="12289" width="9" style="75"/>
    <col min="12290" max="12290" width="14.125" style="75" customWidth="1"/>
    <col min="12291" max="12292" width="9" style="75"/>
    <col min="12293" max="12293" width="11.75" style="75" customWidth="1"/>
    <col min="12294" max="12294" width="12.25" style="75" customWidth="1"/>
    <col min="12295" max="12297" width="9" style="75"/>
    <col min="12298" max="12298" width="10.625" style="75" bestFit="1" customWidth="1"/>
    <col min="12299" max="12545" width="9" style="75"/>
    <col min="12546" max="12546" width="14.125" style="75" customWidth="1"/>
    <col min="12547" max="12548" width="9" style="75"/>
    <col min="12549" max="12549" width="11.75" style="75" customWidth="1"/>
    <col min="12550" max="12550" width="12.25" style="75" customWidth="1"/>
    <col min="12551" max="12553" width="9" style="75"/>
    <col min="12554" max="12554" width="10.625" style="75" bestFit="1" customWidth="1"/>
    <col min="12555" max="12801" width="9" style="75"/>
    <col min="12802" max="12802" width="14.125" style="75" customWidth="1"/>
    <col min="12803" max="12804" width="9" style="75"/>
    <col min="12805" max="12805" width="11.75" style="75" customWidth="1"/>
    <col min="12806" max="12806" width="12.25" style="75" customWidth="1"/>
    <col min="12807" max="12809" width="9" style="75"/>
    <col min="12810" max="12810" width="10.625" style="75" bestFit="1" customWidth="1"/>
    <col min="12811" max="13057" width="9" style="75"/>
    <col min="13058" max="13058" width="14.125" style="75" customWidth="1"/>
    <col min="13059" max="13060" width="9" style="75"/>
    <col min="13061" max="13061" width="11.75" style="75" customWidth="1"/>
    <col min="13062" max="13062" width="12.25" style="75" customWidth="1"/>
    <col min="13063" max="13065" width="9" style="75"/>
    <col min="13066" max="13066" width="10.625" style="75" bestFit="1" customWidth="1"/>
    <col min="13067" max="13313" width="9" style="75"/>
    <col min="13314" max="13314" width="14.125" style="75" customWidth="1"/>
    <col min="13315" max="13316" width="9" style="75"/>
    <col min="13317" max="13317" width="11.75" style="75" customWidth="1"/>
    <col min="13318" max="13318" width="12.25" style="75" customWidth="1"/>
    <col min="13319" max="13321" width="9" style="75"/>
    <col min="13322" max="13322" width="10.625" style="75" bestFit="1" customWidth="1"/>
    <col min="13323" max="13569" width="9" style="75"/>
    <col min="13570" max="13570" width="14.125" style="75" customWidth="1"/>
    <col min="13571" max="13572" width="9" style="75"/>
    <col min="13573" max="13573" width="11.75" style="75" customWidth="1"/>
    <col min="13574" max="13574" width="12.25" style="75" customWidth="1"/>
    <col min="13575" max="13577" width="9" style="75"/>
    <col min="13578" max="13578" width="10.625" style="75" bestFit="1" customWidth="1"/>
    <col min="13579" max="13825" width="9" style="75"/>
    <col min="13826" max="13826" width="14.125" style="75" customWidth="1"/>
    <col min="13827" max="13828" width="9" style="75"/>
    <col min="13829" max="13829" width="11.75" style="75" customWidth="1"/>
    <col min="13830" max="13830" width="12.25" style="75" customWidth="1"/>
    <col min="13831" max="13833" width="9" style="75"/>
    <col min="13834" max="13834" width="10.625" style="75" bestFit="1" customWidth="1"/>
    <col min="13835" max="14081" width="9" style="75"/>
    <col min="14082" max="14082" width="14.125" style="75" customWidth="1"/>
    <col min="14083" max="14084" width="9" style="75"/>
    <col min="14085" max="14085" width="11.75" style="75" customWidth="1"/>
    <col min="14086" max="14086" width="12.25" style="75" customWidth="1"/>
    <col min="14087" max="14089" width="9" style="75"/>
    <col min="14090" max="14090" width="10.625" style="75" bestFit="1" customWidth="1"/>
    <col min="14091" max="14337" width="9" style="75"/>
    <col min="14338" max="14338" width="14.125" style="75" customWidth="1"/>
    <col min="14339" max="14340" width="9" style="75"/>
    <col min="14341" max="14341" width="11.75" style="75" customWidth="1"/>
    <col min="14342" max="14342" width="12.25" style="75" customWidth="1"/>
    <col min="14343" max="14345" width="9" style="75"/>
    <col min="14346" max="14346" width="10.625" style="75" bestFit="1" customWidth="1"/>
    <col min="14347" max="14593" width="9" style="75"/>
    <col min="14594" max="14594" width="14.125" style="75" customWidth="1"/>
    <col min="14595" max="14596" width="9" style="75"/>
    <col min="14597" max="14597" width="11.75" style="75" customWidth="1"/>
    <col min="14598" max="14598" width="12.25" style="75" customWidth="1"/>
    <col min="14599" max="14601" width="9" style="75"/>
    <col min="14602" max="14602" width="10.625" style="75" bestFit="1" customWidth="1"/>
    <col min="14603" max="14849" width="9" style="75"/>
    <col min="14850" max="14850" width="14.125" style="75" customWidth="1"/>
    <col min="14851" max="14852" width="9" style="75"/>
    <col min="14853" max="14853" width="11.75" style="75" customWidth="1"/>
    <col min="14854" max="14854" width="12.25" style="75" customWidth="1"/>
    <col min="14855" max="14857" width="9" style="75"/>
    <col min="14858" max="14858" width="10.625" style="75" bestFit="1" customWidth="1"/>
    <col min="14859" max="15105" width="9" style="75"/>
    <col min="15106" max="15106" width="14.125" style="75" customWidth="1"/>
    <col min="15107" max="15108" width="9" style="75"/>
    <col min="15109" max="15109" width="11.75" style="75" customWidth="1"/>
    <col min="15110" max="15110" width="12.25" style="75" customWidth="1"/>
    <col min="15111" max="15113" width="9" style="75"/>
    <col min="15114" max="15114" width="10.625" style="75" bestFit="1" customWidth="1"/>
    <col min="15115" max="15361" width="9" style="75"/>
    <col min="15362" max="15362" width="14.125" style="75" customWidth="1"/>
    <col min="15363" max="15364" width="9" style="75"/>
    <col min="15365" max="15365" width="11.75" style="75" customWidth="1"/>
    <col min="15366" max="15366" width="12.25" style="75" customWidth="1"/>
    <col min="15367" max="15369" width="9" style="75"/>
    <col min="15370" max="15370" width="10.625" style="75" bestFit="1" customWidth="1"/>
    <col min="15371" max="15617" width="9" style="75"/>
    <col min="15618" max="15618" width="14.125" style="75" customWidth="1"/>
    <col min="15619" max="15620" width="9" style="75"/>
    <col min="15621" max="15621" width="11.75" style="75" customWidth="1"/>
    <col min="15622" max="15622" width="12.25" style="75" customWidth="1"/>
    <col min="15623" max="15625" width="9" style="75"/>
    <col min="15626" max="15626" width="10.625" style="75" bestFit="1" customWidth="1"/>
    <col min="15627" max="15873" width="9" style="75"/>
    <col min="15874" max="15874" width="14.125" style="75" customWidth="1"/>
    <col min="15875" max="15876" width="9" style="75"/>
    <col min="15877" max="15877" width="11.75" style="75" customWidth="1"/>
    <col min="15878" max="15878" width="12.25" style="75" customWidth="1"/>
    <col min="15879" max="15881" width="9" style="75"/>
    <col min="15882" max="15882" width="10.625" style="75" bestFit="1" customWidth="1"/>
    <col min="15883" max="16129" width="9" style="75"/>
    <col min="16130" max="16130" width="14.125" style="75" customWidth="1"/>
    <col min="16131" max="16132" width="9" style="75"/>
    <col min="16133" max="16133" width="11.75" style="75" customWidth="1"/>
    <col min="16134" max="16134" width="12.25" style="75" customWidth="1"/>
    <col min="16135" max="16137" width="9" style="75"/>
    <col min="16138" max="16138" width="10.625" style="75" bestFit="1" customWidth="1"/>
    <col min="16139" max="16384" width="9" style="75"/>
  </cols>
  <sheetData>
    <row r="1" spans="1:10" x14ac:dyDescent="0.3">
      <c r="A1" s="505" t="s">
        <v>108</v>
      </c>
      <c r="B1" s="505"/>
      <c r="C1" s="475" t="s">
        <v>109</v>
      </c>
      <c r="D1" s="475"/>
      <c r="I1" s="506" t="s">
        <v>110</v>
      </c>
      <c r="J1" s="506"/>
    </row>
    <row r="4" spans="1:10" x14ac:dyDescent="0.3">
      <c r="D4" s="477" t="s">
        <v>111</v>
      </c>
      <c r="E4" s="477"/>
      <c r="F4" s="477"/>
      <c r="G4" s="477"/>
      <c r="H4" s="477"/>
      <c r="I4" s="477"/>
      <c r="J4" s="477"/>
    </row>
    <row r="5" spans="1:10" x14ac:dyDescent="0.3">
      <c r="A5" s="74" t="s">
        <v>112</v>
      </c>
      <c r="C5" s="38" t="s">
        <v>113</v>
      </c>
      <c r="D5" s="38"/>
      <c r="E5" s="38"/>
      <c r="F5" s="38" t="s">
        <v>113</v>
      </c>
      <c r="G5" s="178" t="s">
        <v>113</v>
      </c>
      <c r="H5" s="132" t="s">
        <v>113</v>
      </c>
      <c r="I5" s="132" t="s">
        <v>113</v>
      </c>
      <c r="J5" s="38" t="s">
        <v>71</v>
      </c>
    </row>
    <row r="6" spans="1:10" ht="17.25" thickBot="1" x14ac:dyDescent="0.35">
      <c r="A6" s="133" t="s">
        <v>114</v>
      </c>
      <c r="B6" s="134">
        <f>410527244/1.1</f>
        <v>373206585.45454544</v>
      </c>
      <c r="C6" s="38"/>
      <c r="D6" s="478" t="s">
        <v>115</v>
      </c>
      <c r="E6" s="478"/>
      <c r="F6" s="478"/>
      <c r="G6" s="179" t="s">
        <v>89</v>
      </c>
      <c r="H6" s="478" t="s">
        <v>116</v>
      </c>
      <c r="I6" s="478"/>
      <c r="J6" s="478"/>
    </row>
    <row r="7" spans="1:10" ht="18" thickTop="1" thickBot="1" x14ac:dyDescent="0.35">
      <c r="A7" s="133" t="s">
        <v>117</v>
      </c>
      <c r="B7" s="45">
        <f>B6/31</f>
        <v>12038922.11143695</v>
      </c>
      <c r="C7" s="38"/>
      <c r="D7" s="135">
        <f>F92</f>
        <v>0</v>
      </c>
      <c r="E7" s="132" t="s">
        <v>113</v>
      </c>
      <c r="F7" s="132" t="s">
        <v>113</v>
      </c>
      <c r="G7" s="180"/>
      <c r="H7" s="135">
        <f>F95</f>
        <v>4754</v>
      </c>
      <c r="I7" s="132" t="s">
        <v>113</v>
      </c>
      <c r="J7" s="132" t="s">
        <v>113</v>
      </c>
    </row>
    <row r="8" spans="1:10" ht="17.25" thickTop="1" x14ac:dyDescent="0.3">
      <c r="A8" s="136"/>
      <c r="B8" s="137"/>
      <c r="C8" s="38"/>
      <c r="D8" s="138" t="s">
        <v>118</v>
      </c>
      <c r="E8" s="40" t="s">
        <v>119</v>
      </c>
      <c r="F8" s="40" t="s">
        <v>120</v>
      </c>
      <c r="G8" s="180"/>
      <c r="H8" s="138" t="s">
        <v>118</v>
      </c>
      <c r="I8" s="40" t="s">
        <v>119</v>
      </c>
      <c r="J8" s="40" t="s">
        <v>120</v>
      </c>
    </row>
    <row r="9" spans="1:10" x14ac:dyDescent="0.3">
      <c r="A9" s="139" t="s">
        <v>121</v>
      </c>
      <c r="B9" s="139" t="s">
        <v>113</v>
      </c>
      <c r="C9" s="38"/>
      <c r="D9" s="140"/>
      <c r="E9" s="141"/>
      <c r="F9" s="142">
        <f>D9*E9</f>
        <v>0</v>
      </c>
      <c r="G9" s="180"/>
      <c r="H9" s="140">
        <v>4583</v>
      </c>
      <c r="I9" s="59">
        <v>806.04</v>
      </c>
      <c r="J9" s="142">
        <f>H9*I9</f>
        <v>3694081.32</v>
      </c>
    </row>
    <row r="10" spans="1:10" x14ac:dyDescent="0.3">
      <c r="A10" s="143" t="s">
        <v>79</v>
      </c>
      <c r="B10" s="78">
        <f>D7</f>
        <v>0</v>
      </c>
      <c r="C10" s="38"/>
      <c r="D10" s="49"/>
      <c r="E10" s="144"/>
      <c r="F10" s="145">
        <f>D10*E10</f>
        <v>0</v>
      </c>
      <c r="G10" s="180"/>
      <c r="H10" s="49">
        <v>171</v>
      </c>
      <c r="I10" s="100">
        <v>826.04</v>
      </c>
      <c r="J10" s="145">
        <f>H10*I10</f>
        <v>141252.84</v>
      </c>
    </row>
    <row r="11" spans="1:10" ht="17.25" thickBot="1" x14ac:dyDescent="0.35">
      <c r="A11" s="146" t="s">
        <v>122</v>
      </c>
      <c r="B11" s="147">
        <f>D16</f>
        <v>39019</v>
      </c>
      <c r="C11" s="38"/>
      <c r="D11" s="47">
        <v>0</v>
      </c>
      <c r="E11" s="148">
        <v>0</v>
      </c>
      <c r="F11" s="149">
        <f>D11*E11</f>
        <v>0</v>
      </c>
      <c r="G11" s="180"/>
      <c r="H11" s="47"/>
      <c r="I11" s="150"/>
      <c r="J11" s="149">
        <f>H11*I11</f>
        <v>0</v>
      </c>
    </row>
    <row r="12" spans="1:10" ht="17.25" thickBot="1" x14ac:dyDescent="0.35">
      <c r="A12" s="146" t="s">
        <v>123</v>
      </c>
      <c r="B12" s="147">
        <f>H16</f>
        <v>251748</v>
      </c>
      <c r="C12" s="38"/>
      <c r="D12" s="151">
        <f>SUM(D9:D11)</f>
        <v>0</v>
      </c>
      <c r="E12" s="152"/>
      <c r="F12" s="153">
        <f>SUM(F9:F11)</f>
        <v>0</v>
      </c>
      <c r="H12" s="151">
        <f>SUM(H9:H11)</f>
        <v>4754</v>
      </c>
      <c r="I12" s="152"/>
      <c r="J12" s="153">
        <f>SUM(J9:J11)</f>
        <v>3835334.1599999997</v>
      </c>
    </row>
    <row r="13" spans="1:10" x14ac:dyDescent="0.3">
      <c r="A13" s="154" t="s">
        <v>124</v>
      </c>
      <c r="B13" s="155">
        <f>H7</f>
        <v>4754</v>
      </c>
      <c r="C13" s="38"/>
    </row>
    <row r="14" spans="1:10" x14ac:dyDescent="0.3">
      <c r="A14" s="133" t="s">
        <v>125</v>
      </c>
      <c r="B14" s="45">
        <f>SUM(B10:B13)</f>
        <v>295521</v>
      </c>
      <c r="C14" s="38"/>
    </row>
    <row r="15" spans="1:10" ht="17.25" thickBot="1" x14ac:dyDescent="0.35">
      <c r="A15" s="136"/>
      <c r="B15" s="137"/>
      <c r="C15" s="38"/>
      <c r="D15" s="132" t="s">
        <v>126</v>
      </c>
      <c r="E15" s="38" t="s">
        <v>89</v>
      </c>
      <c r="F15" s="38"/>
      <c r="G15" s="180"/>
      <c r="H15" s="132" t="s">
        <v>127</v>
      </c>
      <c r="I15" s="38" t="s">
        <v>89</v>
      </c>
      <c r="J15" s="38"/>
    </row>
    <row r="16" spans="1:10" ht="18" thickTop="1" thickBot="1" x14ac:dyDescent="0.35">
      <c r="A16" s="133" t="s">
        <v>128</v>
      </c>
      <c r="B16" s="45">
        <f>(F12+J12+F28+J28)/1.1</f>
        <v>331670644.39090908</v>
      </c>
      <c r="C16" s="38"/>
      <c r="D16" s="156">
        <f>F93</f>
        <v>39019</v>
      </c>
      <c r="E16" s="132" t="s">
        <v>113</v>
      </c>
      <c r="F16" s="132" t="s">
        <v>113</v>
      </c>
      <c r="G16" s="180"/>
      <c r="H16" s="135">
        <f>F94</f>
        <v>251748</v>
      </c>
      <c r="I16" s="132" t="s">
        <v>113</v>
      </c>
      <c r="J16" s="132" t="s">
        <v>113</v>
      </c>
    </row>
    <row r="17" spans="1:14" ht="17.25" thickTop="1" x14ac:dyDescent="0.3">
      <c r="A17" s="133" t="s">
        <v>79</v>
      </c>
      <c r="B17" s="45">
        <f>F12/1.1</f>
        <v>0</v>
      </c>
      <c r="C17" s="38"/>
      <c r="D17" s="157" t="s">
        <v>118</v>
      </c>
      <c r="E17" s="40" t="s">
        <v>119</v>
      </c>
      <c r="F17" s="40" t="s">
        <v>120</v>
      </c>
      <c r="G17" s="180"/>
      <c r="H17" s="138" t="s">
        <v>118</v>
      </c>
      <c r="I17" s="40" t="s">
        <v>119</v>
      </c>
      <c r="J17" s="40" t="s">
        <v>120</v>
      </c>
      <c r="L17" s="86" t="s">
        <v>129</v>
      </c>
      <c r="M17" s="86" t="s">
        <v>130</v>
      </c>
      <c r="N17" s="86" t="s">
        <v>131</v>
      </c>
    </row>
    <row r="18" spans="1:14" x14ac:dyDescent="0.3">
      <c r="A18" s="133" t="s">
        <v>122</v>
      </c>
      <c r="B18" s="45">
        <f>F28/1.1</f>
        <v>46751717.554545455</v>
      </c>
      <c r="C18" s="38"/>
      <c r="D18" s="158">
        <v>14995</v>
      </c>
      <c r="E18" s="46">
        <v>1321.13</v>
      </c>
      <c r="F18" s="158">
        <f>D18*E18</f>
        <v>19810344.350000001</v>
      </c>
      <c r="G18" s="180"/>
      <c r="H18" s="158">
        <v>35369</v>
      </c>
      <c r="I18" s="48">
        <v>1211.04</v>
      </c>
      <c r="J18" s="159">
        <f>H18*I18</f>
        <v>42833273.759999998</v>
      </c>
      <c r="L18" s="86">
        <v>39019</v>
      </c>
      <c r="M18" s="86">
        <v>251748</v>
      </c>
      <c r="N18" s="86">
        <v>4754</v>
      </c>
    </row>
    <row r="19" spans="1:14" x14ac:dyDescent="0.3">
      <c r="A19" s="133" t="s">
        <v>123</v>
      </c>
      <c r="B19" s="45">
        <f>J28/1.1</f>
        <v>281432259.41818184</v>
      </c>
      <c r="C19" s="38"/>
      <c r="D19" s="49">
        <v>24024</v>
      </c>
      <c r="E19" s="48">
        <v>1316.04</v>
      </c>
      <c r="F19" s="49">
        <f t="shared" ref="F19:F25" si="0">D19*E19</f>
        <v>31616544.960000001</v>
      </c>
      <c r="G19" s="180"/>
      <c r="H19" s="49">
        <v>94766</v>
      </c>
      <c r="I19" s="48">
        <v>1226.04</v>
      </c>
      <c r="J19" s="145">
        <f t="shared" ref="J19:J27" si="1">H19*I19</f>
        <v>116186906.64</v>
      </c>
      <c r="L19" s="86">
        <f>L18-D28</f>
        <v>0</v>
      </c>
      <c r="M19" s="86">
        <f>M18-H28</f>
        <v>0</v>
      </c>
      <c r="N19" s="86">
        <f>N18-H12</f>
        <v>0</v>
      </c>
    </row>
    <row r="20" spans="1:14" x14ac:dyDescent="0.3">
      <c r="A20" s="133" t="s">
        <v>124</v>
      </c>
      <c r="B20" s="45">
        <f>J12/1.1</f>
        <v>3486667.4181818175</v>
      </c>
      <c r="C20" s="38"/>
      <c r="D20" s="49"/>
      <c r="E20" s="84"/>
      <c r="F20" s="49">
        <f t="shared" si="0"/>
        <v>0</v>
      </c>
      <c r="G20" s="180"/>
      <c r="H20" s="49">
        <v>63399</v>
      </c>
      <c r="I20" s="48">
        <v>1241.04</v>
      </c>
      <c r="J20" s="145">
        <f t="shared" si="1"/>
        <v>78680694.959999993</v>
      </c>
    </row>
    <row r="21" spans="1:14" x14ac:dyDescent="0.3">
      <c r="A21" s="133" t="s">
        <v>113</v>
      </c>
      <c r="B21" s="45"/>
      <c r="C21" s="38"/>
      <c r="D21" s="160"/>
      <c r="E21" s="84"/>
      <c r="F21" s="49">
        <f t="shared" si="0"/>
        <v>0</v>
      </c>
      <c r="G21" s="180"/>
      <c r="H21" s="49">
        <v>11847</v>
      </c>
      <c r="I21" s="84">
        <v>1250</v>
      </c>
      <c r="J21" s="145">
        <f t="shared" si="1"/>
        <v>14808750</v>
      </c>
    </row>
    <row r="22" spans="1:14" x14ac:dyDescent="0.3">
      <c r="A22" s="161" t="s">
        <v>132</v>
      </c>
      <c r="B22" s="162">
        <f>B6-B16</f>
        <v>41535941.063636363</v>
      </c>
      <c r="C22" s="38"/>
      <c r="D22" s="160"/>
      <c r="E22" s="84"/>
      <c r="F22" s="49">
        <f t="shared" si="0"/>
        <v>0</v>
      </c>
      <c r="G22" s="180"/>
      <c r="H22" s="49">
        <v>19842</v>
      </c>
      <c r="I22" s="84">
        <v>1205</v>
      </c>
      <c r="J22" s="145">
        <f t="shared" si="1"/>
        <v>23909610</v>
      </c>
    </row>
    <row r="23" spans="1:14" x14ac:dyDescent="0.3">
      <c r="A23" s="133" t="s">
        <v>133</v>
      </c>
      <c r="B23" s="157">
        <f>B22/B14</f>
        <v>140.55157184645546</v>
      </c>
      <c r="C23" s="38"/>
      <c r="D23" s="160"/>
      <c r="E23" s="84"/>
      <c r="F23" s="49">
        <f t="shared" si="0"/>
        <v>0</v>
      </c>
      <c r="G23" s="180"/>
      <c r="H23" s="49">
        <v>19678</v>
      </c>
      <c r="I23" s="84">
        <v>1250</v>
      </c>
      <c r="J23" s="145">
        <f t="shared" si="1"/>
        <v>24597500</v>
      </c>
    </row>
    <row r="24" spans="1:14" x14ac:dyDescent="0.3">
      <c r="A24" s="38"/>
      <c r="B24" s="163"/>
      <c r="C24" s="38"/>
      <c r="D24" s="160"/>
      <c r="E24" s="84"/>
      <c r="F24" s="49">
        <f t="shared" si="0"/>
        <v>0</v>
      </c>
      <c r="G24" s="180"/>
      <c r="H24" s="49">
        <v>6847</v>
      </c>
      <c r="I24" s="84">
        <v>1250</v>
      </c>
      <c r="J24" s="145">
        <f t="shared" si="1"/>
        <v>8558750</v>
      </c>
    </row>
    <row r="25" spans="1:14" x14ac:dyDescent="0.3">
      <c r="A25" s="38"/>
      <c r="B25" s="163"/>
      <c r="C25" s="38"/>
      <c r="D25" s="160"/>
      <c r="E25" s="84"/>
      <c r="F25" s="49">
        <f t="shared" si="0"/>
        <v>0</v>
      </c>
      <c r="G25" s="180"/>
      <c r="H25" s="49"/>
      <c r="I25" s="84"/>
      <c r="J25" s="145">
        <f t="shared" si="1"/>
        <v>0</v>
      </c>
    </row>
    <row r="26" spans="1:14" x14ac:dyDescent="0.3">
      <c r="A26" s="38"/>
      <c r="B26" s="163"/>
      <c r="C26" s="38"/>
      <c r="D26" s="160"/>
      <c r="E26" s="84"/>
      <c r="F26" s="49">
        <f>D26*E26</f>
        <v>0</v>
      </c>
      <c r="G26" s="180"/>
      <c r="H26" s="164"/>
      <c r="I26" s="84"/>
      <c r="J26" s="145">
        <f t="shared" si="1"/>
        <v>0</v>
      </c>
    </row>
    <row r="27" spans="1:14" ht="17.25" thickBot="1" x14ac:dyDescent="0.35">
      <c r="A27" s="38"/>
      <c r="B27" s="163"/>
      <c r="C27" s="38"/>
      <c r="D27" s="165"/>
      <c r="E27" s="166"/>
      <c r="F27" s="50">
        <f>D27*E27</f>
        <v>0</v>
      </c>
      <c r="G27" s="180"/>
      <c r="H27" s="167"/>
      <c r="I27" s="166"/>
      <c r="J27" s="145">
        <f t="shared" si="1"/>
        <v>0</v>
      </c>
    </row>
    <row r="28" spans="1:14" ht="17.25" thickBot="1" x14ac:dyDescent="0.35">
      <c r="A28" s="38"/>
      <c r="B28" s="163"/>
      <c r="C28" s="38"/>
      <c r="D28" s="168">
        <f>SUM(D18:D27)</f>
        <v>39019</v>
      </c>
      <c r="E28" s="169"/>
      <c r="F28" s="170">
        <f>SUM(F18:F27)</f>
        <v>51426889.310000002</v>
      </c>
      <c r="G28" s="180"/>
      <c r="H28" s="171">
        <f>SUM(H18:H27)</f>
        <v>251748</v>
      </c>
      <c r="I28" s="172" t="s">
        <v>89</v>
      </c>
      <c r="J28" s="173">
        <f>SUM(J18:J27)</f>
        <v>309575485.36000001</v>
      </c>
    </row>
    <row r="29" spans="1:14" x14ac:dyDescent="0.3">
      <c r="A29" s="38"/>
      <c r="B29" s="163"/>
      <c r="C29" s="38"/>
      <c r="D29" s="39"/>
      <c r="E29" s="38"/>
      <c r="F29" s="38"/>
      <c r="G29" s="180"/>
      <c r="H29" s="39"/>
      <c r="I29" s="38"/>
      <c r="J29" s="38"/>
    </row>
    <row r="30" spans="1:14" x14ac:dyDescent="0.3">
      <c r="A30" s="38"/>
      <c r="B30" s="163"/>
      <c r="C30" s="38"/>
      <c r="D30" s="473" t="s">
        <v>70</v>
      </c>
      <c r="E30" s="473"/>
      <c r="F30" s="473"/>
      <c r="G30" s="473"/>
      <c r="H30" s="473"/>
      <c r="I30" s="473"/>
      <c r="J30" s="38"/>
    </row>
    <row r="31" spans="1:14" x14ac:dyDescent="0.3">
      <c r="A31" s="38"/>
      <c r="B31" s="163"/>
      <c r="C31" s="38"/>
      <c r="D31" s="37" t="s">
        <v>71</v>
      </c>
      <c r="E31" s="38"/>
      <c r="F31" s="38"/>
      <c r="G31" s="180"/>
      <c r="H31" s="39"/>
      <c r="I31" s="38" t="s">
        <v>72</v>
      </c>
      <c r="J31" s="38"/>
    </row>
    <row r="32" spans="1:14" x14ac:dyDescent="0.3">
      <c r="A32" s="38"/>
      <c r="B32" s="163"/>
      <c r="C32" s="38"/>
      <c r="D32" s="40" t="s">
        <v>73</v>
      </c>
      <c r="E32" s="41" t="s">
        <v>74</v>
      </c>
      <c r="F32" s="40" t="s">
        <v>75</v>
      </c>
      <c r="G32" s="181" t="s">
        <v>76</v>
      </c>
      <c r="H32" s="509" t="s">
        <v>77</v>
      </c>
      <c r="I32" s="509"/>
      <c r="J32" s="38"/>
    </row>
    <row r="33" spans="1:9" x14ac:dyDescent="0.3">
      <c r="C33" s="38"/>
      <c r="D33" s="509" t="s">
        <v>78</v>
      </c>
      <c r="E33" s="511" t="s">
        <v>79</v>
      </c>
      <c r="F33" s="42">
        <f>'[5]4월매출및재고수불'!F93</f>
        <v>0</v>
      </c>
      <c r="G33" s="43"/>
      <c r="H33" s="512">
        <f>F33*G33</f>
        <v>0</v>
      </c>
      <c r="I33" s="512"/>
    </row>
    <row r="34" spans="1:9" x14ac:dyDescent="0.3">
      <c r="A34" s="38"/>
      <c r="B34" s="38"/>
      <c r="C34" s="38"/>
      <c r="D34" s="509"/>
      <c r="E34" s="511"/>
      <c r="F34" s="44"/>
      <c r="G34" s="182"/>
      <c r="H34" s="508">
        <f>F34*G34</f>
        <v>0</v>
      </c>
      <c r="I34" s="508"/>
    </row>
    <row r="35" spans="1:9" x14ac:dyDescent="0.3">
      <c r="A35" s="38"/>
      <c r="B35" s="38"/>
      <c r="C35" s="38"/>
      <c r="D35" s="509"/>
      <c r="E35" s="41" t="s">
        <v>80</v>
      </c>
      <c r="F35" s="45">
        <f>SUM(F33:F34)</f>
        <v>0</v>
      </c>
      <c r="G35" s="183"/>
      <c r="H35" s="513">
        <f>SUM(H33:H34)</f>
        <v>0</v>
      </c>
      <c r="I35" s="514"/>
    </row>
    <row r="36" spans="1:9" x14ac:dyDescent="0.3">
      <c r="A36" s="38"/>
      <c r="B36" s="38"/>
      <c r="C36" s="38"/>
      <c r="D36" s="509"/>
      <c r="E36" s="515" t="s">
        <v>81</v>
      </c>
      <c r="F36" s="110">
        <v>14995</v>
      </c>
      <c r="G36" s="176">
        <v>1321.13</v>
      </c>
      <c r="H36" s="518">
        <f t="shared" ref="H36:H43" si="2">F36*G36</f>
        <v>19810344.350000001</v>
      </c>
      <c r="I36" s="518"/>
    </row>
    <row r="37" spans="1:9" x14ac:dyDescent="0.3">
      <c r="A37" s="38"/>
      <c r="B37" s="38"/>
      <c r="C37" s="38"/>
      <c r="D37" s="509"/>
      <c r="E37" s="516"/>
      <c r="F37" s="111">
        <v>39999</v>
      </c>
      <c r="G37" s="113">
        <v>1316.04</v>
      </c>
      <c r="H37" s="507">
        <f t="shared" si="2"/>
        <v>52640283.960000001</v>
      </c>
      <c r="I37" s="507"/>
    </row>
    <row r="38" spans="1:9" x14ac:dyDescent="0.3">
      <c r="A38" s="38"/>
      <c r="B38" s="38"/>
      <c r="C38" s="38"/>
      <c r="D38" s="509"/>
      <c r="E38" s="516"/>
      <c r="F38" s="49">
        <v>31998</v>
      </c>
      <c r="G38" s="48">
        <v>1391.04</v>
      </c>
      <c r="H38" s="507">
        <f t="shared" si="2"/>
        <v>44510497.920000002</v>
      </c>
      <c r="I38" s="507"/>
    </row>
    <row r="39" spans="1:9" x14ac:dyDescent="0.3">
      <c r="A39" s="38"/>
      <c r="B39" s="38"/>
      <c r="C39" s="38"/>
      <c r="D39" s="509"/>
      <c r="E39" s="516"/>
      <c r="F39" s="49">
        <v>4000</v>
      </c>
      <c r="G39" s="48">
        <v>1383.04</v>
      </c>
      <c r="H39" s="507">
        <f t="shared" si="2"/>
        <v>5532160</v>
      </c>
      <c r="I39" s="507"/>
    </row>
    <row r="40" spans="1:9" x14ac:dyDescent="0.3">
      <c r="A40" s="38"/>
      <c r="B40" s="38"/>
      <c r="C40" s="38"/>
      <c r="D40" s="509"/>
      <c r="E40" s="516"/>
      <c r="F40" s="50">
        <v>8001</v>
      </c>
      <c r="G40" s="51">
        <v>1411.04</v>
      </c>
      <c r="H40" s="507">
        <f t="shared" si="2"/>
        <v>11289731.039999999</v>
      </c>
      <c r="I40" s="507"/>
    </row>
    <row r="41" spans="1:9" x14ac:dyDescent="0.3">
      <c r="A41" s="38"/>
      <c r="B41" s="38"/>
      <c r="C41" s="38"/>
      <c r="D41" s="509"/>
      <c r="E41" s="516"/>
      <c r="F41" s="49"/>
      <c r="G41" s="48"/>
      <c r="H41" s="507">
        <f t="shared" si="2"/>
        <v>0</v>
      </c>
      <c r="I41" s="507"/>
    </row>
    <row r="42" spans="1:9" x14ac:dyDescent="0.3">
      <c r="A42" s="174"/>
      <c r="B42" s="174"/>
      <c r="C42" s="174"/>
      <c r="D42" s="509"/>
      <c r="E42" s="516"/>
      <c r="F42" s="50"/>
      <c r="G42" s="51"/>
      <c r="H42" s="507">
        <f t="shared" si="2"/>
        <v>0</v>
      </c>
      <c r="I42" s="507"/>
    </row>
    <row r="43" spans="1:9" x14ac:dyDescent="0.3">
      <c r="D43" s="509"/>
      <c r="E43" s="517"/>
      <c r="F43" s="52"/>
      <c r="G43" s="53"/>
      <c r="H43" s="508">
        <f t="shared" si="2"/>
        <v>0</v>
      </c>
      <c r="I43" s="508"/>
    </row>
    <row r="44" spans="1:9" x14ac:dyDescent="0.3">
      <c r="D44" s="509"/>
      <c r="E44" s="41" t="s">
        <v>80</v>
      </c>
      <c r="F44" s="54">
        <f>SUM(F36:F43)</f>
        <v>98993</v>
      </c>
      <c r="G44" s="55"/>
      <c r="H44" s="520">
        <f>SUM(H36:I43)</f>
        <v>133783017.27000001</v>
      </c>
      <c r="I44" s="520"/>
    </row>
    <row r="45" spans="1:9" x14ac:dyDescent="0.3">
      <c r="D45" s="509"/>
      <c r="E45" s="515" t="s">
        <v>82</v>
      </c>
      <c r="F45" s="110">
        <v>35369</v>
      </c>
      <c r="G45" s="113">
        <v>1211.04</v>
      </c>
      <c r="H45" s="518">
        <f t="shared" ref="H45:H51" si="3">F45*G45</f>
        <v>42833273.759999998</v>
      </c>
      <c r="I45" s="518"/>
    </row>
    <row r="46" spans="1:9" x14ac:dyDescent="0.3">
      <c r="D46" s="509"/>
      <c r="E46" s="516"/>
      <c r="F46" s="112">
        <v>94766</v>
      </c>
      <c r="G46" s="113">
        <v>1226.04</v>
      </c>
      <c r="H46" s="507">
        <f t="shared" si="3"/>
        <v>116186906.64</v>
      </c>
      <c r="I46" s="507"/>
    </row>
    <row r="47" spans="1:9" x14ac:dyDescent="0.3">
      <c r="D47" s="509"/>
      <c r="E47" s="516"/>
      <c r="F47" s="112">
        <v>63399</v>
      </c>
      <c r="G47" s="113">
        <v>1241.04</v>
      </c>
      <c r="H47" s="507">
        <f>F47*G47</f>
        <v>78680694.959999993</v>
      </c>
      <c r="I47" s="507"/>
    </row>
    <row r="48" spans="1:9" x14ac:dyDescent="0.3">
      <c r="D48" s="509"/>
      <c r="E48" s="516"/>
      <c r="F48" s="49"/>
      <c r="G48" s="48"/>
      <c r="H48" s="507">
        <f>F48*G48</f>
        <v>0</v>
      </c>
      <c r="I48" s="507"/>
    </row>
    <row r="49" spans="4:10" x14ac:dyDescent="0.3">
      <c r="D49" s="509"/>
      <c r="E49" s="516"/>
      <c r="F49" s="49"/>
      <c r="G49" s="48"/>
      <c r="H49" s="507">
        <f>F49*G49</f>
        <v>0</v>
      </c>
      <c r="I49" s="507"/>
      <c r="J49" s="76"/>
    </row>
    <row r="50" spans="4:10" x14ac:dyDescent="0.3">
      <c r="D50" s="509"/>
      <c r="E50" s="516"/>
      <c r="F50" s="49"/>
      <c r="G50" s="48"/>
      <c r="H50" s="507">
        <f t="shared" si="3"/>
        <v>0</v>
      </c>
      <c r="I50" s="507"/>
    </row>
    <row r="51" spans="4:10" x14ac:dyDescent="0.3">
      <c r="D51" s="509"/>
      <c r="E51" s="516"/>
      <c r="F51" s="49"/>
      <c r="G51" s="48"/>
      <c r="H51" s="507">
        <f t="shared" si="3"/>
        <v>0</v>
      </c>
      <c r="I51" s="507"/>
    </row>
    <row r="52" spans="4:10" x14ac:dyDescent="0.3">
      <c r="D52" s="509"/>
      <c r="E52" s="516"/>
      <c r="F52" s="56"/>
      <c r="G52" s="57"/>
      <c r="H52" s="507">
        <f>F52*G52</f>
        <v>0</v>
      </c>
      <c r="I52" s="507"/>
    </row>
    <row r="53" spans="4:10" x14ac:dyDescent="0.3">
      <c r="D53" s="509"/>
      <c r="E53" s="516"/>
      <c r="F53" s="56"/>
      <c r="G53" s="57"/>
      <c r="H53" s="507">
        <f>F53*G53</f>
        <v>0</v>
      </c>
      <c r="I53" s="507"/>
      <c r="J53" s="76">
        <f>F50+F51+F52+F53</f>
        <v>0</v>
      </c>
    </row>
    <row r="54" spans="4:10" x14ac:dyDescent="0.3">
      <c r="D54" s="509"/>
      <c r="E54" s="516"/>
      <c r="F54" s="49"/>
      <c r="G54" s="48"/>
      <c r="H54" s="507">
        <f>F54*G54</f>
        <v>0</v>
      </c>
      <c r="I54" s="507"/>
    </row>
    <row r="55" spans="4:10" x14ac:dyDescent="0.3">
      <c r="D55" s="509"/>
      <c r="E55" s="517"/>
      <c r="F55" s="49"/>
      <c r="G55" s="48"/>
      <c r="H55" s="519">
        <f>F55*G55</f>
        <v>0</v>
      </c>
      <c r="I55" s="519"/>
    </row>
    <row r="56" spans="4:10" x14ac:dyDescent="0.3">
      <c r="D56" s="509"/>
      <c r="E56" s="41" t="s">
        <v>80</v>
      </c>
      <c r="F56" s="54">
        <f>SUM(F45:F55)</f>
        <v>193534</v>
      </c>
      <c r="G56" s="55"/>
      <c r="H56" s="520">
        <f>SUM(H45:I55)</f>
        <v>237700875.36000001</v>
      </c>
      <c r="I56" s="520"/>
    </row>
    <row r="57" spans="4:10" x14ac:dyDescent="0.3">
      <c r="D57" s="509"/>
      <c r="E57" s="509" t="s">
        <v>83</v>
      </c>
      <c r="F57" s="58">
        <v>4583</v>
      </c>
      <c r="G57" s="59">
        <v>806.04</v>
      </c>
      <c r="H57" s="512">
        <f>F57*G57</f>
        <v>3694081.32</v>
      </c>
      <c r="I57" s="512"/>
    </row>
    <row r="58" spans="4:10" x14ac:dyDescent="0.3">
      <c r="D58" s="509"/>
      <c r="E58" s="509"/>
      <c r="F58" s="60">
        <v>19914</v>
      </c>
      <c r="G58" s="61">
        <v>826.04</v>
      </c>
      <c r="H58" s="508">
        <f>F58*G58</f>
        <v>16449760.559999999</v>
      </c>
      <c r="I58" s="508"/>
    </row>
    <row r="59" spans="4:10" ht="17.25" thickBot="1" x14ac:dyDescent="0.35">
      <c r="D59" s="509"/>
      <c r="E59" s="62" t="s">
        <v>80</v>
      </c>
      <c r="F59" s="58">
        <f>SUM(F57:F58)</f>
        <v>24497</v>
      </c>
      <c r="G59" s="59"/>
      <c r="H59" s="521">
        <f>SUM(H57:I58)</f>
        <v>20143841.879999999</v>
      </c>
      <c r="I59" s="522"/>
    </row>
    <row r="60" spans="4:10" ht="18" thickTop="1" thickBot="1" x14ac:dyDescent="0.35">
      <c r="D60" s="510"/>
      <c r="E60" s="63" t="s">
        <v>84</v>
      </c>
      <c r="F60" s="64">
        <f>F35+F44+F56+F59</f>
        <v>317024</v>
      </c>
      <c r="G60" s="65"/>
      <c r="H60" s="523">
        <f>H35+H44+H56+H59</f>
        <v>391627734.50999999</v>
      </c>
      <c r="I60" s="524"/>
      <c r="J60" s="77" t="s">
        <v>87</v>
      </c>
    </row>
    <row r="61" spans="4:10" x14ac:dyDescent="0.3">
      <c r="D61" s="509" t="s">
        <v>88</v>
      </c>
      <c r="E61" s="511" t="s">
        <v>79</v>
      </c>
      <c r="F61" s="42"/>
      <c r="G61" s="43"/>
      <c r="H61" s="525">
        <f>F61*G61</f>
        <v>0</v>
      </c>
      <c r="I61" s="525"/>
      <c r="J61" s="79"/>
    </row>
    <row r="62" spans="4:10" x14ac:dyDescent="0.3">
      <c r="D62" s="509"/>
      <c r="E62" s="511"/>
      <c r="F62" s="80"/>
      <c r="G62" s="184"/>
      <c r="H62" s="526">
        <f>F62*G62</f>
        <v>0</v>
      </c>
      <c r="I62" s="526"/>
      <c r="J62" s="81" t="s">
        <v>89</v>
      </c>
    </row>
    <row r="63" spans="4:10" x14ac:dyDescent="0.3">
      <c r="D63" s="509"/>
      <c r="E63" s="41" t="s">
        <v>80</v>
      </c>
      <c r="F63" s="45">
        <f>SUM(F61:F62)</f>
        <v>0</v>
      </c>
      <c r="G63" s="183"/>
      <c r="H63" s="513">
        <f>SUM(H61:H62)</f>
        <v>0</v>
      </c>
      <c r="I63" s="514"/>
      <c r="J63" s="82" t="s">
        <v>89</v>
      </c>
    </row>
    <row r="64" spans="4:10" x14ac:dyDescent="0.3">
      <c r="D64" s="509"/>
      <c r="E64" s="515" t="s">
        <v>81</v>
      </c>
      <c r="F64" s="83">
        <v>3980</v>
      </c>
      <c r="G64" s="46">
        <v>1420</v>
      </c>
      <c r="H64" s="525">
        <f t="shared" ref="H64:H86" si="4">F64*G64</f>
        <v>5651600</v>
      </c>
      <c r="I64" s="525"/>
      <c r="J64" s="79">
        <v>43587</v>
      </c>
    </row>
    <row r="65" spans="4:11" x14ac:dyDescent="0.3">
      <c r="D65" s="509"/>
      <c r="E65" s="516"/>
      <c r="F65" s="49">
        <v>7922</v>
      </c>
      <c r="G65" s="48">
        <v>1420</v>
      </c>
      <c r="H65" s="527">
        <f t="shared" si="4"/>
        <v>11249240</v>
      </c>
      <c r="I65" s="527"/>
      <c r="J65" s="85">
        <v>43605</v>
      </c>
    </row>
    <row r="66" spans="4:11" x14ac:dyDescent="0.3">
      <c r="D66" s="509"/>
      <c r="E66" s="516"/>
      <c r="F66" s="49">
        <v>3953</v>
      </c>
      <c r="G66" s="48">
        <v>1420</v>
      </c>
      <c r="H66" s="527">
        <f t="shared" si="4"/>
        <v>5613260</v>
      </c>
      <c r="I66" s="527"/>
      <c r="J66" s="85">
        <v>43607</v>
      </c>
      <c r="K66" s="86"/>
    </row>
    <row r="67" spans="4:11" x14ac:dyDescent="0.3">
      <c r="D67" s="509"/>
      <c r="E67" s="516"/>
      <c r="F67" s="49"/>
      <c r="G67" s="48"/>
      <c r="H67" s="527">
        <f t="shared" si="4"/>
        <v>0</v>
      </c>
      <c r="I67" s="527"/>
      <c r="J67" s="85"/>
    </row>
    <row r="68" spans="4:11" x14ac:dyDescent="0.3">
      <c r="D68" s="509"/>
      <c r="E68" s="516"/>
      <c r="F68" s="49"/>
      <c r="G68" s="48"/>
      <c r="H68" s="527">
        <f t="shared" si="4"/>
        <v>0</v>
      </c>
      <c r="I68" s="527"/>
      <c r="J68" s="85"/>
    </row>
    <row r="69" spans="4:11" x14ac:dyDescent="0.3">
      <c r="D69" s="509"/>
      <c r="E69" s="516"/>
      <c r="F69" s="49"/>
      <c r="G69" s="48"/>
      <c r="H69" s="527">
        <f t="shared" si="4"/>
        <v>0</v>
      </c>
      <c r="I69" s="527"/>
      <c r="J69" s="85"/>
    </row>
    <row r="70" spans="4:11" x14ac:dyDescent="0.3">
      <c r="D70" s="509"/>
      <c r="E70" s="41" t="s">
        <v>80</v>
      </c>
      <c r="F70" s="54">
        <f>SUM(F64:F69)</f>
        <v>15855</v>
      </c>
      <c r="G70" s="55"/>
      <c r="H70" s="520">
        <f>SUM(H64:I69)</f>
        <v>22514100</v>
      </c>
      <c r="I70" s="520"/>
      <c r="J70" s="82"/>
    </row>
    <row r="71" spans="4:11" x14ac:dyDescent="0.3">
      <c r="D71" s="509"/>
      <c r="E71" s="515" t="s">
        <v>82</v>
      </c>
      <c r="F71" s="112">
        <v>11847</v>
      </c>
      <c r="G71" s="113">
        <v>1250</v>
      </c>
      <c r="H71" s="527">
        <f t="shared" si="4"/>
        <v>14808750</v>
      </c>
      <c r="I71" s="527"/>
      <c r="J71" s="85">
        <v>43587</v>
      </c>
    </row>
    <row r="72" spans="4:11" x14ac:dyDescent="0.3">
      <c r="D72" s="509"/>
      <c r="E72" s="516"/>
      <c r="F72" s="112">
        <v>19842</v>
      </c>
      <c r="G72" s="113">
        <v>1205</v>
      </c>
      <c r="H72" s="527">
        <f t="shared" si="4"/>
        <v>23909610</v>
      </c>
      <c r="I72" s="527"/>
      <c r="J72" s="85">
        <v>43588</v>
      </c>
      <c r="K72" s="74" t="s">
        <v>90</v>
      </c>
    </row>
    <row r="73" spans="4:11" x14ac:dyDescent="0.3">
      <c r="D73" s="509"/>
      <c r="E73" s="516"/>
      <c r="F73" s="112">
        <v>19678</v>
      </c>
      <c r="G73" s="113">
        <v>1250</v>
      </c>
      <c r="H73" s="527">
        <f t="shared" si="4"/>
        <v>24597500</v>
      </c>
      <c r="I73" s="527"/>
      <c r="J73" s="85">
        <v>43590</v>
      </c>
    </row>
    <row r="74" spans="4:11" x14ac:dyDescent="0.3">
      <c r="D74" s="509"/>
      <c r="E74" s="516"/>
      <c r="F74" s="111">
        <v>19762</v>
      </c>
      <c r="G74" s="113">
        <v>1250</v>
      </c>
      <c r="H74" s="527">
        <f t="shared" si="4"/>
        <v>24702500</v>
      </c>
      <c r="I74" s="527"/>
      <c r="J74" s="85">
        <v>43603</v>
      </c>
    </row>
    <row r="75" spans="4:11" x14ac:dyDescent="0.3">
      <c r="D75" s="509"/>
      <c r="E75" s="516"/>
      <c r="F75" s="49">
        <v>19754</v>
      </c>
      <c r="G75" s="48">
        <v>1250</v>
      </c>
      <c r="H75" s="527">
        <f t="shared" si="4"/>
        <v>24692500</v>
      </c>
      <c r="I75" s="527"/>
      <c r="J75" s="85">
        <v>43603</v>
      </c>
      <c r="K75" s="76"/>
    </row>
    <row r="76" spans="4:11" x14ac:dyDescent="0.3">
      <c r="D76" s="509"/>
      <c r="E76" s="516"/>
      <c r="F76" s="49">
        <v>19833</v>
      </c>
      <c r="G76" s="48">
        <v>1250</v>
      </c>
      <c r="H76" s="527">
        <f t="shared" si="4"/>
        <v>24791250</v>
      </c>
      <c r="I76" s="527"/>
      <c r="J76" s="85">
        <v>43603</v>
      </c>
      <c r="K76" s="76">
        <f>F74+F75+F76</f>
        <v>59349</v>
      </c>
    </row>
    <row r="77" spans="4:11" x14ac:dyDescent="0.3">
      <c r="D77" s="509"/>
      <c r="E77" s="516"/>
      <c r="F77" s="49">
        <v>19767</v>
      </c>
      <c r="G77" s="48">
        <v>1250</v>
      </c>
      <c r="H77" s="527">
        <f t="shared" si="4"/>
        <v>24708750</v>
      </c>
      <c r="I77" s="527"/>
      <c r="J77" s="85">
        <v>43604</v>
      </c>
    </row>
    <row r="78" spans="4:11" x14ac:dyDescent="0.3">
      <c r="D78" s="509"/>
      <c r="E78" s="516"/>
      <c r="F78" s="49">
        <v>19788</v>
      </c>
      <c r="G78" s="48">
        <v>1250</v>
      </c>
      <c r="H78" s="527">
        <f t="shared" si="4"/>
        <v>24735000</v>
      </c>
      <c r="I78" s="527"/>
      <c r="J78" s="85">
        <v>43604</v>
      </c>
      <c r="K78" s="76">
        <f>F77+F78</f>
        <v>39555</v>
      </c>
    </row>
    <row r="79" spans="4:11" x14ac:dyDescent="0.3">
      <c r="D79" s="509"/>
      <c r="E79" s="516"/>
      <c r="F79" s="49">
        <v>19711</v>
      </c>
      <c r="G79" s="48">
        <v>1250</v>
      </c>
      <c r="H79" s="527">
        <f t="shared" si="4"/>
        <v>24638750</v>
      </c>
      <c r="I79" s="527"/>
      <c r="J79" s="85">
        <v>43605</v>
      </c>
    </row>
    <row r="80" spans="4:11" x14ac:dyDescent="0.3">
      <c r="D80" s="509"/>
      <c r="E80" s="516"/>
      <c r="F80" s="49">
        <v>19729</v>
      </c>
      <c r="G80" s="48">
        <v>1250</v>
      </c>
      <c r="H80" s="527">
        <f t="shared" si="4"/>
        <v>24661250</v>
      </c>
      <c r="I80" s="527"/>
      <c r="J80" s="85">
        <v>43605</v>
      </c>
      <c r="K80" s="86">
        <f>F79+F80</f>
        <v>39440</v>
      </c>
    </row>
    <row r="81" spans="2:11" x14ac:dyDescent="0.3">
      <c r="D81" s="509"/>
      <c r="E81" s="516"/>
      <c r="F81" s="49">
        <v>11832</v>
      </c>
      <c r="G81" s="48">
        <v>1250</v>
      </c>
      <c r="H81" s="527">
        <f t="shared" si="4"/>
        <v>14790000</v>
      </c>
      <c r="I81" s="527"/>
      <c r="J81" s="85">
        <v>43606</v>
      </c>
    </row>
    <row r="82" spans="2:11" x14ac:dyDescent="0.3">
      <c r="D82" s="509"/>
      <c r="E82" s="516"/>
      <c r="F82" s="49"/>
      <c r="G82" s="48"/>
      <c r="H82" s="527">
        <f t="shared" si="4"/>
        <v>0</v>
      </c>
      <c r="I82" s="527"/>
      <c r="J82" s="85"/>
    </row>
    <row r="83" spans="2:11" x14ac:dyDescent="0.3">
      <c r="D83" s="509"/>
      <c r="E83" s="516"/>
      <c r="F83" s="49"/>
      <c r="G83" s="48"/>
      <c r="H83" s="527">
        <f t="shared" si="4"/>
        <v>0</v>
      </c>
      <c r="I83" s="527"/>
      <c r="J83" s="85"/>
    </row>
    <row r="84" spans="2:11" x14ac:dyDescent="0.3">
      <c r="D84" s="509"/>
      <c r="E84" s="516"/>
      <c r="F84" s="87"/>
      <c r="G84" s="48"/>
      <c r="H84" s="528">
        <f t="shared" si="4"/>
        <v>0</v>
      </c>
      <c r="I84" s="528"/>
      <c r="J84" s="81"/>
      <c r="K84" s="76"/>
    </row>
    <row r="85" spans="2:11" x14ac:dyDescent="0.3">
      <c r="D85" s="509"/>
      <c r="E85" s="516"/>
      <c r="F85" s="88"/>
      <c r="G85" s="48"/>
      <c r="H85" s="527">
        <f t="shared" si="4"/>
        <v>0</v>
      </c>
      <c r="I85" s="527"/>
      <c r="J85" s="89"/>
      <c r="K85" s="76"/>
    </row>
    <row r="86" spans="2:11" x14ac:dyDescent="0.3">
      <c r="B86" s="74" t="s">
        <v>134</v>
      </c>
      <c r="D86" s="509"/>
      <c r="E86" s="517"/>
      <c r="F86" s="90"/>
      <c r="G86" s="48"/>
      <c r="H86" s="528">
        <f t="shared" si="4"/>
        <v>0</v>
      </c>
      <c r="I86" s="528"/>
      <c r="J86" s="91"/>
      <c r="K86" s="76"/>
    </row>
    <row r="87" spans="2:11" x14ac:dyDescent="0.3">
      <c r="B87" s="175">
        <f>110*158.984*31</f>
        <v>542135.44000000006</v>
      </c>
      <c r="D87" s="509"/>
      <c r="E87" s="41" t="s">
        <v>80</v>
      </c>
      <c r="F87" s="54">
        <f>SUM(F71:F86)</f>
        <v>201543</v>
      </c>
      <c r="G87" s="55"/>
      <c r="H87" s="520">
        <f>SUM(H71:I86)</f>
        <v>251035860</v>
      </c>
      <c r="I87" s="520"/>
      <c r="J87" s="82"/>
    </row>
    <row r="88" spans="2:11" x14ac:dyDescent="0.3">
      <c r="B88" s="175">
        <f>F70+F87+F90</f>
        <v>217398</v>
      </c>
      <c r="D88" s="509"/>
      <c r="E88" s="509" t="s">
        <v>83</v>
      </c>
      <c r="F88" s="58"/>
      <c r="G88" s="59"/>
      <c r="H88" s="525">
        <f>F88*G88</f>
        <v>0</v>
      </c>
      <c r="I88" s="525"/>
      <c r="J88" s="92"/>
    </row>
    <row r="89" spans="2:11" x14ac:dyDescent="0.3">
      <c r="B89" s="175">
        <f>B87-B88</f>
        <v>324737.44000000006</v>
      </c>
      <c r="D89" s="509"/>
      <c r="E89" s="509"/>
      <c r="F89" s="60"/>
      <c r="G89" s="61"/>
      <c r="H89" s="526">
        <f>F89*G89</f>
        <v>0</v>
      </c>
      <c r="I89" s="526"/>
      <c r="J89" s="93"/>
    </row>
    <row r="90" spans="2:11" ht="17.25" thickBot="1" x14ac:dyDescent="0.35">
      <c r="D90" s="509"/>
      <c r="E90" s="62" t="s">
        <v>80</v>
      </c>
      <c r="F90" s="58">
        <f>SUM(F88+F89)</f>
        <v>0</v>
      </c>
      <c r="G90" s="59"/>
      <c r="H90" s="521">
        <f>SUM(H88:H89)</f>
        <v>0</v>
      </c>
      <c r="I90" s="522"/>
      <c r="J90" s="94"/>
    </row>
    <row r="91" spans="2:11" ht="18" thickTop="1" thickBot="1" x14ac:dyDescent="0.35">
      <c r="D91" s="510"/>
      <c r="E91" s="63" t="s">
        <v>84</v>
      </c>
      <c r="F91" s="64">
        <f>SUM(F90,F87,F70,F63)</f>
        <v>217398</v>
      </c>
      <c r="G91" s="65"/>
      <c r="H91" s="523">
        <f>SUM(H70+H87+H90)</f>
        <v>273549960</v>
      </c>
      <c r="I91" s="524"/>
    </row>
    <row r="92" spans="2:11" x14ac:dyDescent="0.3">
      <c r="D92" s="509" t="s">
        <v>91</v>
      </c>
      <c r="E92" s="95" t="s">
        <v>79</v>
      </c>
      <c r="F92" s="96"/>
      <c r="G92" s="97" t="e">
        <f>H92/F92</f>
        <v>#DIV/0!</v>
      </c>
      <c r="H92" s="512">
        <f>F12</f>
        <v>0</v>
      </c>
      <c r="I92" s="512"/>
    </row>
    <row r="93" spans="2:11" x14ac:dyDescent="0.3">
      <c r="D93" s="509"/>
      <c r="E93" s="98" t="s">
        <v>81</v>
      </c>
      <c r="F93" s="99">
        <f>D28</f>
        <v>39019</v>
      </c>
      <c r="G93" s="100">
        <f>H93/F93</f>
        <v>1317.9960867782363</v>
      </c>
      <c r="H93" s="507">
        <f>F28</f>
        <v>51426889.310000002</v>
      </c>
      <c r="I93" s="507"/>
    </row>
    <row r="94" spans="2:11" x14ac:dyDescent="0.3">
      <c r="D94" s="509"/>
      <c r="E94" s="98" t="s">
        <v>82</v>
      </c>
      <c r="F94" s="56">
        <f>H28</f>
        <v>251748</v>
      </c>
      <c r="G94" s="100">
        <f>H94/F94</f>
        <v>1229.7038521060745</v>
      </c>
      <c r="H94" s="507">
        <f>J28</f>
        <v>309575485.36000001</v>
      </c>
      <c r="I94" s="507"/>
    </row>
    <row r="95" spans="2:11" ht="17.25" thickBot="1" x14ac:dyDescent="0.35">
      <c r="D95" s="509"/>
      <c r="E95" s="95" t="s">
        <v>83</v>
      </c>
      <c r="F95" s="101">
        <f>H12</f>
        <v>4754</v>
      </c>
      <c r="G95" s="102">
        <f>H95/F95</f>
        <v>806.75939419436259</v>
      </c>
      <c r="H95" s="528">
        <f>J12</f>
        <v>3835334.1599999997</v>
      </c>
      <c r="I95" s="528"/>
    </row>
    <row r="96" spans="2:11" ht="17.25" thickBot="1" x14ac:dyDescent="0.35">
      <c r="D96" s="510"/>
      <c r="E96" s="103" t="s">
        <v>84</v>
      </c>
      <c r="F96" s="64">
        <f>SUM(F92:F95)</f>
        <v>295521</v>
      </c>
      <c r="G96" s="65"/>
      <c r="H96" s="529">
        <f>SUM(H92:H95)</f>
        <v>364837708.83000004</v>
      </c>
      <c r="I96" s="530"/>
    </row>
    <row r="97" spans="4:11" x14ac:dyDescent="0.3">
      <c r="D97" s="509" t="s">
        <v>92</v>
      </c>
      <c r="E97" s="95" t="s">
        <v>79</v>
      </c>
      <c r="F97" s="104">
        <f>F35+F63-F92</f>
        <v>0</v>
      </c>
      <c r="G97" s="97" t="e">
        <f>H97/F97</f>
        <v>#DIV/0!</v>
      </c>
      <c r="H97" s="525">
        <f>H35+H63-H92</f>
        <v>0</v>
      </c>
      <c r="I97" s="525"/>
      <c r="K97" s="86"/>
    </row>
    <row r="98" spans="4:11" x14ac:dyDescent="0.3">
      <c r="D98" s="509"/>
      <c r="E98" s="98" t="s">
        <v>81</v>
      </c>
      <c r="F98" s="105">
        <f>F44+F70-F93</f>
        <v>75829</v>
      </c>
      <c r="G98" s="100">
        <f>H98/F98</f>
        <v>1412.2713995964605</v>
      </c>
      <c r="H98" s="527">
        <f>H44+H78-H93</f>
        <v>107091127.96000001</v>
      </c>
      <c r="I98" s="527"/>
      <c r="K98" s="86"/>
    </row>
    <row r="99" spans="4:11" x14ac:dyDescent="0.3">
      <c r="D99" s="509"/>
      <c r="E99" s="98" t="s">
        <v>82</v>
      </c>
      <c r="F99" s="105">
        <f>F56+F87-F94</f>
        <v>143329</v>
      </c>
      <c r="G99" s="100">
        <f>H99/F99</f>
        <v>1250</v>
      </c>
      <c r="H99" s="527">
        <f>H56+H87-H94</f>
        <v>179161250</v>
      </c>
      <c r="I99" s="527"/>
      <c r="K99" s="86"/>
    </row>
    <row r="100" spans="4:11" ht="17.25" thickBot="1" x14ac:dyDescent="0.35">
      <c r="D100" s="509"/>
      <c r="E100" s="95" t="s">
        <v>83</v>
      </c>
      <c r="F100" s="106">
        <f>F59+F90-F95</f>
        <v>19743</v>
      </c>
      <c r="G100" s="102">
        <f>H100/F100</f>
        <v>826.04</v>
      </c>
      <c r="H100" s="528">
        <f>H59+H90-H95</f>
        <v>16308507.719999999</v>
      </c>
      <c r="I100" s="528"/>
      <c r="K100" s="86"/>
    </row>
    <row r="101" spans="4:11" ht="17.25" thickBot="1" x14ac:dyDescent="0.35">
      <c r="D101" s="510"/>
      <c r="E101" s="103" t="s">
        <v>84</v>
      </c>
      <c r="F101" s="64">
        <f>SUM(F97:F100)</f>
        <v>238901</v>
      </c>
      <c r="G101" s="65">
        <f>H101/F101</f>
        <v>1266.4697329856303</v>
      </c>
      <c r="H101" s="529">
        <f>SUM(H97:H100)</f>
        <v>302560885.68000007</v>
      </c>
      <c r="I101" s="530"/>
    </row>
    <row r="102" spans="4:11" x14ac:dyDescent="0.3">
      <c r="F102" s="86"/>
      <c r="G102" s="107"/>
      <c r="H102" s="86"/>
      <c r="I102" s="86"/>
    </row>
    <row r="103" spans="4:11" x14ac:dyDescent="0.3">
      <c r="F103" s="86"/>
      <c r="G103" s="107"/>
      <c r="H103" s="86"/>
      <c r="I103" s="86"/>
    </row>
    <row r="104" spans="4:11" x14ac:dyDescent="0.3">
      <c r="D104" s="40" t="s">
        <v>73</v>
      </c>
      <c r="E104" s="41" t="s">
        <v>74</v>
      </c>
      <c r="F104" s="73" t="s">
        <v>75</v>
      </c>
      <c r="G104" s="185" t="s">
        <v>76</v>
      </c>
      <c r="H104" s="520" t="s">
        <v>77</v>
      </c>
      <c r="I104" s="520"/>
    </row>
    <row r="105" spans="4:11" x14ac:dyDescent="0.3">
      <c r="D105" s="509" t="s">
        <v>93</v>
      </c>
      <c r="E105" s="511" t="s">
        <v>79</v>
      </c>
      <c r="F105" s="42"/>
      <c r="G105" s="43"/>
      <c r="H105" s="525">
        <f>F105*G105</f>
        <v>0</v>
      </c>
      <c r="I105" s="525"/>
    </row>
    <row r="106" spans="4:11" x14ac:dyDescent="0.3">
      <c r="D106" s="509"/>
      <c r="E106" s="511"/>
      <c r="F106" s="80"/>
      <c r="G106" s="184"/>
      <c r="H106" s="526">
        <f>F106*G106</f>
        <v>0</v>
      </c>
      <c r="I106" s="526"/>
    </row>
    <row r="107" spans="4:11" x14ac:dyDescent="0.3">
      <c r="D107" s="509"/>
      <c r="E107" s="41" t="s">
        <v>80</v>
      </c>
      <c r="F107" s="45">
        <f>SUM(F105:F106)</f>
        <v>0</v>
      </c>
      <c r="G107" s="183"/>
      <c r="H107" s="513">
        <f>SUM(H105:H106)</f>
        <v>0</v>
      </c>
      <c r="I107" s="514"/>
    </row>
    <row r="108" spans="4:11" x14ac:dyDescent="0.3">
      <c r="D108" s="509"/>
      <c r="E108" s="509" t="s">
        <v>81</v>
      </c>
      <c r="F108" s="49"/>
      <c r="G108" s="48"/>
      <c r="H108" s="525">
        <f>F108*G108</f>
        <v>0</v>
      </c>
      <c r="I108" s="525"/>
    </row>
    <row r="109" spans="4:11" x14ac:dyDescent="0.3">
      <c r="D109" s="509"/>
      <c r="E109" s="509"/>
      <c r="F109" s="49"/>
      <c r="G109" s="48"/>
      <c r="H109" s="527">
        <f>F109*G109</f>
        <v>0</v>
      </c>
      <c r="I109" s="527"/>
    </row>
    <row r="110" spans="4:11" x14ac:dyDescent="0.3">
      <c r="D110" s="509"/>
      <c r="E110" s="509"/>
      <c r="F110" s="49"/>
      <c r="G110" s="48"/>
      <c r="H110" s="527">
        <f>F110*G110</f>
        <v>0</v>
      </c>
      <c r="I110" s="527"/>
    </row>
    <row r="111" spans="4:11" x14ac:dyDescent="0.3">
      <c r="D111" s="509"/>
      <c r="E111" s="509"/>
      <c r="F111" s="49"/>
      <c r="G111" s="48"/>
      <c r="H111" s="531">
        <f>F111*G111</f>
        <v>0</v>
      </c>
      <c r="I111" s="531"/>
    </row>
    <row r="112" spans="4:11" x14ac:dyDescent="0.3">
      <c r="D112" s="509"/>
      <c r="E112" s="41" t="s">
        <v>80</v>
      </c>
      <c r="F112" s="54">
        <f>SUM(F108:F111)</f>
        <v>0</v>
      </c>
      <c r="G112" s="55"/>
      <c r="H112" s="520">
        <f>SUM(H108:H111)</f>
        <v>0</v>
      </c>
      <c r="I112" s="520"/>
    </row>
    <row r="113" spans="4:9" x14ac:dyDescent="0.3">
      <c r="D113" s="509"/>
      <c r="E113" s="509" t="s">
        <v>82</v>
      </c>
      <c r="F113" s="56"/>
      <c r="G113" s="48"/>
      <c r="H113" s="525">
        <f>F113*G113</f>
        <v>0</v>
      </c>
      <c r="I113" s="525"/>
    </row>
    <row r="114" spans="4:9" x14ac:dyDescent="0.3">
      <c r="D114" s="509"/>
      <c r="E114" s="509"/>
      <c r="F114" s="56"/>
      <c r="G114" s="48"/>
      <c r="H114" s="527">
        <f>F114*G114</f>
        <v>0</v>
      </c>
      <c r="I114" s="527"/>
    </row>
    <row r="115" spans="4:9" x14ac:dyDescent="0.3">
      <c r="D115" s="509"/>
      <c r="E115" s="509"/>
      <c r="F115" s="56"/>
      <c r="G115" s="48"/>
      <c r="H115" s="527">
        <f>F115*G115</f>
        <v>0</v>
      </c>
      <c r="I115" s="527"/>
    </row>
    <row r="116" spans="4:9" x14ac:dyDescent="0.3">
      <c r="D116" s="509"/>
      <c r="E116" s="509"/>
      <c r="F116" s="56"/>
      <c r="G116" s="48"/>
      <c r="H116" s="531">
        <f>F116*G116</f>
        <v>0</v>
      </c>
      <c r="I116" s="531"/>
    </row>
    <row r="117" spans="4:9" x14ac:dyDescent="0.3">
      <c r="D117" s="509"/>
      <c r="E117" s="41" t="s">
        <v>80</v>
      </c>
      <c r="F117" s="54">
        <f>SUM(F113:F116)</f>
        <v>0</v>
      </c>
      <c r="G117" s="55"/>
      <c r="H117" s="520">
        <f>SUM(H113:H116)</f>
        <v>0</v>
      </c>
      <c r="I117" s="520"/>
    </row>
    <row r="118" spans="4:9" x14ac:dyDescent="0.3">
      <c r="D118" s="509"/>
      <c r="E118" s="509" t="s">
        <v>83</v>
      </c>
      <c r="F118" s="58"/>
      <c r="G118" s="59"/>
      <c r="H118" s="525">
        <f>F118*G118</f>
        <v>0</v>
      </c>
      <c r="I118" s="525"/>
    </row>
    <row r="119" spans="4:9" x14ac:dyDescent="0.3">
      <c r="D119" s="509"/>
      <c r="E119" s="509"/>
      <c r="F119" s="108"/>
      <c r="G119" s="109"/>
      <c r="H119" s="526">
        <f>F119*G119</f>
        <v>0</v>
      </c>
      <c r="I119" s="526"/>
    </row>
    <row r="120" spans="4:9" ht="17.25" thickBot="1" x14ac:dyDescent="0.35">
      <c r="D120" s="509"/>
      <c r="E120" s="62" t="s">
        <v>80</v>
      </c>
      <c r="F120" s="58">
        <f>SUM(F118:F119)</f>
        <v>0</v>
      </c>
      <c r="G120" s="59"/>
      <c r="H120" s="521">
        <f>SUM(H118:H119)</f>
        <v>0</v>
      </c>
      <c r="I120" s="522"/>
    </row>
    <row r="121" spans="4:9" ht="17.25" thickBot="1" x14ac:dyDescent="0.35">
      <c r="D121" s="510"/>
      <c r="E121" s="63" t="s">
        <v>84</v>
      </c>
      <c r="F121" s="64">
        <f>F107+F112+F117+F120</f>
        <v>0</v>
      </c>
      <c r="G121" s="65"/>
      <c r="H121" s="523">
        <f>H107+H112+H117+H120</f>
        <v>0</v>
      </c>
      <c r="I121" s="524"/>
    </row>
  </sheetData>
  <mergeCells count="112">
    <mergeCell ref="H104:I104"/>
    <mergeCell ref="D105:D121"/>
    <mergeCell ref="E105:E106"/>
    <mergeCell ref="H105:I105"/>
    <mergeCell ref="H106:I106"/>
    <mergeCell ref="H107:I107"/>
    <mergeCell ref="E108:E111"/>
    <mergeCell ref="H108:I108"/>
    <mergeCell ref="H109:I109"/>
    <mergeCell ref="H110:I110"/>
    <mergeCell ref="H117:I117"/>
    <mergeCell ref="E118:E119"/>
    <mergeCell ref="H118:I118"/>
    <mergeCell ref="H119:I119"/>
    <mergeCell ref="H120:I120"/>
    <mergeCell ref="H121:I121"/>
    <mergeCell ref="H111:I111"/>
    <mergeCell ref="H112:I112"/>
    <mergeCell ref="E113:E116"/>
    <mergeCell ref="H113:I113"/>
    <mergeCell ref="H114:I114"/>
    <mergeCell ref="H115:I115"/>
    <mergeCell ref="H116:I116"/>
    <mergeCell ref="D97:D101"/>
    <mergeCell ref="H97:I97"/>
    <mergeCell ref="H98:I98"/>
    <mergeCell ref="H99:I99"/>
    <mergeCell ref="H100:I100"/>
    <mergeCell ref="H101:I101"/>
    <mergeCell ref="D92:D96"/>
    <mergeCell ref="H92:I92"/>
    <mergeCell ref="H93:I93"/>
    <mergeCell ref="H94:I94"/>
    <mergeCell ref="H95:I95"/>
    <mergeCell ref="H96:I96"/>
    <mergeCell ref="H90:I90"/>
    <mergeCell ref="H91:I91"/>
    <mergeCell ref="H81:I81"/>
    <mergeCell ref="H82:I82"/>
    <mergeCell ref="H83:I83"/>
    <mergeCell ref="H84:I84"/>
    <mergeCell ref="H85:I85"/>
    <mergeCell ref="H86:I86"/>
    <mergeCell ref="E71:E86"/>
    <mergeCell ref="H68:I68"/>
    <mergeCell ref="H69:I69"/>
    <mergeCell ref="H70:I70"/>
    <mergeCell ref="H71:I71"/>
    <mergeCell ref="H72:I72"/>
    <mergeCell ref="H73:I73"/>
    <mergeCell ref="H74:I74"/>
    <mergeCell ref="H87:I87"/>
    <mergeCell ref="E88:E89"/>
    <mergeCell ref="H88:I88"/>
    <mergeCell ref="H89:I89"/>
    <mergeCell ref="H47:I47"/>
    <mergeCell ref="H48:I48"/>
    <mergeCell ref="H49:I49"/>
    <mergeCell ref="H50:I50"/>
    <mergeCell ref="H51:I51"/>
    <mergeCell ref="H52:I52"/>
    <mergeCell ref="H59:I59"/>
    <mergeCell ref="H60:I60"/>
    <mergeCell ref="D61:D91"/>
    <mergeCell ref="E61:E62"/>
    <mergeCell ref="H61:I61"/>
    <mergeCell ref="H62:I62"/>
    <mergeCell ref="H63:I63"/>
    <mergeCell ref="E64:E69"/>
    <mergeCell ref="H64:I64"/>
    <mergeCell ref="H65:I65"/>
    <mergeCell ref="H75:I75"/>
    <mergeCell ref="H76:I76"/>
    <mergeCell ref="H77:I77"/>
    <mergeCell ref="H78:I78"/>
    <mergeCell ref="H79:I79"/>
    <mergeCell ref="H80:I80"/>
    <mergeCell ref="H66:I66"/>
    <mergeCell ref="H67:I67"/>
    <mergeCell ref="H41:I41"/>
    <mergeCell ref="H42:I42"/>
    <mergeCell ref="H43:I43"/>
    <mergeCell ref="D30:I30"/>
    <mergeCell ref="H32:I32"/>
    <mergeCell ref="D33:D60"/>
    <mergeCell ref="E33:E34"/>
    <mergeCell ref="H33:I33"/>
    <mergeCell ref="H34:I34"/>
    <mergeCell ref="H35:I35"/>
    <mergeCell ref="E36:E43"/>
    <mergeCell ref="H36:I36"/>
    <mergeCell ref="H37:I37"/>
    <mergeCell ref="H53:I53"/>
    <mergeCell ref="H54:I54"/>
    <mergeCell ref="H55:I55"/>
    <mergeCell ref="H56:I56"/>
    <mergeCell ref="E57:E58"/>
    <mergeCell ref="H57:I57"/>
    <mergeCell ref="H58:I58"/>
    <mergeCell ref="H44:I44"/>
    <mergeCell ref="E45:E55"/>
    <mergeCell ref="H45:I45"/>
    <mergeCell ref="H46:I46"/>
    <mergeCell ref="A1:B1"/>
    <mergeCell ref="C1:D1"/>
    <mergeCell ref="I1:J1"/>
    <mergeCell ref="D4:J4"/>
    <mergeCell ref="D6:F6"/>
    <mergeCell ref="H6:J6"/>
    <mergeCell ref="H38:I38"/>
    <mergeCell ref="H39:I39"/>
    <mergeCell ref="H40:I40"/>
  </mergeCells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7879-3DFF-4F6E-8B6D-1B18260E59BA}">
  <dimension ref="A1:V48"/>
  <sheetViews>
    <sheetView workbookViewId="0">
      <selection activeCell="F35" sqref="F35"/>
    </sheetView>
  </sheetViews>
  <sheetFormatPr defaultRowHeight="16.5" x14ac:dyDescent="0.3"/>
  <cols>
    <col min="1" max="2" width="12.75" customWidth="1"/>
    <col min="4" max="4" width="12.125" customWidth="1"/>
    <col min="7" max="7" width="9.875" customWidth="1"/>
    <col min="10" max="10" width="13.5" customWidth="1"/>
    <col min="17" max="17" width="11.875" customWidth="1"/>
  </cols>
  <sheetData>
    <row r="1" spans="1:21" ht="20.25" x14ac:dyDescent="0.3">
      <c r="A1" s="1" t="s">
        <v>0</v>
      </c>
    </row>
    <row r="3" spans="1:21" x14ac:dyDescent="0.3">
      <c r="A3" t="s">
        <v>1</v>
      </c>
      <c r="F3" s="2"/>
      <c r="G3" s="434" t="s">
        <v>2</v>
      </c>
      <c r="H3" s="434"/>
      <c r="I3" s="434"/>
      <c r="J3" s="434"/>
      <c r="K3" s="434"/>
    </row>
    <row r="4" spans="1:21" x14ac:dyDescent="0.3">
      <c r="A4" s="549" t="s">
        <v>3</v>
      </c>
      <c r="B4" s="550" t="s">
        <v>4</v>
      </c>
      <c r="C4" s="544"/>
      <c r="D4" s="551" t="s">
        <v>5</v>
      </c>
      <c r="E4" s="552"/>
      <c r="F4" s="2"/>
      <c r="G4" s="434" t="s">
        <v>6</v>
      </c>
      <c r="H4" s="3" t="s">
        <v>7</v>
      </c>
      <c r="I4" s="3" t="s">
        <v>8</v>
      </c>
      <c r="J4" s="3" t="s">
        <v>9</v>
      </c>
      <c r="K4" s="3" t="s">
        <v>10</v>
      </c>
    </row>
    <row r="5" spans="1:21" x14ac:dyDescent="0.3">
      <c r="A5" s="536"/>
      <c r="B5" s="3" t="s">
        <v>11</v>
      </c>
      <c r="C5" s="3" t="s">
        <v>12</v>
      </c>
      <c r="D5" s="553"/>
      <c r="E5" s="554"/>
      <c r="G5" s="434"/>
      <c r="H5" s="4"/>
      <c r="I5" s="4">
        <v>100000</v>
      </c>
      <c r="J5" s="4">
        <v>50000</v>
      </c>
      <c r="K5" s="4">
        <v>200000</v>
      </c>
    </row>
    <row r="6" spans="1:21" x14ac:dyDescent="0.3">
      <c r="A6" s="3" t="s">
        <v>13</v>
      </c>
      <c r="B6" s="4"/>
      <c r="C6" s="4">
        <f>B6/30</f>
        <v>0</v>
      </c>
      <c r="D6" s="3" t="s">
        <v>14</v>
      </c>
      <c r="E6" s="4">
        <v>113.75349334025471</v>
      </c>
    </row>
    <row r="7" spans="1:21" x14ac:dyDescent="0.3">
      <c r="A7" s="3" t="s">
        <v>15</v>
      </c>
      <c r="B7" s="4"/>
      <c r="C7" s="4">
        <f>B7/30</f>
        <v>0</v>
      </c>
      <c r="D7" s="3" t="s">
        <v>16</v>
      </c>
      <c r="E7" s="4">
        <v>104.86652557706562</v>
      </c>
      <c r="G7" s="5" t="s">
        <v>17</v>
      </c>
      <c r="H7" s="6" t="s">
        <v>18</v>
      </c>
      <c r="I7" s="6" t="s">
        <v>19</v>
      </c>
      <c r="J7" s="7" t="s">
        <v>20</v>
      </c>
      <c r="K7" s="7" t="s">
        <v>21</v>
      </c>
    </row>
    <row r="8" spans="1:21" x14ac:dyDescent="0.3">
      <c r="A8" s="3" t="s">
        <v>22</v>
      </c>
      <c r="B8" s="4"/>
      <c r="C8" s="4">
        <f>B8/30</f>
        <v>0</v>
      </c>
      <c r="D8" s="3" t="s">
        <v>23</v>
      </c>
      <c r="E8" s="4">
        <f>E6-E7</f>
        <v>8.8869677631890909</v>
      </c>
      <c r="G8" s="535">
        <v>11</v>
      </c>
      <c r="H8" s="5" t="s">
        <v>24</v>
      </c>
      <c r="I8" s="8">
        <f>B10/28*G8</f>
        <v>157414.32142857142</v>
      </c>
      <c r="J8" s="9">
        <f>U48</f>
        <v>17906428.571428575</v>
      </c>
      <c r="K8" s="8">
        <f>J8/I8</f>
        <v>113.75349084456604</v>
      </c>
      <c r="L8" s="10"/>
      <c r="M8" s="10"/>
    </row>
    <row r="9" spans="1:21" x14ac:dyDescent="0.3">
      <c r="A9" s="3" t="s">
        <v>25</v>
      </c>
      <c r="B9" s="4"/>
      <c r="C9" s="4">
        <f>B9/30</f>
        <v>0</v>
      </c>
      <c r="D9" s="3" t="s">
        <v>26</v>
      </c>
      <c r="E9" s="4">
        <v>5.41564447417087</v>
      </c>
      <c r="G9" s="545"/>
      <c r="H9" s="5" t="s">
        <v>27</v>
      </c>
      <c r="I9" s="8">
        <f>J48</f>
        <v>84912.25999999902</v>
      </c>
      <c r="J9" s="9">
        <f>T48+J12</f>
        <v>11139087.215001116</v>
      </c>
      <c r="K9" s="8">
        <f>J9/I9</f>
        <v>131.18349711809867</v>
      </c>
      <c r="L9" s="10"/>
      <c r="M9" s="10"/>
    </row>
    <row r="10" spans="1:21" x14ac:dyDescent="0.3">
      <c r="A10" s="3" t="s">
        <v>28</v>
      </c>
      <c r="B10" s="4">
        <v>400691</v>
      </c>
      <c r="C10" s="4">
        <f>B10/28</f>
        <v>14310.392857142857</v>
      </c>
      <c r="D10" s="3" t="s">
        <v>29</v>
      </c>
      <c r="E10" s="4">
        <f>E7-E9</f>
        <v>99.450881102894741</v>
      </c>
      <c r="G10" s="545"/>
      <c r="H10" s="5" t="s">
        <v>30</v>
      </c>
      <c r="I10" s="8">
        <f>I9-I8</f>
        <v>-72502.0614285724</v>
      </c>
      <c r="J10" s="9">
        <f>J9-J8</f>
        <v>-6767341.356427459</v>
      </c>
      <c r="K10" s="8">
        <f>K9-K8</f>
        <v>17.430006273532626</v>
      </c>
      <c r="L10" s="10"/>
      <c r="M10" s="11"/>
      <c r="N10" s="11"/>
      <c r="S10" s="12"/>
    </row>
    <row r="11" spans="1:21" x14ac:dyDescent="0.3">
      <c r="A11" s="13" t="s">
        <v>31</v>
      </c>
      <c r="B11" s="4">
        <v>2170000</v>
      </c>
      <c r="G11" s="545"/>
      <c r="H11" s="547" t="s">
        <v>32</v>
      </c>
      <c r="I11" s="14" t="s">
        <v>33</v>
      </c>
      <c r="J11" s="9">
        <f>B11/28*G8</f>
        <v>852500</v>
      </c>
      <c r="K11" s="8"/>
      <c r="L11" s="10"/>
      <c r="M11" s="11"/>
      <c r="N11" s="11"/>
      <c r="S11" s="12"/>
    </row>
    <row r="12" spans="1:21" x14ac:dyDescent="0.3">
      <c r="A12" s="15"/>
      <c r="B12" s="16"/>
      <c r="G12" s="546"/>
      <c r="H12" s="548"/>
      <c r="I12" s="14" t="s">
        <v>34</v>
      </c>
      <c r="J12" s="9">
        <v>1106000</v>
      </c>
      <c r="K12" s="8"/>
      <c r="L12" s="10"/>
      <c r="M12" s="11"/>
      <c r="N12" s="11"/>
      <c r="S12" s="12"/>
    </row>
    <row r="13" spans="1:21" x14ac:dyDescent="0.3">
      <c r="A13" s="17" t="s">
        <v>35</v>
      </c>
      <c r="G13" s="540" t="s">
        <v>36</v>
      </c>
      <c r="H13" s="18" t="s">
        <v>37</v>
      </c>
      <c r="I13" s="19">
        <v>15225</v>
      </c>
      <c r="J13" s="20"/>
      <c r="K13" s="21"/>
      <c r="L13" s="10"/>
      <c r="M13" s="11"/>
      <c r="Q13" s="12"/>
    </row>
    <row r="14" spans="1:21" x14ac:dyDescent="0.3">
      <c r="G14" s="541"/>
      <c r="H14" s="18" t="s">
        <v>38</v>
      </c>
      <c r="I14" s="19">
        <v>109515</v>
      </c>
      <c r="U14" s="22" t="s">
        <v>39</v>
      </c>
    </row>
    <row r="15" spans="1:21" x14ac:dyDescent="0.3">
      <c r="A15" s="445" t="s">
        <v>40</v>
      </c>
      <c r="B15" s="445" t="s">
        <v>41</v>
      </c>
      <c r="C15" s="445" t="s">
        <v>42</v>
      </c>
      <c r="D15" s="445"/>
      <c r="E15" s="445"/>
      <c r="F15" s="445"/>
      <c r="G15" s="542" t="s">
        <v>43</v>
      </c>
      <c r="H15" s="543"/>
      <c r="I15" s="543"/>
      <c r="J15" s="544"/>
      <c r="K15" s="542" t="s">
        <v>44</v>
      </c>
      <c r="L15" s="543"/>
      <c r="M15" s="544"/>
      <c r="N15" s="445" t="s">
        <v>45</v>
      </c>
      <c r="O15" s="445"/>
      <c r="P15" s="445"/>
      <c r="Q15" s="535" t="s">
        <v>46</v>
      </c>
      <c r="R15" s="535" t="s">
        <v>47</v>
      </c>
      <c r="S15" s="434" t="s">
        <v>21</v>
      </c>
      <c r="T15" s="537" t="s">
        <v>48</v>
      </c>
      <c r="U15" s="539" t="s">
        <v>49</v>
      </c>
    </row>
    <row r="16" spans="1:21" x14ac:dyDescent="0.3">
      <c r="A16" s="445"/>
      <c r="B16" s="445"/>
      <c r="C16" s="23" t="s">
        <v>37</v>
      </c>
      <c r="D16" s="24" t="s">
        <v>38</v>
      </c>
      <c r="E16" s="24" t="s">
        <v>50</v>
      </c>
      <c r="F16" s="24" t="s">
        <v>51</v>
      </c>
      <c r="G16" s="23" t="s">
        <v>37</v>
      </c>
      <c r="H16" s="24" t="s">
        <v>38</v>
      </c>
      <c r="I16" s="24" t="s">
        <v>50</v>
      </c>
      <c r="J16" s="24" t="s">
        <v>51</v>
      </c>
      <c r="K16" s="23" t="s">
        <v>37</v>
      </c>
      <c r="L16" s="24" t="s">
        <v>38</v>
      </c>
      <c r="M16" s="24" t="s">
        <v>50</v>
      </c>
      <c r="N16" s="23" t="s">
        <v>37</v>
      </c>
      <c r="O16" s="24" t="s">
        <v>38</v>
      </c>
      <c r="P16" s="24" t="s">
        <v>50</v>
      </c>
      <c r="Q16" s="536"/>
      <c r="R16" s="536"/>
      <c r="S16" s="434"/>
      <c r="T16" s="538"/>
      <c r="U16" s="536"/>
    </row>
    <row r="17" spans="1:21" x14ac:dyDescent="0.3">
      <c r="A17" s="25">
        <v>43497</v>
      </c>
      <c r="B17" s="24" t="s">
        <v>52</v>
      </c>
      <c r="C17" s="26">
        <v>10075</v>
      </c>
      <c r="D17" s="26">
        <v>43899</v>
      </c>
      <c r="E17" s="26">
        <v>5710</v>
      </c>
      <c r="F17" s="5">
        <f t="shared" ref="F17:F47" si="0">SUM(C17:E17)</f>
        <v>59684</v>
      </c>
      <c r="G17" s="26">
        <v>2294.0699999998324</v>
      </c>
      <c r="H17" s="26">
        <v>11692.279999999329</v>
      </c>
      <c r="I17" s="26">
        <v>741.01000000000931</v>
      </c>
      <c r="J17" s="5">
        <f>SUM(G17:I17)</f>
        <v>14727.359999999171</v>
      </c>
      <c r="K17" s="26">
        <v>1228.5</v>
      </c>
      <c r="L17" s="26">
        <v>1128.5</v>
      </c>
      <c r="M17" s="26">
        <v>733.5</v>
      </c>
      <c r="N17" s="26">
        <v>1385</v>
      </c>
      <c r="O17" s="26">
        <v>1288</v>
      </c>
      <c r="P17" s="26">
        <v>990</v>
      </c>
      <c r="Q17" s="26">
        <v>18360672</v>
      </c>
      <c r="R17" s="5">
        <f>K17*G17+L17*H17+M17*I17</f>
        <v>16556533.809999045</v>
      </c>
      <c r="S17" s="27">
        <f>T17/J17</f>
        <v>122.50248449152167</v>
      </c>
      <c r="T17" s="28">
        <f>Q17-R17</f>
        <v>1804138.190000955</v>
      </c>
      <c r="U17" s="5">
        <f>45580000/28</f>
        <v>1627857.142857143</v>
      </c>
    </row>
    <row r="18" spans="1:21" x14ac:dyDescent="0.3">
      <c r="A18" s="25">
        <v>43498</v>
      </c>
      <c r="B18" s="24" t="s">
        <v>53</v>
      </c>
      <c r="C18" s="26">
        <v>8791</v>
      </c>
      <c r="D18" s="26">
        <v>36866</v>
      </c>
      <c r="E18" s="26">
        <v>5671</v>
      </c>
      <c r="F18" s="5">
        <f t="shared" si="0"/>
        <v>51328</v>
      </c>
      <c r="G18" s="26">
        <v>1286.2900000005029</v>
      </c>
      <c r="H18" s="26">
        <v>7050.0400000009686</v>
      </c>
      <c r="I18" s="26">
        <v>48.659999999974389</v>
      </c>
      <c r="J18" s="5">
        <f t="shared" ref="J18:J47" si="1">SUM(G18:I18)</f>
        <v>8384.9900000014459</v>
      </c>
      <c r="K18" s="26">
        <v>1228.5</v>
      </c>
      <c r="L18" s="26">
        <v>1128.5</v>
      </c>
      <c r="M18" s="26">
        <v>733.5</v>
      </c>
      <c r="N18" s="26">
        <v>1385</v>
      </c>
      <c r="O18" s="26">
        <v>1288</v>
      </c>
      <c r="P18" s="26">
        <v>990</v>
      </c>
      <c r="Q18" s="26">
        <v>10580712</v>
      </c>
      <c r="R18" s="5">
        <f t="shared" ref="R18:R47" si="2">K18*G18+L18*H18+M18*I18</f>
        <v>9571869.5150016919</v>
      </c>
      <c r="S18" s="27">
        <f t="shared" ref="S18:S27" si="3">T18/J18</f>
        <v>120.3152877937999</v>
      </c>
      <c r="T18" s="28">
        <f t="shared" ref="T18:T47" si="4">Q18-R18</f>
        <v>1008842.4849983081</v>
      </c>
      <c r="U18" s="5">
        <f t="shared" ref="U18:U27" si="5">45580000/28</f>
        <v>1627857.142857143</v>
      </c>
    </row>
    <row r="19" spans="1:21" x14ac:dyDescent="0.3">
      <c r="A19" s="25">
        <v>43499</v>
      </c>
      <c r="B19" s="24" t="s">
        <v>54</v>
      </c>
      <c r="C19" s="26">
        <v>8390</v>
      </c>
      <c r="D19" s="26">
        <v>34728</v>
      </c>
      <c r="E19" s="26">
        <v>5671</v>
      </c>
      <c r="F19" s="5">
        <f t="shared" si="0"/>
        <v>48789</v>
      </c>
      <c r="G19" s="26">
        <v>393.87999999942258</v>
      </c>
      <c r="H19" s="26">
        <v>2172.269999999553</v>
      </c>
      <c r="I19" s="26">
        <v>0</v>
      </c>
      <c r="J19" s="5">
        <f t="shared" si="1"/>
        <v>2566.1499999989755</v>
      </c>
      <c r="K19" s="26">
        <v>1228.5</v>
      </c>
      <c r="L19" s="26">
        <v>1128.5</v>
      </c>
      <c r="M19" s="26">
        <v>733.5</v>
      </c>
      <c r="N19" s="26">
        <v>1385</v>
      </c>
      <c r="O19" s="26">
        <v>1288</v>
      </c>
      <c r="P19" s="26">
        <v>990</v>
      </c>
      <c r="Q19" s="26">
        <v>3233627</v>
      </c>
      <c r="R19" s="5">
        <f t="shared" si="2"/>
        <v>2935288.2749987859</v>
      </c>
      <c r="S19" s="27">
        <f t="shared" si="3"/>
        <v>116.2592697236456</v>
      </c>
      <c r="T19" s="28">
        <f t="shared" si="4"/>
        <v>298338.72500121407</v>
      </c>
      <c r="U19" s="5">
        <f t="shared" si="5"/>
        <v>1627857.142857143</v>
      </c>
    </row>
    <row r="20" spans="1:21" x14ac:dyDescent="0.3">
      <c r="A20" s="25">
        <v>43500</v>
      </c>
      <c r="B20" s="24" t="s">
        <v>55</v>
      </c>
      <c r="C20" s="26">
        <v>8026</v>
      </c>
      <c r="D20" s="26">
        <v>32261</v>
      </c>
      <c r="E20" s="26">
        <v>5641</v>
      </c>
      <c r="F20" s="5">
        <f t="shared" si="0"/>
        <v>45928</v>
      </c>
      <c r="G20" s="26">
        <v>360.09000000031665</v>
      </c>
      <c r="H20" s="26">
        <v>2511.4000000003725</v>
      </c>
      <c r="I20" s="26">
        <v>20.200000000011642</v>
      </c>
      <c r="J20" s="5">
        <f t="shared" si="1"/>
        <v>2891.6900000007008</v>
      </c>
      <c r="K20" s="26">
        <v>1228.5</v>
      </c>
      <c r="L20" s="26">
        <v>1128.5</v>
      </c>
      <c r="M20" s="26">
        <v>733.5</v>
      </c>
      <c r="N20" s="26">
        <v>1385</v>
      </c>
      <c r="O20" s="26">
        <v>1288</v>
      </c>
      <c r="P20" s="26">
        <v>990</v>
      </c>
      <c r="Q20" s="26">
        <v>3611058</v>
      </c>
      <c r="R20" s="5">
        <f t="shared" si="2"/>
        <v>3291302.1650008177</v>
      </c>
      <c r="S20" s="27">
        <f t="shared" si="3"/>
        <v>110.57749447523931</v>
      </c>
      <c r="T20" s="28">
        <f t="shared" si="4"/>
        <v>319755.83499918226</v>
      </c>
      <c r="U20" s="5">
        <f t="shared" si="5"/>
        <v>1627857.142857143</v>
      </c>
    </row>
    <row r="21" spans="1:21" x14ac:dyDescent="0.3">
      <c r="A21" s="25">
        <v>43501</v>
      </c>
      <c r="B21" s="24" t="s">
        <v>56</v>
      </c>
      <c r="C21" s="26">
        <v>7436</v>
      </c>
      <c r="D21" s="26">
        <v>31746</v>
      </c>
      <c r="E21" s="26">
        <v>0</v>
      </c>
      <c r="F21" s="5">
        <f t="shared" si="0"/>
        <v>39182</v>
      </c>
      <c r="G21" s="26">
        <v>597.22999999998137</v>
      </c>
      <c r="H21" s="26">
        <v>511.29000000096858</v>
      </c>
      <c r="I21" s="26">
        <v>0</v>
      </c>
      <c r="J21" s="5">
        <f t="shared" si="1"/>
        <v>1108.5200000009499</v>
      </c>
      <c r="K21" s="26">
        <v>1228.5</v>
      </c>
      <c r="L21" s="26">
        <v>1128.5</v>
      </c>
      <c r="M21" s="26">
        <v>733.5</v>
      </c>
      <c r="N21" s="26">
        <v>1385</v>
      </c>
      <c r="O21" s="26">
        <v>1288</v>
      </c>
      <c r="P21" s="26">
        <v>990</v>
      </c>
      <c r="Q21" s="26">
        <v>1460330</v>
      </c>
      <c r="R21" s="5">
        <f t="shared" si="2"/>
        <v>1310687.8200010702</v>
      </c>
      <c r="S21" s="27">
        <f t="shared" si="3"/>
        <v>134.99276512719808</v>
      </c>
      <c r="T21" s="28">
        <f t="shared" si="4"/>
        <v>149642.17999892985</v>
      </c>
      <c r="U21" s="5">
        <f t="shared" si="5"/>
        <v>1627857.142857143</v>
      </c>
    </row>
    <row r="22" spans="1:21" x14ac:dyDescent="0.3">
      <c r="A22" s="25">
        <v>43502</v>
      </c>
      <c r="B22" s="24" t="s">
        <v>57</v>
      </c>
      <c r="C22" s="26">
        <v>7046</v>
      </c>
      <c r="D22" s="26">
        <v>29633</v>
      </c>
      <c r="E22" s="26">
        <v>5646</v>
      </c>
      <c r="F22" s="5">
        <f t="shared" si="0"/>
        <v>42325</v>
      </c>
      <c r="G22" s="26">
        <v>398.92999999970198</v>
      </c>
      <c r="H22" s="26">
        <v>2127.1499999985099</v>
      </c>
      <c r="I22" s="26">
        <v>0</v>
      </c>
      <c r="J22" s="5">
        <f t="shared" si="1"/>
        <v>2526.0799999982119</v>
      </c>
      <c r="K22" s="26">
        <v>1228.5</v>
      </c>
      <c r="L22" s="26">
        <v>1128.5</v>
      </c>
      <c r="M22" s="26">
        <v>733.5</v>
      </c>
      <c r="N22" s="26">
        <v>1385</v>
      </c>
      <c r="O22" s="26">
        <v>1288</v>
      </c>
      <c r="P22" s="26">
        <v>990</v>
      </c>
      <c r="Q22" s="26">
        <v>3182398</v>
      </c>
      <c r="R22" s="5">
        <f t="shared" si="2"/>
        <v>2890574.2799979523</v>
      </c>
      <c r="S22" s="27">
        <f t="shared" si="3"/>
        <v>115.52433810578219</v>
      </c>
      <c r="T22" s="28">
        <f t="shared" si="4"/>
        <v>291823.72000204772</v>
      </c>
      <c r="U22" s="5">
        <f t="shared" si="5"/>
        <v>1627857.142857143</v>
      </c>
    </row>
    <row r="23" spans="1:21" x14ac:dyDescent="0.3">
      <c r="A23" s="25">
        <v>43503</v>
      </c>
      <c r="B23" s="24" t="s">
        <v>58</v>
      </c>
      <c r="C23" s="26">
        <v>5882</v>
      </c>
      <c r="D23" s="26">
        <v>22034</v>
      </c>
      <c r="E23" s="26">
        <v>5263</v>
      </c>
      <c r="F23" s="5">
        <f t="shared" si="0"/>
        <v>33179</v>
      </c>
      <c r="G23" s="26">
        <v>1151.0000000004657</v>
      </c>
      <c r="H23" s="26">
        <v>7589.9500000011176</v>
      </c>
      <c r="I23" s="26">
        <v>382.8300000000163</v>
      </c>
      <c r="J23" s="5">
        <f t="shared" si="1"/>
        <v>9123.7800000015995</v>
      </c>
      <c r="K23" s="26">
        <v>1228.5</v>
      </c>
      <c r="L23" s="26">
        <v>1128.5</v>
      </c>
      <c r="M23" s="26">
        <v>733.5</v>
      </c>
      <c r="N23" s="26">
        <v>1385</v>
      </c>
      <c r="O23" s="26">
        <v>1288</v>
      </c>
      <c r="P23" s="26">
        <v>990</v>
      </c>
      <c r="Q23" s="26">
        <v>11377356</v>
      </c>
      <c r="R23" s="5">
        <f t="shared" si="2"/>
        <v>10260067.880001847</v>
      </c>
      <c r="S23" s="27">
        <f t="shared" si="3"/>
        <v>122.45890628642486</v>
      </c>
      <c r="T23" s="28">
        <f t="shared" si="4"/>
        <v>1117288.1199981533</v>
      </c>
      <c r="U23" s="5">
        <f t="shared" si="5"/>
        <v>1627857.142857143</v>
      </c>
    </row>
    <row r="24" spans="1:21" x14ac:dyDescent="0.3">
      <c r="A24" s="25">
        <v>43504</v>
      </c>
      <c r="B24" s="24" t="s">
        <v>59</v>
      </c>
      <c r="C24" s="26">
        <v>12315</v>
      </c>
      <c r="D24" s="26">
        <v>50907</v>
      </c>
      <c r="E24" s="26">
        <v>4812</v>
      </c>
      <c r="F24" s="5">
        <f t="shared" si="0"/>
        <v>68034</v>
      </c>
      <c r="G24" s="26">
        <v>1692.6700000008568</v>
      </c>
      <c r="H24" s="26">
        <v>10911.809999998659</v>
      </c>
      <c r="I24" s="26">
        <v>464.40999999997439</v>
      </c>
      <c r="J24" s="5">
        <f t="shared" si="1"/>
        <v>13068.88999999949</v>
      </c>
      <c r="K24" s="26">
        <v>1228.5</v>
      </c>
      <c r="L24" s="26">
        <v>1128.5</v>
      </c>
      <c r="M24" s="26">
        <v>733.5</v>
      </c>
      <c r="N24" s="26">
        <v>1385</v>
      </c>
      <c r="O24" s="26">
        <v>1288</v>
      </c>
      <c r="P24" s="26">
        <v>990</v>
      </c>
      <c r="Q24" s="26">
        <v>16364954</v>
      </c>
      <c r="R24" s="5">
        <f t="shared" si="2"/>
        <v>14734067.41499952</v>
      </c>
      <c r="S24" s="27">
        <f t="shared" si="3"/>
        <v>124.79151519375733</v>
      </c>
      <c r="T24" s="28">
        <f t="shared" si="4"/>
        <v>1630886.5850004796</v>
      </c>
      <c r="U24" s="5">
        <f t="shared" si="5"/>
        <v>1627857.142857143</v>
      </c>
    </row>
    <row r="25" spans="1:21" x14ac:dyDescent="0.3">
      <c r="A25" s="25">
        <v>43505</v>
      </c>
      <c r="B25" s="24" t="s">
        <v>53</v>
      </c>
      <c r="C25" s="26">
        <v>12380</v>
      </c>
      <c r="D25" s="26">
        <v>42611</v>
      </c>
      <c r="E25" s="26">
        <v>4755</v>
      </c>
      <c r="F25" s="5">
        <f t="shared" si="0"/>
        <v>59746</v>
      </c>
      <c r="G25" s="26">
        <v>958.22999999951571</v>
      </c>
      <c r="H25" s="26">
        <v>8377.5100000016391</v>
      </c>
      <c r="I25" s="26">
        <v>44.440000000002328</v>
      </c>
      <c r="J25" s="5">
        <f t="shared" si="1"/>
        <v>9380.1800000011572</v>
      </c>
      <c r="K25" s="26">
        <v>1228.5</v>
      </c>
      <c r="L25" s="26">
        <v>1131</v>
      </c>
      <c r="M25" s="26">
        <v>733.5</v>
      </c>
      <c r="N25" s="26">
        <v>1385</v>
      </c>
      <c r="O25" s="26">
        <v>1288</v>
      </c>
      <c r="P25" s="26">
        <v>990</v>
      </c>
      <c r="Q25" s="26">
        <v>11732656</v>
      </c>
      <c r="R25" s="5">
        <f t="shared" si="2"/>
        <v>10684746.105001261</v>
      </c>
      <c r="S25" s="27">
        <f t="shared" si="3"/>
        <v>111.71532902338861</v>
      </c>
      <c r="T25" s="28">
        <f t="shared" si="4"/>
        <v>1047909.8949987385</v>
      </c>
      <c r="U25" s="5">
        <f t="shared" si="5"/>
        <v>1627857.142857143</v>
      </c>
    </row>
    <row r="26" spans="1:21" x14ac:dyDescent="0.3">
      <c r="A26" s="25">
        <v>43506</v>
      </c>
      <c r="B26" s="24" t="s">
        <v>54</v>
      </c>
      <c r="C26" s="26">
        <v>10703</v>
      </c>
      <c r="D26" s="26">
        <v>36664</v>
      </c>
      <c r="E26" s="26">
        <v>4755</v>
      </c>
      <c r="F26" s="5">
        <f t="shared" si="0"/>
        <v>52122</v>
      </c>
      <c r="G26" s="26">
        <v>655.76999999955297</v>
      </c>
      <c r="H26" s="26">
        <v>6015.9999999981374</v>
      </c>
      <c r="I26" s="26">
        <v>0</v>
      </c>
      <c r="J26" s="5">
        <f t="shared" si="1"/>
        <v>6671.7699999976903</v>
      </c>
      <c r="K26" s="26">
        <v>1228.5</v>
      </c>
      <c r="L26" s="26">
        <v>1131</v>
      </c>
      <c r="M26" s="26">
        <v>733.5</v>
      </c>
      <c r="N26" s="26">
        <v>1385</v>
      </c>
      <c r="O26" s="26">
        <v>1288</v>
      </c>
      <c r="P26" s="26">
        <v>990</v>
      </c>
      <c r="Q26" s="26">
        <v>8431888</v>
      </c>
      <c r="R26" s="5">
        <f t="shared" si="2"/>
        <v>7609709.4449973442</v>
      </c>
      <c r="S26" s="27">
        <f t="shared" si="3"/>
        <v>123.23244881087635</v>
      </c>
      <c r="T26" s="28">
        <f>Q26-R26</f>
        <v>822178.55500265583</v>
      </c>
      <c r="U26" s="5">
        <f t="shared" si="5"/>
        <v>1627857.142857143</v>
      </c>
    </row>
    <row r="27" spans="1:21" x14ac:dyDescent="0.3">
      <c r="A27" s="25">
        <v>43507</v>
      </c>
      <c r="B27" s="24" t="s">
        <v>55</v>
      </c>
      <c r="C27" s="26">
        <v>8803</v>
      </c>
      <c r="D27" s="26">
        <v>24195</v>
      </c>
      <c r="E27" s="26">
        <v>4755</v>
      </c>
      <c r="F27" s="5">
        <f t="shared" si="0"/>
        <v>37753</v>
      </c>
      <c r="G27" s="26">
        <v>1899.2599999997765</v>
      </c>
      <c r="H27" s="26">
        <v>12563.589999999851</v>
      </c>
      <c r="I27" s="26">
        <v>0</v>
      </c>
      <c r="J27" s="5">
        <f t="shared" si="1"/>
        <v>14462.849999999627</v>
      </c>
      <c r="K27" s="26">
        <f>1265-19</f>
        <v>1246</v>
      </c>
      <c r="L27" s="26">
        <f>1167.5-19</f>
        <v>1148.5</v>
      </c>
      <c r="M27" s="26">
        <v>733.5</v>
      </c>
      <c r="N27" s="26">
        <v>1385</v>
      </c>
      <c r="O27" s="26">
        <v>1288</v>
      </c>
      <c r="P27" s="26">
        <v>990</v>
      </c>
      <c r="Q27" s="26">
        <v>18338044</v>
      </c>
      <c r="R27" s="5">
        <f t="shared" si="2"/>
        <v>16795761.074999548</v>
      </c>
      <c r="S27" s="27">
        <f t="shared" si="3"/>
        <v>106.63755241881726</v>
      </c>
      <c r="T27" s="28">
        <f t="shared" si="4"/>
        <v>1542282.9250004515</v>
      </c>
      <c r="U27" s="5">
        <f t="shared" si="5"/>
        <v>1627857.142857143</v>
      </c>
    </row>
    <row r="28" spans="1:21" x14ac:dyDescent="0.3">
      <c r="A28" s="25">
        <v>43508</v>
      </c>
      <c r="B28" s="24" t="s">
        <v>56</v>
      </c>
      <c r="C28" s="26"/>
      <c r="D28" s="26"/>
      <c r="E28" s="26"/>
      <c r="F28" s="5">
        <f t="shared" si="0"/>
        <v>0</v>
      </c>
      <c r="G28" s="26"/>
      <c r="H28" s="26"/>
      <c r="I28" s="26"/>
      <c r="J28" s="5">
        <f t="shared" si="1"/>
        <v>0</v>
      </c>
      <c r="K28" s="26"/>
      <c r="L28" s="26"/>
      <c r="M28" s="26"/>
      <c r="N28" s="26"/>
      <c r="O28" s="26"/>
      <c r="P28" s="26"/>
      <c r="Q28" s="26"/>
      <c r="R28" s="5">
        <f t="shared" si="2"/>
        <v>0</v>
      </c>
      <c r="S28" s="27"/>
      <c r="T28" s="28">
        <f t="shared" si="4"/>
        <v>0</v>
      </c>
      <c r="U28" s="5"/>
    </row>
    <row r="29" spans="1:21" x14ac:dyDescent="0.3">
      <c r="A29" s="25">
        <v>43509</v>
      </c>
      <c r="B29" s="24" t="s">
        <v>57</v>
      </c>
      <c r="C29" s="26"/>
      <c r="D29" s="26"/>
      <c r="E29" s="26"/>
      <c r="F29" s="5">
        <f t="shared" si="0"/>
        <v>0</v>
      </c>
      <c r="G29" s="26"/>
      <c r="H29" s="26"/>
      <c r="I29" s="26"/>
      <c r="J29" s="5">
        <f t="shared" si="1"/>
        <v>0</v>
      </c>
      <c r="K29" s="26"/>
      <c r="L29" s="26"/>
      <c r="M29" s="26"/>
      <c r="N29" s="26"/>
      <c r="O29" s="26"/>
      <c r="P29" s="26"/>
      <c r="Q29" s="26"/>
      <c r="R29" s="5">
        <f t="shared" si="2"/>
        <v>0</v>
      </c>
      <c r="S29" s="27"/>
      <c r="T29" s="28">
        <f t="shared" si="4"/>
        <v>0</v>
      </c>
      <c r="U29" s="5"/>
    </row>
    <row r="30" spans="1:21" x14ac:dyDescent="0.3">
      <c r="A30" s="25">
        <v>43510</v>
      </c>
      <c r="B30" s="24" t="s">
        <v>58</v>
      </c>
      <c r="C30" s="26"/>
      <c r="D30" s="26"/>
      <c r="E30" s="26"/>
      <c r="F30" s="5">
        <f t="shared" si="0"/>
        <v>0</v>
      </c>
      <c r="G30" s="26"/>
      <c r="H30" s="26"/>
      <c r="I30" s="26"/>
      <c r="J30" s="5">
        <f t="shared" si="1"/>
        <v>0</v>
      </c>
      <c r="K30" s="26"/>
      <c r="L30" s="26"/>
      <c r="M30" s="26"/>
      <c r="N30" s="26"/>
      <c r="O30" s="26"/>
      <c r="P30" s="26"/>
      <c r="Q30" s="26"/>
      <c r="R30" s="5">
        <f t="shared" si="2"/>
        <v>0</v>
      </c>
      <c r="S30" s="27"/>
      <c r="T30" s="28">
        <f t="shared" si="4"/>
        <v>0</v>
      </c>
      <c r="U30" s="5"/>
    </row>
    <row r="31" spans="1:21" x14ac:dyDescent="0.3">
      <c r="A31" s="25">
        <v>43511</v>
      </c>
      <c r="B31" s="24" t="s">
        <v>59</v>
      </c>
      <c r="C31" s="26"/>
      <c r="D31" s="26"/>
      <c r="E31" s="26"/>
      <c r="F31" s="5">
        <f>SUM(C31:E31)</f>
        <v>0</v>
      </c>
      <c r="G31" s="26"/>
      <c r="H31" s="26"/>
      <c r="I31" s="26"/>
      <c r="J31" s="5">
        <f t="shared" si="1"/>
        <v>0</v>
      </c>
      <c r="K31" s="26"/>
      <c r="L31" s="26"/>
      <c r="M31" s="26"/>
      <c r="N31" s="26"/>
      <c r="O31" s="26"/>
      <c r="P31" s="26"/>
      <c r="Q31" s="26"/>
      <c r="R31" s="5">
        <f t="shared" si="2"/>
        <v>0</v>
      </c>
      <c r="S31" s="27"/>
      <c r="T31" s="28">
        <f t="shared" si="4"/>
        <v>0</v>
      </c>
      <c r="U31" s="5"/>
    </row>
    <row r="32" spans="1:21" x14ac:dyDescent="0.3">
      <c r="A32" s="25">
        <v>43512</v>
      </c>
      <c r="B32" s="24" t="s">
        <v>53</v>
      </c>
      <c r="C32" s="26"/>
      <c r="D32" s="26"/>
      <c r="E32" s="26"/>
      <c r="F32" s="5">
        <f t="shared" si="0"/>
        <v>0</v>
      </c>
      <c r="G32" s="26"/>
      <c r="H32" s="26"/>
      <c r="I32" s="26"/>
      <c r="J32" s="5">
        <f t="shared" si="1"/>
        <v>0</v>
      </c>
      <c r="K32" s="26"/>
      <c r="L32" s="26"/>
      <c r="M32" s="26"/>
      <c r="N32" s="26"/>
      <c r="O32" s="26"/>
      <c r="P32" s="26"/>
      <c r="Q32" s="26"/>
      <c r="R32" s="5">
        <f t="shared" si="2"/>
        <v>0</v>
      </c>
      <c r="S32" s="27"/>
      <c r="T32" s="28">
        <f t="shared" si="4"/>
        <v>0</v>
      </c>
      <c r="U32" s="5"/>
    </row>
    <row r="33" spans="1:22" x14ac:dyDescent="0.3">
      <c r="A33" s="25">
        <v>43513</v>
      </c>
      <c r="B33" s="24" t="s">
        <v>54</v>
      </c>
      <c r="C33" s="26"/>
      <c r="D33" s="26"/>
      <c r="E33" s="26"/>
      <c r="F33" s="5">
        <f t="shared" si="0"/>
        <v>0</v>
      </c>
      <c r="G33" s="26"/>
      <c r="H33" s="26"/>
      <c r="I33" s="26"/>
      <c r="J33" s="5">
        <f t="shared" si="1"/>
        <v>0</v>
      </c>
      <c r="K33" s="26"/>
      <c r="L33" s="26"/>
      <c r="M33" s="26"/>
      <c r="N33" s="26"/>
      <c r="O33" s="26"/>
      <c r="P33" s="26"/>
      <c r="Q33" s="26"/>
      <c r="R33" s="5">
        <f t="shared" si="2"/>
        <v>0</v>
      </c>
      <c r="S33" s="27"/>
      <c r="T33" s="28">
        <f t="shared" si="4"/>
        <v>0</v>
      </c>
      <c r="U33" s="5"/>
    </row>
    <row r="34" spans="1:22" x14ac:dyDescent="0.3">
      <c r="A34" s="25">
        <v>43514</v>
      </c>
      <c r="B34" s="24" t="s">
        <v>55</v>
      </c>
      <c r="C34" s="26"/>
      <c r="D34" s="26"/>
      <c r="E34" s="26"/>
      <c r="F34" s="5">
        <f t="shared" si="0"/>
        <v>0</v>
      </c>
      <c r="G34" s="26"/>
      <c r="H34" s="26"/>
      <c r="I34" s="26"/>
      <c r="J34" s="5">
        <f t="shared" si="1"/>
        <v>0</v>
      </c>
      <c r="K34" s="26"/>
      <c r="L34" s="26"/>
      <c r="M34" s="26"/>
      <c r="N34" s="26"/>
      <c r="O34" s="26"/>
      <c r="P34" s="26"/>
      <c r="Q34" s="26"/>
      <c r="R34" s="5">
        <f t="shared" si="2"/>
        <v>0</v>
      </c>
      <c r="S34" s="27"/>
      <c r="T34" s="28">
        <f t="shared" si="4"/>
        <v>0</v>
      </c>
      <c r="U34" s="5"/>
    </row>
    <row r="35" spans="1:22" x14ac:dyDescent="0.3">
      <c r="A35" s="25">
        <v>43515</v>
      </c>
      <c r="B35" s="24" t="s">
        <v>56</v>
      </c>
      <c r="C35" s="26"/>
      <c r="D35" s="26"/>
      <c r="E35" s="26"/>
      <c r="F35" s="5">
        <f t="shared" si="0"/>
        <v>0</v>
      </c>
      <c r="G35" s="26"/>
      <c r="H35" s="26"/>
      <c r="I35" s="26"/>
      <c r="J35" s="5">
        <f t="shared" si="1"/>
        <v>0</v>
      </c>
      <c r="K35" s="26"/>
      <c r="L35" s="26"/>
      <c r="M35" s="26"/>
      <c r="N35" s="26"/>
      <c r="O35" s="26"/>
      <c r="P35" s="26"/>
      <c r="Q35" s="26"/>
      <c r="R35" s="5">
        <f t="shared" si="2"/>
        <v>0</v>
      </c>
      <c r="S35" s="27"/>
      <c r="T35" s="28">
        <f t="shared" si="4"/>
        <v>0</v>
      </c>
      <c r="U35" s="5"/>
      <c r="V35" s="11"/>
    </row>
    <row r="36" spans="1:22" x14ac:dyDescent="0.3">
      <c r="A36" s="25">
        <v>43516</v>
      </c>
      <c r="B36" s="24" t="s">
        <v>57</v>
      </c>
      <c r="C36" s="26"/>
      <c r="D36" s="26"/>
      <c r="E36" s="26"/>
      <c r="F36" s="5">
        <f t="shared" si="0"/>
        <v>0</v>
      </c>
      <c r="G36" s="26"/>
      <c r="H36" s="26"/>
      <c r="I36" s="26"/>
      <c r="J36" s="5">
        <f t="shared" si="1"/>
        <v>0</v>
      </c>
      <c r="K36" s="26"/>
      <c r="L36" s="26"/>
      <c r="M36" s="26"/>
      <c r="N36" s="26"/>
      <c r="O36" s="26"/>
      <c r="P36" s="26"/>
      <c r="Q36" s="26"/>
      <c r="R36" s="5">
        <f t="shared" si="2"/>
        <v>0</v>
      </c>
      <c r="S36" s="27"/>
      <c r="T36" s="28">
        <f t="shared" si="4"/>
        <v>0</v>
      </c>
      <c r="U36" s="5"/>
      <c r="V36" s="11"/>
    </row>
    <row r="37" spans="1:22" x14ac:dyDescent="0.3">
      <c r="A37" s="25">
        <v>43517</v>
      </c>
      <c r="B37" s="24" t="s">
        <v>58</v>
      </c>
      <c r="C37" s="26"/>
      <c r="D37" s="26"/>
      <c r="E37" s="26"/>
      <c r="F37" s="5">
        <f t="shared" si="0"/>
        <v>0</v>
      </c>
      <c r="G37" s="26"/>
      <c r="H37" s="26"/>
      <c r="I37" s="26"/>
      <c r="J37" s="5">
        <f t="shared" si="1"/>
        <v>0</v>
      </c>
      <c r="K37" s="26"/>
      <c r="L37" s="26"/>
      <c r="M37" s="26"/>
      <c r="N37" s="26"/>
      <c r="O37" s="26"/>
      <c r="P37" s="26"/>
      <c r="Q37" s="26"/>
      <c r="R37" s="5">
        <f t="shared" si="2"/>
        <v>0</v>
      </c>
      <c r="S37" s="27"/>
      <c r="T37" s="28">
        <f t="shared" si="4"/>
        <v>0</v>
      </c>
      <c r="U37" s="5"/>
      <c r="V37" s="11"/>
    </row>
    <row r="38" spans="1:22" x14ac:dyDescent="0.3">
      <c r="A38" s="25">
        <v>43518</v>
      </c>
      <c r="B38" s="24" t="s">
        <v>59</v>
      </c>
      <c r="C38" s="26"/>
      <c r="D38" s="26"/>
      <c r="E38" s="26"/>
      <c r="F38" s="5">
        <f t="shared" si="0"/>
        <v>0</v>
      </c>
      <c r="G38" s="26"/>
      <c r="H38" s="26"/>
      <c r="I38" s="26"/>
      <c r="J38" s="5">
        <f t="shared" si="1"/>
        <v>0</v>
      </c>
      <c r="K38" s="26"/>
      <c r="L38" s="26"/>
      <c r="M38" s="26"/>
      <c r="N38" s="26"/>
      <c r="O38" s="26"/>
      <c r="P38" s="26"/>
      <c r="Q38" s="26"/>
      <c r="R38" s="5">
        <f t="shared" si="2"/>
        <v>0</v>
      </c>
      <c r="S38" s="27"/>
      <c r="T38" s="28">
        <f t="shared" si="4"/>
        <v>0</v>
      </c>
      <c r="U38" s="5"/>
      <c r="V38" s="29"/>
    </row>
    <row r="39" spans="1:22" x14ac:dyDescent="0.3">
      <c r="A39" s="25">
        <v>43519</v>
      </c>
      <c r="B39" s="24" t="s">
        <v>53</v>
      </c>
      <c r="C39" s="26"/>
      <c r="D39" s="26"/>
      <c r="E39" s="26"/>
      <c r="F39" s="5">
        <f t="shared" si="0"/>
        <v>0</v>
      </c>
      <c r="G39" s="26"/>
      <c r="H39" s="26"/>
      <c r="I39" s="26"/>
      <c r="J39" s="5">
        <f t="shared" si="1"/>
        <v>0</v>
      </c>
      <c r="K39" s="26"/>
      <c r="L39" s="26"/>
      <c r="M39" s="26"/>
      <c r="N39" s="26"/>
      <c r="O39" s="26"/>
      <c r="P39" s="26"/>
      <c r="Q39" s="26"/>
      <c r="R39" s="5">
        <f t="shared" si="2"/>
        <v>0</v>
      </c>
      <c r="S39" s="27"/>
      <c r="T39" s="28">
        <f t="shared" si="4"/>
        <v>0</v>
      </c>
      <c r="U39" s="5"/>
      <c r="V39" s="11"/>
    </row>
    <row r="40" spans="1:22" x14ac:dyDescent="0.3">
      <c r="A40" s="25">
        <v>43520</v>
      </c>
      <c r="B40" s="24" t="s">
        <v>54</v>
      </c>
      <c r="C40" s="26"/>
      <c r="D40" s="26"/>
      <c r="E40" s="26"/>
      <c r="F40" s="5">
        <f t="shared" si="0"/>
        <v>0</v>
      </c>
      <c r="G40" s="26"/>
      <c r="H40" s="26"/>
      <c r="I40" s="26"/>
      <c r="J40" s="5">
        <f t="shared" si="1"/>
        <v>0</v>
      </c>
      <c r="K40" s="26"/>
      <c r="L40" s="26"/>
      <c r="M40" s="26"/>
      <c r="N40" s="26"/>
      <c r="O40" s="26"/>
      <c r="P40" s="26"/>
      <c r="Q40" s="26"/>
      <c r="R40" s="5">
        <f t="shared" si="2"/>
        <v>0</v>
      </c>
      <c r="S40" s="27"/>
      <c r="T40" s="28">
        <f t="shared" si="4"/>
        <v>0</v>
      </c>
      <c r="U40" s="5"/>
      <c r="V40" s="11"/>
    </row>
    <row r="41" spans="1:22" x14ac:dyDescent="0.3">
      <c r="A41" s="25">
        <v>43521</v>
      </c>
      <c r="B41" s="24" t="s">
        <v>55</v>
      </c>
      <c r="C41" s="26"/>
      <c r="D41" s="26"/>
      <c r="E41" s="26"/>
      <c r="F41" s="5">
        <f t="shared" si="0"/>
        <v>0</v>
      </c>
      <c r="G41" s="26"/>
      <c r="H41" s="26"/>
      <c r="I41" s="26"/>
      <c r="J41" s="5">
        <f t="shared" si="1"/>
        <v>0</v>
      </c>
      <c r="K41" s="26"/>
      <c r="L41" s="26"/>
      <c r="M41" s="26"/>
      <c r="N41" s="26"/>
      <c r="O41" s="26"/>
      <c r="P41" s="26"/>
      <c r="Q41" s="26"/>
      <c r="R41" s="5">
        <f t="shared" si="2"/>
        <v>0</v>
      </c>
      <c r="S41" s="27"/>
      <c r="T41" s="28">
        <f t="shared" si="4"/>
        <v>0</v>
      </c>
      <c r="U41" s="5"/>
    </row>
    <row r="42" spans="1:22" x14ac:dyDescent="0.3">
      <c r="A42" s="25">
        <v>43522</v>
      </c>
      <c r="B42" s="24" t="s">
        <v>56</v>
      </c>
      <c r="C42" s="26"/>
      <c r="D42" s="26"/>
      <c r="E42" s="26"/>
      <c r="F42" s="5">
        <f t="shared" si="0"/>
        <v>0</v>
      </c>
      <c r="G42" s="26"/>
      <c r="H42" s="26"/>
      <c r="I42" s="26"/>
      <c r="J42" s="5">
        <f t="shared" si="1"/>
        <v>0</v>
      </c>
      <c r="K42" s="26"/>
      <c r="L42" s="26"/>
      <c r="M42" s="26"/>
      <c r="N42" s="26"/>
      <c r="O42" s="26"/>
      <c r="P42" s="26"/>
      <c r="Q42" s="26"/>
      <c r="R42" s="5">
        <f t="shared" si="2"/>
        <v>0</v>
      </c>
      <c r="S42" s="27"/>
      <c r="T42" s="28">
        <f t="shared" si="4"/>
        <v>0</v>
      </c>
      <c r="U42" s="5"/>
    </row>
    <row r="43" spans="1:22" x14ac:dyDescent="0.3">
      <c r="A43" s="25">
        <v>43523</v>
      </c>
      <c r="B43" s="24" t="s">
        <v>57</v>
      </c>
      <c r="C43" s="26"/>
      <c r="D43" s="26"/>
      <c r="E43" s="26"/>
      <c r="F43" s="5">
        <f>SUM(C43:E43)</f>
        <v>0</v>
      </c>
      <c r="G43" s="26"/>
      <c r="H43" s="26"/>
      <c r="I43" s="26"/>
      <c r="J43" s="5">
        <f>SUM(G43:I43)</f>
        <v>0</v>
      </c>
      <c r="K43" s="26"/>
      <c r="L43" s="26"/>
      <c r="M43" s="26"/>
      <c r="N43" s="26"/>
      <c r="O43" s="26"/>
      <c r="P43" s="26"/>
      <c r="Q43" s="26"/>
      <c r="R43" s="5">
        <f t="shared" si="2"/>
        <v>0</v>
      </c>
      <c r="S43" s="27"/>
      <c r="T43" s="28">
        <f t="shared" si="4"/>
        <v>0</v>
      </c>
      <c r="U43" s="5"/>
    </row>
    <row r="44" spans="1:22" x14ac:dyDescent="0.3">
      <c r="A44" s="25">
        <v>43524</v>
      </c>
      <c r="B44" s="24" t="s">
        <v>58</v>
      </c>
      <c r="C44" s="26"/>
      <c r="D44" s="26"/>
      <c r="E44" s="26"/>
      <c r="F44" s="5">
        <f>SUM(C44:E44)</f>
        <v>0</v>
      </c>
      <c r="G44" s="26"/>
      <c r="H44" s="26"/>
      <c r="I44" s="26"/>
      <c r="J44" s="5">
        <f>SUM(G44:I44)</f>
        <v>0</v>
      </c>
      <c r="K44" s="26"/>
      <c r="L44" s="26"/>
      <c r="M44" s="26"/>
      <c r="N44" s="26"/>
      <c r="O44" s="26"/>
      <c r="P44" s="26"/>
      <c r="Q44" s="26"/>
      <c r="R44" s="5">
        <f t="shared" si="2"/>
        <v>0</v>
      </c>
      <c r="S44" s="27"/>
      <c r="T44" s="28">
        <f t="shared" si="4"/>
        <v>0</v>
      </c>
      <c r="U44" s="5"/>
    </row>
    <row r="45" spans="1:22" x14ac:dyDescent="0.3">
      <c r="A45" s="25"/>
      <c r="B45" s="24"/>
      <c r="C45" s="26"/>
      <c r="D45" s="26"/>
      <c r="E45" s="26"/>
      <c r="F45" s="5">
        <f t="shared" si="0"/>
        <v>0</v>
      </c>
      <c r="G45" s="26"/>
      <c r="H45" s="26"/>
      <c r="I45" s="26"/>
      <c r="J45" s="5">
        <f t="shared" si="1"/>
        <v>0</v>
      </c>
      <c r="K45" s="26"/>
      <c r="L45" s="26"/>
      <c r="M45" s="26"/>
      <c r="N45" s="26"/>
      <c r="O45" s="26"/>
      <c r="P45" s="26"/>
      <c r="Q45" s="26"/>
      <c r="R45" s="5">
        <f t="shared" si="2"/>
        <v>0</v>
      </c>
      <c r="S45" s="27"/>
      <c r="T45" s="28">
        <f t="shared" si="4"/>
        <v>0</v>
      </c>
      <c r="U45" s="5"/>
    </row>
    <row r="46" spans="1:22" x14ac:dyDescent="0.3">
      <c r="A46" s="25"/>
      <c r="B46" s="24"/>
      <c r="C46" s="26"/>
      <c r="D46" s="26"/>
      <c r="E46" s="26"/>
      <c r="F46" s="5">
        <f t="shared" si="0"/>
        <v>0</v>
      </c>
      <c r="G46" s="26"/>
      <c r="H46" s="26"/>
      <c r="I46" s="26"/>
      <c r="J46" s="5">
        <f t="shared" si="1"/>
        <v>0</v>
      </c>
      <c r="K46" s="26"/>
      <c r="L46" s="26"/>
      <c r="M46" s="26"/>
      <c r="N46" s="26"/>
      <c r="O46" s="26"/>
      <c r="P46" s="26"/>
      <c r="Q46" s="26"/>
      <c r="R46" s="5">
        <f t="shared" si="2"/>
        <v>0</v>
      </c>
      <c r="S46" s="27"/>
      <c r="T46" s="28">
        <f t="shared" si="4"/>
        <v>0</v>
      </c>
      <c r="U46" s="5"/>
    </row>
    <row r="47" spans="1:22" x14ac:dyDescent="0.3">
      <c r="A47" s="25"/>
      <c r="B47" s="24"/>
      <c r="C47" s="26"/>
      <c r="D47" s="26"/>
      <c r="E47" s="26"/>
      <c r="F47" s="5">
        <f t="shared" si="0"/>
        <v>0</v>
      </c>
      <c r="G47" s="26"/>
      <c r="H47" s="26"/>
      <c r="I47" s="26"/>
      <c r="J47" s="5">
        <f t="shared" si="1"/>
        <v>0</v>
      </c>
      <c r="K47" s="26"/>
      <c r="L47" s="26"/>
      <c r="M47" s="26"/>
      <c r="N47" s="26"/>
      <c r="O47" s="26"/>
      <c r="P47" s="26"/>
      <c r="Q47" s="26"/>
      <c r="R47" s="5">
        <f t="shared" si="2"/>
        <v>0</v>
      </c>
      <c r="S47" s="27"/>
      <c r="T47" s="28">
        <f t="shared" si="4"/>
        <v>0</v>
      </c>
      <c r="U47" s="5"/>
    </row>
    <row r="48" spans="1:22" x14ac:dyDescent="0.3">
      <c r="A48" s="532" t="s">
        <v>19</v>
      </c>
      <c r="B48" s="532"/>
      <c r="C48" s="532"/>
      <c r="D48" s="532"/>
      <c r="E48" s="532"/>
      <c r="F48" s="532"/>
      <c r="G48" s="30">
        <f>SUM(G17:G47)</f>
        <v>11687.419999999925</v>
      </c>
      <c r="H48" s="30">
        <f>SUM(H17:H47)</f>
        <v>71523.289999999106</v>
      </c>
      <c r="I48" s="30">
        <f>SUM(I17:I47)</f>
        <v>1701.5499999999884</v>
      </c>
      <c r="J48" s="30">
        <f>SUM(J17:J47)</f>
        <v>84912.25999999902</v>
      </c>
      <c r="K48" s="533" t="s">
        <v>20</v>
      </c>
      <c r="L48" s="534"/>
      <c r="M48" s="534"/>
      <c r="N48" s="534"/>
      <c r="O48" s="534"/>
      <c r="P48" s="534"/>
      <c r="Q48" s="534"/>
      <c r="R48" s="534"/>
      <c r="S48" s="534"/>
      <c r="T48" s="31">
        <f>SUM(T17:T47)</f>
        <v>10033087.215001116</v>
      </c>
      <c r="U48" s="30">
        <f>SUM(U17:U47)</f>
        <v>17906428.571428575</v>
      </c>
    </row>
  </sheetData>
  <mergeCells count="21">
    <mergeCell ref="G8:G12"/>
    <mergeCell ref="H11:H12"/>
    <mergeCell ref="G3:K3"/>
    <mergeCell ref="A4:A5"/>
    <mergeCell ref="B4:C4"/>
    <mergeCell ref="D4:E5"/>
    <mergeCell ref="G4:G5"/>
    <mergeCell ref="T15:T16"/>
    <mergeCell ref="U15:U16"/>
    <mergeCell ref="G13:G14"/>
    <mergeCell ref="A15:A16"/>
    <mergeCell ref="B15:B16"/>
    <mergeCell ref="C15:F15"/>
    <mergeCell ref="G15:J15"/>
    <mergeCell ref="K15:M15"/>
    <mergeCell ref="A48:F48"/>
    <mergeCell ref="K48:S48"/>
    <mergeCell ref="N15:P15"/>
    <mergeCell ref="Q15:Q16"/>
    <mergeCell ref="R15:R16"/>
    <mergeCell ref="S15:S1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오성_손익</vt:lpstr>
      <vt:lpstr>오성_재고</vt:lpstr>
      <vt:lpstr>내유동_손익</vt:lpstr>
      <vt:lpstr>내유동_재고</vt:lpstr>
      <vt:lpstr>새안양_손익</vt:lpstr>
      <vt:lpstr>새안양_재고</vt:lpstr>
      <vt:lpstr>온산_손익</vt:lpstr>
      <vt:lpstr>온산_재고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com</cp:lastModifiedBy>
  <cp:lastPrinted>2019-05-24T08:46:40Z</cp:lastPrinted>
  <dcterms:created xsi:type="dcterms:W3CDTF">2019-05-24T06:22:44Z</dcterms:created>
  <dcterms:modified xsi:type="dcterms:W3CDTF">2019-05-28T02:11:07Z</dcterms:modified>
</cp:coreProperties>
</file>